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B26640F9-7E1C-4327-9FF8-D3E884725A84}" xr6:coauthVersionLast="45" xr6:coauthVersionMax="45" xr10:uidLastSave="{00000000-0000-0000-0000-000000000000}"/>
  <bookViews>
    <workbookView xWindow="-120" yWindow="-120" windowWidth="29040" windowHeight="15840" tabRatio="791"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D3" i="57" s="1"/>
  <c r="D3" i="56"/>
  <c r="L57" i="58"/>
  <c r="E78" i="32"/>
  <c r="C12" i="45" l="1"/>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J31" i="44" s="1"/>
  <c r="K28" i="44"/>
  <c r="L28" i="44"/>
  <c r="M28" i="44"/>
  <c r="N28" i="44"/>
  <c r="O28" i="44"/>
  <c r="P28" i="44"/>
  <c r="Q28" i="44"/>
  <c r="R28" i="44"/>
  <c r="S28" i="44"/>
  <c r="T28" i="44"/>
  <c r="U28" i="44"/>
  <c r="V28" i="44"/>
  <c r="V31" i="44" s="1"/>
  <c r="W28" i="44"/>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J32" i="44" s="1"/>
  <c r="K29" i="44"/>
  <c r="L29" i="44"/>
  <c r="M29" i="44"/>
  <c r="N29" i="44"/>
  <c r="O29" i="44"/>
  <c r="P29" i="44"/>
  <c r="P30" i="44" s="1"/>
  <c r="Q29" i="44"/>
  <c r="Q30" i="44" s="1"/>
  <c r="Q33" i="44" s="1"/>
  <c r="R29" i="44"/>
  <c r="S29" i="44"/>
  <c r="T29" i="44"/>
  <c r="T32" i="44" s="1"/>
  <c r="U29" i="44"/>
  <c r="V29" i="44"/>
  <c r="V30" i="44" s="1"/>
  <c r="V33" i="44" s="1"/>
  <c r="W29" i="44"/>
  <c r="X29" i="44"/>
  <c r="Y29" i="44"/>
  <c r="Z29" i="44"/>
  <c r="AA29" i="44"/>
  <c r="AB29" i="44"/>
  <c r="AB30" i="44" s="1"/>
  <c r="AB33" i="44" s="1"/>
  <c r="AC29" i="44"/>
  <c r="AC30" i="44" s="1"/>
  <c r="AC33" i="44" s="1"/>
  <c r="AD29" i="44"/>
  <c r="AE29" i="44"/>
  <c r="AF29" i="44"/>
  <c r="AG29"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P33" i="44" l="1"/>
  <c r="K32" i="44"/>
  <c r="AD32" i="44"/>
  <c r="Y32" i="44"/>
  <c r="W32" i="44"/>
  <c r="W31" i="44"/>
  <c r="K31" i="44"/>
  <c r="AE32" i="44"/>
  <c r="Q31" i="44"/>
  <c r="AA32" i="44"/>
  <c r="M32" i="44"/>
  <c r="E31" i="44"/>
  <c r="W30" i="44"/>
  <c r="W33" i="44" s="1"/>
  <c r="K30" i="44"/>
  <c r="K33" i="44" s="1"/>
  <c r="X30" i="44"/>
  <c r="X33" i="44" s="1"/>
  <c r="L30" i="44"/>
  <c r="L33" i="44" s="1"/>
  <c r="R31" i="44"/>
  <c r="F31" i="44"/>
  <c r="V32" i="44"/>
  <c r="M30" i="44"/>
  <c r="M33" i="44" s="1"/>
  <c r="O30" i="44"/>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K162" i="57" l="1"/>
  <c r="AI162" i="57"/>
  <c r="AF162" i="57"/>
  <c r="AG162" i="57"/>
  <c r="AE162" i="57"/>
  <c r="AB162" i="57"/>
  <c r="AC162" i="57"/>
  <c r="AA162" i="57"/>
  <c r="AB161" i="57"/>
  <c r="AF161" i="57"/>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W27" i="56"/>
  <c r="V27" i="56"/>
  <c r="AH75"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J161" i="57"/>
  <c r="AJ162" i="57" s="1"/>
  <c r="AE161" i="57"/>
  <c r="N139" i="57"/>
  <c r="B26" i="57" l="1"/>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D178" i="57" l="1"/>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M227" i="58" l="1"/>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E129" i="56"/>
  <c r="F108" i="56"/>
  <c r="F197" i="57"/>
  <c r="K197" i="57"/>
  <c r="AN196" i="57"/>
  <c r="AO196" i="57"/>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G105" i="47" s="1"/>
  <c r="C192" i="57"/>
  <c r="B192" i="57"/>
  <c r="D220" i="57" s="1"/>
  <c r="J220" i="57" s="1"/>
  <c r="G107" i="47" s="1"/>
  <c r="C191" i="57"/>
  <c r="B191" i="57"/>
  <c r="D219" i="57" s="1"/>
  <c r="J219" i="57" s="1"/>
  <c r="G103" i="47" s="1"/>
  <c r="G190" i="57"/>
  <c r="F190" i="57"/>
  <c r="C190" i="57"/>
  <c r="B190" i="57"/>
  <c r="D218" i="57" s="1"/>
  <c r="J218" i="57" s="1"/>
  <c r="G106" i="47" s="1"/>
  <c r="G189" i="57"/>
  <c r="F189" i="57"/>
  <c r="E189" i="57"/>
  <c r="L189" i="57" s="1"/>
  <c r="C189" i="57"/>
  <c r="B189" i="57"/>
  <c r="D217" i="57" s="1"/>
  <c r="J217" i="57" s="1"/>
  <c r="G104" i="4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M43" i="57" s="1"/>
  <c r="E42" i="57"/>
  <c r="M42" i="57" s="1"/>
  <c r="E41" i="57"/>
  <c r="M41" i="57" s="1"/>
  <c r="W40" i="57"/>
  <c r="V40" i="57"/>
  <c r="U40" i="57"/>
  <c r="T40" i="57"/>
  <c r="Q40" i="57"/>
  <c r="P40" i="57"/>
  <c r="O40" i="57"/>
  <c r="N40" i="57"/>
  <c r="G40" i="57"/>
  <c r="F40" i="57"/>
  <c r="E38" i="57"/>
  <c r="M38" i="57" s="1"/>
  <c r="S38" i="57" s="1"/>
  <c r="E37" i="57"/>
  <c r="M37" i="57" s="1"/>
  <c r="E36" i="57"/>
  <c r="E35" i="57"/>
  <c r="M35" i="57" s="1"/>
  <c r="N35" i="57" s="1"/>
  <c r="T35" i="57" s="1"/>
  <c r="U35" i="57" s="1"/>
  <c r="V35" i="57" s="1"/>
  <c r="W35" i="57" s="1"/>
  <c r="W34" i="57"/>
  <c r="V34" i="57"/>
  <c r="U34" i="57"/>
  <c r="T34" i="57"/>
  <c r="Q34" i="57"/>
  <c r="P34" i="57"/>
  <c r="O34" i="57"/>
  <c r="N34" i="57"/>
  <c r="G34" i="57"/>
  <c r="F34" i="57"/>
  <c r="S34" i="57" s="1"/>
  <c r="E32" i="57"/>
  <c r="M32" i="57" s="1"/>
  <c r="E31" i="57"/>
  <c r="M31" i="57" s="1"/>
  <c r="N31" i="57" s="1"/>
  <c r="E30" i="57"/>
  <c r="M30" i="57" s="1"/>
  <c r="W29" i="57"/>
  <c r="V29" i="57"/>
  <c r="U29" i="57"/>
  <c r="T29" i="57"/>
  <c r="Q29" i="57"/>
  <c r="P29" i="57"/>
  <c r="O29" i="57"/>
  <c r="N29" i="57"/>
  <c r="G29" i="57"/>
  <c r="F29" i="57"/>
  <c r="S29" i="57" s="1"/>
  <c r="M27" i="57"/>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F88" i="56" s="1"/>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S75" i="56"/>
  <c r="R75" i="56"/>
  <c r="Q75" i="56"/>
  <c r="AD75" i="56" s="1"/>
  <c r="P75" i="56"/>
  <c r="V75" i="56" s="1"/>
  <c r="AI75" i="56" s="1"/>
  <c r="O75" i="56"/>
  <c r="N75" i="56"/>
  <c r="AA75" i="56" s="1"/>
  <c r="L75" i="56"/>
  <c r="K75" i="56"/>
  <c r="J75" i="56"/>
  <c r="I75" i="56"/>
  <c r="H75" i="56"/>
  <c r="G75" i="56"/>
  <c r="F75" i="56"/>
  <c r="AA74" i="56"/>
  <c r="F72" i="56"/>
  <c r="F71" i="56"/>
  <c r="F70" i="56"/>
  <c r="F69" i="56"/>
  <c r="F82" i="56" s="1"/>
  <c r="F68" i="56"/>
  <c r="F67" i="56"/>
  <c r="F66" i="56"/>
  <c r="F79" i="56" s="1"/>
  <c r="F65" i="56"/>
  <c r="F64" i="56"/>
  <c r="F77" i="56" s="1"/>
  <c r="F63" i="56"/>
  <c r="F76" i="56" s="1"/>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J9" i="55"/>
  <c r="Y8" i="58" l="1"/>
  <c r="Z67" i="58"/>
  <c r="Z104" i="58" s="1"/>
  <c r="Z22" i="58"/>
  <c r="Z25" i="58" s="1"/>
  <c r="Z7" i="58"/>
  <c r="AA4" i="58"/>
  <c r="Z6" i="58"/>
  <c r="Z5" i="58"/>
  <c r="Z12" i="58" a="1"/>
  <c r="Z12" i="58" s="1"/>
  <c r="Z11" i="58" s="1"/>
  <c r="G67" i="56"/>
  <c r="N67" i="56" s="1"/>
  <c r="O67" i="56" s="1"/>
  <c r="P67" i="56" s="1"/>
  <c r="R67" i="56" s="1"/>
  <c r="F80" i="56"/>
  <c r="G68" i="56"/>
  <c r="G81" i="56" s="1"/>
  <c r="F81" i="56"/>
  <c r="G69" i="56"/>
  <c r="G82" i="56" s="1"/>
  <c r="F56" i="56"/>
  <c r="K178" i="56" s="1"/>
  <c r="F83" i="56"/>
  <c r="F57" i="56"/>
  <c r="K179" i="56" s="1"/>
  <c r="F84" i="56"/>
  <c r="G72" i="56"/>
  <c r="G85" i="56" s="1"/>
  <c r="F85" i="56"/>
  <c r="F51" i="56"/>
  <c r="F78" i="56"/>
  <c r="S30" i="57"/>
  <c r="F30" i="57" s="1"/>
  <c r="N30" i="57"/>
  <c r="T31" i="57"/>
  <c r="O31" i="57"/>
  <c r="W139" i="57"/>
  <c r="F139" i="57"/>
  <c r="O104" i="57"/>
  <c r="AX109" i="56"/>
  <c r="AX110" i="56" s="1"/>
  <c r="G15" i="56"/>
  <c r="X15" i="56" s="1"/>
  <c r="AC75" i="56"/>
  <c r="N13" i="56"/>
  <c r="L107" i="56"/>
  <c r="P13" i="56"/>
  <c r="F17" i="56"/>
  <c r="G16" i="56"/>
  <c r="T75" i="56"/>
  <c r="AG75" i="56" s="1"/>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134" i="57" s="1"/>
  <c r="N38" i="57"/>
  <c r="F58" i="56"/>
  <c r="K180" i="56" s="1"/>
  <c r="C3" i="57"/>
  <c r="S37" i="57"/>
  <c r="N37" i="57"/>
  <c r="E87" i="57"/>
  <c r="E90" i="57" s="1"/>
  <c r="S43" i="57"/>
  <c r="G70" i="56"/>
  <c r="F55" i="56"/>
  <c r="K177" i="56" s="1"/>
  <c r="G71" i="56"/>
  <c r="K99" i="57"/>
  <c r="J84" i="57"/>
  <c r="K95" i="57"/>
  <c r="N16" i="56"/>
  <c r="X16" i="56"/>
  <c r="V16" i="56"/>
  <c r="H16" i="56"/>
  <c r="F52" i="56"/>
  <c r="G66" i="56"/>
  <c r="G79" i="56" s="1"/>
  <c r="AB75" i="56"/>
  <c r="U75" i="56"/>
  <c r="AE75" i="56"/>
  <c r="X75" i="56"/>
  <c r="AK75" i="56" s="1"/>
  <c r="Q16" i="56"/>
  <c r="M107" i="56"/>
  <c r="M108" i="56"/>
  <c r="N106" i="56"/>
  <c r="M109" i="56"/>
  <c r="R16" i="56"/>
  <c r="W15" i="56"/>
  <c r="T16" i="56"/>
  <c r="G65" i="56"/>
  <c r="G78" i="56" s="1"/>
  <c r="N88" i="56"/>
  <c r="T88" i="56" s="1"/>
  <c r="G104" i="56"/>
  <c r="U16" i="56"/>
  <c r="G63" i="56"/>
  <c r="G76" i="56" s="1"/>
  <c r="F43" i="56"/>
  <c r="F46" i="56"/>
  <c r="G64" i="56"/>
  <c r="G77" i="56" s="1"/>
  <c r="G14" i="56"/>
  <c r="W16" i="56"/>
  <c r="V15" i="56"/>
  <c r="T15" i="56"/>
  <c r="R15" i="56"/>
  <c r="P15" i="56"/>
  <c r="C3" i="56"/>
  <c r="R13" i="56"/>
  <c r="U13" i="56"/>
  <c r="H13" i="56"/>
  <c r="V13" i="56"/>
  <c r="W75" i="56"/>
  <c r="AJ75" i="56" s="1"/>
  <c r="K109" i="56"/>
  <c r="K110" i="56" s="1"/>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P130" i="56"/>
  <c r="P131" i="56" s="1"/>
  <c r="AN130" i="56"/>
  <c r="AN131" i="56" s="1"/>
  <c r="V168" i="56"/>
  <c r="V169" i="56" s="1"/>
  <c r="Z168" i="56"/>
  <c r="Z169" i="56" s="1"/>
  <c r="AG168" i="56"/>
  <c r="AG169" i="56" s="1"/>
  <c r="S41" i="57"/>
  <c r="F41" i="57" s="1"/>
  <c r="N41" i="57"/>
  <c r="T41" i="57" s="1"/>
  <c r="U41" i="57" s="1"/>
  <c r="V41" i="57" s="1"/>
  <c r="W41" i="57" s="1"/>
  <c r="Y130" i="56"/>
  <c r="Y131" i="56" s="1"/>
  <c r="AE169" i="56"/>
  <c r="AQ169" i="56"/>
  <c r="AL168" i="56"/>
  <c r="AL169" i="56" s="1"/>
  <c r="S27" i="57"/>
  <c r="F27" i="57" s="1"/>
  <c r="N27" i="57"/>
  <c r="T27" i="57" s="1"/>
  <c r="Q21" i="57"/>
  <c r="G48" i="57"/>
  <c r="M48" i="57"/>
  <c r="N48" i="57" s="1"/>
  <c r="O48" i="57" s="1"/>
  <c r="E82" i="57"/>
  <c r="E85" i="57" s="1"/>
  <c r="M36" i="57"/>
  <c r="S48" i="57"/>
  <c r="T48" i="57" s="1"/>
  <c r="U48" i="57" s="1"/>
  <c r="G78" i="57"/>
  <c r="S78" i="57"/>
  <c r="Q103" i="57"/>
  <c r="Q104" i="57" s="1"/>
  <c r="P104" i="57"/>
  <c r="C36" i="57"/>
  <c r="C42" i="57" s="1"/>
  <c r="C55" i="57"/>
  <c r="C86" i="57"/>
  <c r="C101" i="57" s="1"/>
  <c r="C122" i="57" s="1"/>
  <c r="N44" i="57"/>
  <c r="S44" i="57"/>
  <c r="F44" i="57" s="1"/>
  <c r="S42" i="57"/>
  <c r="F42" i="57" s="1"/>
  <c r="N42" i="57"/>
  <c r="T42" i="57" s="1"/>
  <c r="U42" i="57" s="1"/>
  <c r="V42" i="57" s="1"/>
  <c r="W42" i="57" s="1"/>
  <c r="C75" i="57"/>
  <c r="C93" i="57" s="1"/>
  <c r="C114" i="57" s="1"/>
  <c r="S32" i="57"/>
  <c r="F32" i="57" s="1"/>
  <c r="S35" i="57"/>
  <c r="H79" i="57"/>
  <c r="K79" i="57"/>
  <c r="I83" i="57"/>
  <c r="I89" i="57"/>
  <c r="O35" i="57"/>
  <c r="J48" i="57"/>
  <c r="S73" i="57"/>
  <c r="T73" i="57" s="1"/>
  <c r="U73" i="57" s="1"/>
  <c r="V73" i="57" s="1"/>
  <c r="W73" i="57" s="1"/>
  <c r="M73" i="57"/>
  <c r="N73" i="57" s="1"/>
  <c r="O73" i="57" s="1"/>
  <c r="P73" i="57" s="1"/>
  <c r="Q73" i="57" s="1"/>
  <c r="G73" i="57"/>
  <c r="B27" i="57"/>
  <c r="G94" i="57"/>
  <c r="G96" i="57" s="1"/>
  <c r="S94" i="57"/>
  <c r="S96" i="57" s="1"/>
  <c r="F96" i="57"/>
  <c r="H103" i="57"/>
  <c r="H99" i="57"/>
  <c r="K94" i="57"/>
  <c r="J89" i="57"/>
  <c r="J83" i="57"/>
  <c r="H78" i="57"/>
  <c r="J95" i="57"/>
  <c r="I84" i="57"/>
  <c r="K102" i="57"/>
  <c r="H95" i="57"/>
  <c r="J102" i="57"/>
  <c r="K98" i="57"/>
  <c r="I102" i="57"/>
  <c r="J98" i="57"/>
  <c r="K88" i="57"/>
  <c r="J103" i="57"/>
  <c r="J99" i="57"/>
  <c r="H98" i="57"/>
  <c r="I98" i="57"/>
  <c r="H89" i="57"/>
  <c r="H83" i="57"/>
  <c r="K78" i="57"/>
  <c r="I95" i="57"/>
  <c r="K84" i="57"/>
  <c r="H102" i="57"/>
  <c r="I99" i="57"/>
  <c r="J88" i="57"/>
  <c r="H84" i="57"/>
  <c r="J79" i="57"/>
  <c r="K48" i="57"/>
  <c r="I88" i="57"/>
  <c r="I79" i="57"/>
  <c r="I94" i="57"/>
  <c r="H94" i="57"/>
  <c r="K89" i="57"/>
  <c r="K83" i="57"/>
  <c r="S64" i="57"/>
  <c r="M64" i="57"/>
  <c r="M67" i="57"/>
  <c r="N67" i="57" s="1"/>
  <c r="O67" i="57" s="1"/>
  <c r="P67" i="57" s="1"/>
  <c r="G67" i="57"/>
  <c r="J94" i="57"/>
  <c r="S31" i="57"/>
  <c r="F31" i="57" s="1"/>
  <c r="F38" i="57"/>
  <c r="G64" i="57"/>
  <c r="F70" i="57"/>
  <c r="E69" i="57"/>
  <c r="F69" i="57" s="1"/>
  <c r="M94" i="57"/>
  <c r="I103" i="57"/>
  <c r="S40" i="57"/>
  <c r="M40" i="57"/>
  <c r="I78" i="57"/>
  <c r="G88" i="57"/>
  <c r="S88" i="57"/>
  <c r="O134" i="57"/>
  <c r="J231" i="57"/>
  <c r="E50" i="57"/>
  <c r="J78" i="57"/>
  <c r="H88" i="57"/>
  <c r="S99" i="57"/>
  <c r="S100" i="57" s="1"/>
  <c r="M99" i="57"/>
  <c r="M100" i="57" s="1"/>
  <c r="F100" i="57"/>
  <c r="G99" i="57"/>
  <c r="S67" i="57"/>
  <c r="T67" i="57" s="1"/>
  <c r="U67" i="57" s="1"/>
  <c r="V67" i="57" s="1"/>
  <c r="W67" i="57" s="1"/>
  <c r="S102" i="57"/>
  <c r="M102" i="57"/>
  <c r="F104" i="57"/>
  <c r="G102" i="57"/>
  <c r="G104" i="57" s="1"/>
  <c r="M26" i="57"/>
  <c r="S138" i="57"/>
  <c r="M138" i="57"/>
  <c r="S103" i="57"/>
  <c r="M103" i="57"/>
  <c r="E144" i="57"/>
  <c r="F144" i="57" s="1"/>
  <c r="F165" i="57"/>
  <c r="G143" i="57"/>
  <c r="G165" i="57" s="1"/>
  <c r="S143" i="57"/>
  <c r="T143" i="57" s="1"/>
  <c r="U143" i="57" s="1"/>
  <c r="V143" i="57" s="1"/>
  <c r="W143" i="57" s="1"/>
  <c r="F142" i="57"/>
  <c r="M143" i="57"/>
  <c r="N143" i="57" s="1"/>
  <c r="O143" i="57" s="1"/>
  <c r="P143" i="57" s="1"/>
  <c r="Q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H67" i="56" l="1"/>
  <c r="H80" i="56" s="1"/>
  <c r="AA25" i="58"/>
  <c r="AA67" i="58"/>
  <c r="AA104" i="58" s="1"/>
  <c r="AA6" i="58"/>
  <c r="AA22" i="58"/>
  <c r="AA12" i="58" a="1"/>
  <c r="AA12" i="58" s="1"/>
  <c r="AA11" i="58" s="1"/>
  <c r="AB4" i="58"/>
  <c r="AA7" i="58"/>
  <c r="AA5" i="58"/>
  <c r="Y87" i="58"/>
  <c r="Y76" i="58"/>
  <c r="Y77" i="58"/>
  <c r="Y88" i="58"/>
  <c r="Z8" i="58"/>
  <c r="H69" i="56"/>
  <c r="H82" i="56" s="1"/>
  <c r="T69" i="56"/>
  <c r="U69" i="56" s="1"/>
  <c r="V69" i="56" s="1"/>
  <c r="W69" i="56" s="1"/>
  <c r="N69" i="56"/>
  <c r="O69" i="56" s="1"/>
  <c r="P69" i="56" s="1"/>
  <c r="Q69" i="56" s="1"/>
  <c r="H68" i="56"/>
  <c r="H81" i="56" s="1"/>
  <c r="T68" i="56"/>
  <c r="U68" i="56" s="1"/>
  <c r="V68" i="56" s="1"/>
  <c r="W68" i="56" s="1"/>
  <c r="N68" i="56"/>
  <c r="O68" i="56" s="1"/>
  <c r="P68" i="56" s="1"/>
  <c r="Q68" i="56" s="1"/>
  <c r="F89" i="56"/>
  <c r="N71" i="56"/>
  <c r="O71" i="56" s="1"/>
  <c r="P71" i="56" s="1"/>
  <c r="Q71" i="56" s="1"/>
  <c r="G84" i="56"/>
  <c r="T70" i="56"/>
  <c r="U70" i="56" s="1"/>
  <c r="V70" i="56" s="1"/>
  <c r="W70" i="56" s="1"/>
  <c r="G83" i="56"/>
  <c r="N72" i="56"/>
  <c r="O72" i="56" s="1"/>
  <c r="P72" i="56" s="1"/>
  <c r="R72" i="56" s="1"/>
  <c r="T72" i="56"/>
  <c r="U72" i="56" s="1"/>
  <c r="V72" i="56" s="1"/>
  <c r="X72" i="56" s="1"/>
  <c r="H72" i="56"/>
  <c r="H85" i="56" s="1"/>
  <c r="T67" i="56"/>
  <c r="U67" i="56" s="1"/>
  <c r="V67" i="56" s="1"/>
  <c r="J67" i="56" s="1"/>
  <c r="G80" i="56"/>
  <c r="U15" i="56"/>
  <c r="O15" i="56"/>
  <c r="N15" i="56"/>
  <c r="H15" i="56"/>
  <c r="Q15" i="56"/>
  <c r="O44" i="57"/>
  <c r="P44" i="57" s="1"/>
  <c r="T44" i="57"/>
  <c r="U44" i="57" s="1"/>
  <c r="V44" i="57" s="1"/>
  <c r="W44" i="57" s="1"/>
  <c r="O38" i="57"/>
  <c r="P38" i="57" s="1"/>
  <c r="Q38" i="57" s="1"/>
  <c r="T38" i="57"/>
  <c r="U38" i="57" s="1"/>
  <c r="V38" i="57" s="1"/>
  <c r="W38" i="57" s="1"/>
  <c r="O37" i="57"/>
  <c r="P37" i="57" s="1"/>
  <c r="Q37" i="57" s="1"/>
  <c r="T37" i="57"/>
  <c r="U37" i="57" s="1"/>
  <c r="V37" i="57" s="1"/>
  <c r="W37" i="57" s="1"/>
  <c r="T30" i="57"/>
  <c r="G30" i="57" s="1"/>
  <c r="O30" i="57"/>
  <c r="F37" i="57"/>
  <c r="I48" i="57"/>
  <c r="K143" i="57"/>
  <c r="K73" i="57"/>
  <c r="F35" i="57"/>
  <c r="F77" i="57" s="1"/>
  <c r="F80" i="57" s="1"/>
  <c r="N70" i="56"/>
  <c r="O70" i="56" s="1"/>
  <c r="P70" i="56" s="1"/>
  <c r="L110" i="56"/>
  <c r="M133" i="57"/>
  <c r="N133" i="57" s="1"/>
  <c r="S133" i="57"/>
  <c r="S132" i="57" s="1"/>
  <c r="P16" i="56"/>
  <c r="O16" i="56"/>
  <c r="F18" i="56"/>
  <c r="G17" i="56"/>
  <c r="N209" i="57"/>
  <c r="O196" i="57" s="1"/>
  <c r="M210" i="57"/>
  <c r="M96" i="57"/>
  <c r="K103" i="57"/>
  <c r="K104" i="57" s="1"/>
  <c r="L225" i="57"/>
  <c r="L226" i="57" s="1"/>
  <c r="N198" i="57"/>
  <c r="L199" i="57"/>
  <c r="L203" i="57" s="1"/>
  <c r="N196" i="57"/>
  <c r="N197" i="57"/>
  <c r="BE246" i="57"/>
  <c r="N246" i="57"/>
  <c r="N247" i="57" s="1"/>
  <c r="BF246" i="57"/>
  <c r="BF247" i="57" s="1"/>
  <c r="O197" i="57"/>
  <c r="L212" i="57"/>
  <c r="L213" i="57" s="1"/>
  <c r="G100" i="57"/>
  <c r="G132" i="57"/>
  <c r="F43" i="57"/>
  <c r="N43" i="57"/>
  <c r="T71" i="56"/>
  <c r="U71" i="56" s="1"/>
  <c r="V71" i="56" s="1"/>
  <c r="X71" i="56" s="1"/>
  <c r="H71" i="56"/>
  <c r="H84" i="56" s="1"/>
  <c r="Q67" i="56"/>
  <c r="I73" i="57"/>
  <c r="M87" i="57"/>
  <c r="H104" i="57"/>
  <c r="J100" i="57"/>
  <c r="K96" i="57"/>
  <c r="H70" i="56"/>
  <c r="H83" i="56" s="1"/>
  <c r="J73" i="57"/>
  <c r="S87" i="57"/>
  <c r="H73" i="57"/>
  <c r="H143" i="57"/>
  <c r="K100" i="57"/>
  <c r="H100" i="57"/>
  <c r="O42" i="57"/>
  <c r="S25" i="57"/>
  <c r="F25" i="57" s="1"/>
  <c r="N25" i="57"/>
  <c r="T25" i="57" s="1"/>
  <c r="H63" i="56"/>
  <c r="H76" i="56" s="1"/>
  <c r="N63" i="56"/>
  <c r="O63" i="56" s="1"/>
  <c r="P63" i="56" s="1"/>
  <c r="T63" i="56"/>
  <c r="U63" i="56" s="1"/>
  <c r="V63" i="56" s="1"/>
  <c r="T65" i="56"/>
  <c r="U65" i="56" s="1"/>
  <c r="V65" i="56" s="1"/>
  <c r="N65" i="56"/>
  <c r="O65" i="56" s="1"/>
  <c r="P65" i="56" s="1"/>
  <c r="H65" i="56"/>
  <c r="H78" i="56" s="1"/>
  <c r="M139" i="57"/>
  <c r="J96" i="57"/>
  <c r="I100" i="57"/>
  <c r="J104" i="57"/>
  <c r="M82" i="57"/>
  <c r="M85" i="57" s="1"/>
  <c r="S36" i="57"/>
  <c r="N36" i="57"/>
  <c r="T36" i="57" s="1"/>
  <c r="U36" i="57" s="1"/>
  <c r="V36" i="57" s="1"/>
  <c r="W36" i="57" s="1"/>
  <c r="O27" i="57"/>
  <c r="G42" i="57"/>
  <c r="G27" i="57"/>
  <c r="H66" i="56"/>
  <c r="H79" i="56" s="1"/>
  <c r="T66" i="56"/>
  <c r="U66" i="56" s="1"/>
  <c r="V66" i="56" s="1"/>
  <c r="N66" i="56"/>
  <c r="O66" i="56" s="1"/>
  <c r="P66" i="56" s="1"/>
  <c r="K174" i="56"/>
  <c r="T138" i="57"/>
  <c r="S69" i="57"/>
  <c r="G69" i="57"/>
  <c r="M69" i="57"/>
  <c r="Q67" i="57"/>
  <c r="K67" i="57" s="1"/>
  <c r="J67" i="57"/>
  <c r="O106" i="56"/>
  <c r="N108" i="56"/>
  <c r="N107" i="56"/>
  <c r="N109" i="56"/>
  <c r="P134" i="57"/>
  <c r="M70" i="57"/>
  <c r="N70" i="57" s="1"/>
  <c r="S70" i="57"/>
  <c r="T70" i="57" s="1"/>
  <c r="G70" i="57"/>
  <c r="N64" i="57"/>
  <c r="I96" i="57"/>
  <c r="J13" i="56"/>
  <c r="K16" i="56"/>
  <c r="J16" i="56"/>
  <c r="I15" i="56"/>
  <c r="L13" i="56"/>
  <c r="K13" i="56"/>
  <c r="L16" i="56"/>
  <c r="I13" i="56"/>
  <c r="L15" i="56"/>
  <c r="I16" i="56"/>
  <c r="K15" i="56"/>
  <c r="J15" i="56"/>
  <c r="I67" i="57"/>
  <c r="P14" i="56"/>
  <c r="N14" i="56"/>
  <c r="X14" i="56"/>
  <c r="H14" i="56"/>
  <c r="T14" i="56"/>
  <c r="Q14" i="56"/>
  <c r="V14" i="56"/>
  <c r="W14" i="56"/>
  <c r="R14" i="56"/>
  <c r="L14" i="56" s="1"/>
  <c r="U14" i="56"/>
  <c r="O14" i="56"/>
  <c r="H67" i="57"/>
  <c r="T64" i="57"/>
  <c r="I143" i="57"/>
  <c r="O41" i="57"/>
  <c r="H104" i="56"/>
  <c r="H88" i="56" s="1"/>
  <c r="G88" i="56"/>
  <c r="M110" i="56"/>
  <c r="H64" i="56"/>
  <c r="H77" i="56" s="1"/>
  <c r="T64" i="56"/>
  <c r="U64" i="56" s="1"/>
  <c r="V64" i="56" s="1"/>
  <c r="N64" i="56"/>
  <c r="O64" i="56" s="1"/>
  <c r="P64" i="56" s="1"/>
  <c r="S26" i="57"/>
  <c r="F26" i="57" s="1"/>
  <c r="N26" i="57"/>
  <c r="T26" i="57" s="1"/>
  <c r="U26" i="57" s="1"/>
  <c r="E51" i="57"/>
  <c r="E110" i="57"/>
  <c r="K172" i="56"/>
  <c r="F48" i="56"/>
  <c r="F39" i="56" s="1"/>
  <c r="N39" i="56" s="1"/>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G144" i="57"/>
  <c r="G41" i="57"/>
  <c r="S77" i="57"/>
  <c r="S80" i="57" s="1"/>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F164" i="57"/>
  <c r="H96" i="57"/>
  <c r="I104" i="57"/>
  <c r="M212" i="57"/>
  <c r="U134" i="57"/>
  <c r="I134" i="57" s="1"/>
  <c r="T132" i="57"/>
  <c r="M104" i="57"/>
  <c r="J143" i="57"/>
  <c r="P31" i="57"/>
  <c r="S104" i="57"/>
  <c r="P35" i="57"/>
  <c r="C108" i="57"/>
  <c r="C81" i="57"/>
  <c r="C97" i="57" s="1"/>
  <c r="C118" i="57" s="1"/>
  <c r="K171" i="56"/>
  <c r="K173" i="56"/>
  <c r="F60" i="56"/>
  <c r="G37" i="57" l="1"/>
  <c r="H44" i="57"/>
  <c r="H38" i="57"/>
  <c r="K69" i="56"/>
  <c r="R68" i="56"/>
  <c r="G44" i="57"/>
  <c r="I68" i="56"/>
  <c r="U142" i="57"/>
  <c r="V142" i="57" s="1"/>
  <c r="W142" i="57" s="1"/>
  <c r="U144" i="57"/>
  <c r="V144" i="57" s="1"/>
  <c r="W144" i="57" s="1"/>
  <c r="J69" i="56"/>
  <c r="I69" i="56"/>
  <c r="G38" i="57"/>
  <c r="K68" i="56"/>
  <c r="H37" i="57"/>
  <c r="J68" i="56"/>
  <c r="K38" i="57"/>
  <c r="J70" i="56"/>
  <c r="E89" i="56"/>
  <c r="H30" i="57"/>
  <c r="AA8" i="58"/>
  <c r="AB67" i="58"/>
  <c r="AB104" i="58" s="1"/>
  <c r="AB22" i="58"/>
  <c r="AB12" i="58" a="1"/>
  <c r="AB12" i="58" s="1"/>
  <c r="AB11" i="58" s="1"/>
  <c r="AB6" i="58"/>
  <c r="AC4" i="58"/>
  <c r="AB5" i="58"/>
  <c r="AB8" i="58" s="1"/>
  <c r="AB7" i="58"/>
  <c r="Z87" i="58"/>
  <c r="Z88" i="58"/>
  <c r="Z76" i="58"/>
  <c r="Z77" i="58"/>
  <c r="AB25" i="58"/>
  <c r="I38" i="57"/>
  <c r="I44" i="57"/>
  <c r="X69" i="56"/>
  <c r="X70" i="56"/>
  <c r="R69" i="56"/>
  <c r="I70" i="56"/>
  <c r="X68" i="56"/>
  <c r="AG76" i="56"/>
  <c r="R71" i="56"/>
  <c r="L71" i="56" s="1"/>
  <c r="Q72" i="56"/>
  <c r="J65" i="56"/>
  <c r="J38" i="57"/>
  <c r="J63" i="56"/>
  <c r="I71" i="56"/>
  <c r="J72" i="56"/>
  <c r="I67" i="56"/>
  <c r="W72" i="56"/>
  <c r="R70" i="56"/>
  <c r="L72" i="56"/>
  <c r="Q70" i="56"/>
  <c r="K70" i="56" s="1"/>
  <c r="I72" i="56"/>
  <c r="W67" i="56"/>
  <c r="K67" i="56" s="1"/>
  <c r="X67" i="56"/>
  <c r="L67" i="56" s="1"/>
  <c r="F36" i="56"/>
  <c r="F28" i="56"/>
  <c r="G28" i="56" s="1"/>
  <c r="K14" i="56"/>
  <c r="J71" i="56"/>
  <c r="J14" i="56"/>
  <c r="I14" i="56"/>
  <c r="J37" i="57"/>
  <c r="I37" i="57"/>
  <c r="K37" i="57"/>
  <c r="F87" i="57"/>
  <c r="F90" i="57" s="1"/>
  <c r="S90" i="57" s="1"/>
  <c r="U30" i="57"/>
  <c r="V30" i="57" s="1"/>
  <c r="W30" i="57" s="1"/>
  <c r="N77" i="57"/>
  <c r="N80" i="57" s="1"/>
  <c r="T43" i="57"/>
  <c r="U43" i="57" s="1"/>
  <c r="V43" i="57" s="1"/>
  <c r="W43" i="57" s="1"/>
  <c r="M132" i="57"/>
  <c r="G31" i="57"/>
  <c r="H31" i="57"/>
  <c r="G35" i="57"/>
  <c r="G77" i="57" s="1"/>
  <c r="G80" i="57" s="1"/>
  <c r="H35" i="57"/>
  <c r="H42" i="57"/>
  <c r="H41" i="57"/>
  <c r="M213" i="57"/>
  <c r="M217" i="57" s="1"/>
  <c r="J104" i="47" s="1"/>
  <c r="M137" i="57"/>
  <c r="S139" i="57"/>
  <c r="S137" i="57" s="1"/>
  <c r="F36" i="57"/>
  <c r="F82" i="57" s="1"/>
  <c r="F85" i="57" s="1"/>
  <c r="H27" i="57"/>
  <c r="O198" i="57"/>
  <c r="O199" i="57" s="1"/>
  <c r="O209" i="57"/>
  <c r="P197" i="57" s="1"/>
  <c r="N212" i="57"/>
  <c r="N213" i="57" s="1"/>
  <c r="I65" i="56"/>
  <c r="O17" i="56"/>
  <c r="I17" i="56" s="1"/>
  <c r="H17" i="56"/>
  <c r="Q17" i="56"/>
  <c r="K17" i="56" s="1"/>
  <c r="R17" i="56"/>
  <c r="X17" i="56"/>
  <c r="P17" i="56"/>
  <c r="J17" i="56" s="1"/>
  <c r="N17" i="56"/>
  <c r="W17" i="56"/>
  <c r="T17" i="56"/>
  <c r="V17" i="56"/>
  <c r="U17" i="56"/>
  <c r="G18" i="56"/>
  <c r="F19" i="56"/>
  <c r="O43" i="57"/>
  <c r="P43" i="57" s="1"/>
  <c r="N199" i="57"/>
  <c r="N204" i="57" s="1"/>
  <c r="W71" i="56"/>
  <c r="K71" i="56" s="1"/>
  <c r="I64" i="56"/>
  <c r="S82" i="57"/>
  <c r="S85" i="57" s="1"/>
  <c r="T39" i="56"/>
  <c r="G39" i="56" s="1"/>
  <c r="O39" i="56"/>
  <c r="N226" i="57"/>
  <c r="O26" i="57"/>
  <c r="H26" i="57"/>
  <c r="I66" i="56"/>
  <c r="T68" i="57"/>
  <c r="T69" i="57"/>
  <c r="U70" i="57"/>
  <c r="U138" i="57"/>
  <c r="F30" i="56"/>
  <c r="G30" i="56" s="1"/>
  <c r="F31" i="56"/>
  <c r="G31" i="56" s="1"/>
  <c r="F32" i="56"/>
  <c r="G32" i="56" s="1"/>
  <c r="F35" i="56"/>
  <c r="G35" i="56" s="1"/>
  <c r="F33" i="56"/>
  <c r="G33" i="56" s="1"/>
  <c r="F34" i="56"/>
  <c r="G34" i="56" s="1"/>
  <c r="N110" i="56"/>
  <c r="R66" i="56"/>
  <c r="Q66" i="56"/>
  <c r="O142" i="57"/>
  <c r="H142" i="57"/>
  <c r="N254" i="57"/>
  <c r="P244" i="57"/>
  <c r="O227" i="57"/>
  <c r="O223" i="57"/>
  <c r="P245" i="57"/>
  <c r="O224" i="57"/>
  <c r="O225" i="57"/>
  <c r="P246" i="57"/>
  <c r="K217" i="57"/>
  <c r="P41" i="57"/>
  <c r="O64" i="57"/>
  <c r="H64" i="57"/>
  <c r="N68" i="57"/>
  <c r="O70" i="57"/>
  <c r="N69" i="57"/>
  <c r="H70" i="57"/>
  <c r="F29" i="56"/>
  <c r="G29" i="56" s="1"/>
  <c r="R64" i="56"/>
  <c r="Q64" i="56"/>
  <c r="I63" i="56"/>
  <c r="O109" i="56"/>
  <c r="O108" i="56"/>
  <c r="P106" i="56"/>
  <c r="O107" i="56"/>
  <c r="U27" i="57"/>
  <c r="I27" i="57" s="1"/>
  <c r="P27" i="57"/>
  <c r="R65" i="56"/>
  <c r="Q65" i="56"/>
  <c r="P42" i="57"/>
  <c r="O247" i="57"/>
  <c r="M203" i="57"/>
  <c r="X64" i="56"/>
  <c r="W64" i="56"/>
  <c r="U31" i="57"/>
  <c r="I31" i="57" s="1"/>
  <c r="J64" i="56"/>
  <c r="X65" i="56"/>
  <c r="W65" i="56"/>
  <c r="N82" i="57"/>
  <c r="N85" i="57" s="1"/>
  <c r="G26" i="57"/>
  <c r="N132" i="57"/>
  <c r="O133" i="57"/>
  <c r="H133" i="57"/>
  <c r="X63" i="56"/>
  <c r="W63" i="56"/>
  <c r="K231" i="57"/>
  <c r="L231" i="57" s="1"/>
  <c r="O144" i="57"/>
  <c r="H144" i="57"/>
  <c r="Q134" i="57"/>
  <c r="U64" i="57"/>
  <c r="R63" i="56"/>
  <c r="Q63" i="56"/>
  <c r="P30" i="57"/>
  <c r="T82" i="57"/>
  <c r="T85" i="57" s="1"/>
  <c r="I42" i="57"/>
  <c r="O36" i="57"/>
  <c r="G36" i="57"/>
  <c r="H36" i="57"/>
  <c r="Q35" i="57"/>
  <c r="Q44" i="57"/>
  <c r="K44" i="57" s="1"/>
  <c r="J44" i="57"/>
  <c r="X66" i="56"/>
  <c r="W66" i="56"/>
  <c r="Q31" i="57"/>
  <c r="F40" i="56"/>
  <c r="J66" i="56"/>
  <c r="O25" i="57"/>
  <c r="G25" i="57"/>
  <c r="H25" i="57"/>
  <c r="U132" i="57"/>
  <c r="V134" i="57"/>
  <c r="J134" i="57" s="1"/>
  <c r="T77" i="57"/>
  <c r="T80" i="57" s="1"/>
  <c r="I41" i="57"/>
  <c r="O138" i="57"/>
  <c r="H138" i="57"/>
  <c r="L217" i="57" l="1"/>
  <c r="I104" i="47" s="1"/>
  <c r="H104" i="47"/>
  <c r="L68" i="56"/>
  <c r="I30" i="57"/>
  <c r="G43" i="57"/>
  <c r="L69" i="56"/>
  <c r="H43" i="57"/>
  <c r="L70" i="56"/>
  <c r="AA76" i="58"/>
  <c r="AA77" i="58"/>
  <c r="AA87" i="58"/>
  <c r="AA88" i="58"/>
  <c r="AB88" i="58"/>
  <c r="AB87" i="58"/>
  <c r="AB76" i="58"/>
  <c r="AB77" i="58"/>
  <c r="AC67" i="58"/>
  <c r="AC104" i="58" s="1"/>
  <c r="AC7" i="58"/>
  <c r="AC5" i="58"/>
  <c r="AC6" i="58"/>
  <c r="AD4" i="58"/>
  <c r="AC12" i="58" a="1"/>
  <c r="AC12" i="58" s="1"/>
  <c r="AC11" i="58" s="1"/>
  <c r="AC22" i="58"/>
  <c r="AC25" i="58"/>
  <c r="K72" i="56"/>
  <c r="L66" i="56"/>
  <c r="K66" i="56"/>
  <c r="K64" i="56"/>
  <c r="K65" i="56"/>
  <c r="K63" i="56"/>
  <c r="L65" i="56"/>
  <c r="L64" i="56"/>
  <c r="T28" i="56"/>
  <c r="N28" i="56"/>
  <c r="O28" i="56" s="1"/>
  <c r="U28" i="56" s="1"/>
  <c r="V28" i="56" s="1"/>
  <c r="W28" i="56" s="1"/>
  <c r="X28" i="56" s="1"/>
  <c r="H28" i="56"/>
  <c r="L17" i="56"/>
  <c r="L63" i="56"/>
  <c r="M90" i="57"/>
  <c r="H77" i="57"/>
  <c r="H80" i="57" s="1"/>
  <c r="I43" i="57"/>
  <c r="P198" i="57"/>
  <c r="G82" i="57"/>
  <c r="G85" i="57" s="1"/>
  <c r="I35" i="57"/>
  <c r="O212" i="57"/>
  <c r="O213" i="57" s="1"/>
  <c r="N203" i="57"/>
  <c r="O203" i="57" s="1"/>
  <c r="H68" i="57"/>
  <c r="M218" i="57"/>
  <c r="H69" i="57"/>
  <c r="O210" i="57"/>
  <c r="O211" i="57"/>
  <c r="P209" i="57"/>
  <c r="Q197" i="57" s="1"/>
  <c r="P196" i="57"/>
  <c r="Q18" i="56"/>
  <c r="P18" i="56"/>
  <c r="X18" i="56"/>
  <c r="W18" i="56"/>
  <c r="V18" i="56"/>
  <c r="O18" i="56"/>
  <c r="I18" i="56" s="1"/>
  <c r="U18" i="56"/>
  <c r="H18" i="56"/>
  <c r="T18" i="56"/>
  <c r="R18" i="56"/>
  <c r="N18" i="56"/>
  <c r="F20" i="56"/>
  <c r="G19" i="56"/>
  <c r="P199" i="57"/>
  <c r="Q196" i="57"/>
  <c r="O82" i="57"/>
  <c r="O85" i="57" s="1"/>
  <c r="G36" i="56"/>
  <c r="T36" i="56" s="1"/>
  <c r="H82" i="57"/>
  <c r="H85" i="57" s="1"/>
  <c r="P25" i="57"/>
  <c r="I25" i="57"/>
  <c r="O204" i="57"/>
  <c r="W134" i="57"/>
  <c r="K134" i="57" s="1"/>
  <c r="V132" i="57"/>
  <c r="Q43" i="57"/>
  <c r="J43" i="57"/>
  <c r="N217" i="57"/>
  <c r="K104" i="47" s="1"/>
  <c r="Q42" i="57"/>
  <c r="O254" i="57"/>
  <c r="Q245" i="57"/>
  <c r="Q246" i="57"/>
  <c r="P225" i="57"/>
  <c r="Q244" i="57"/>
  <c r="P227" i="57"/>
  <c r="P223" i="57"/>
  <c r="P224" i="57"/>
  <c r="N118" i="56"/>
  <c r="M139" i="56" s="1"/>
  <c r="N113" i="56"/>
  <c r="M134" i="56" s="1"/>
  <c r="N111" i="56"/>
  <c r="M132" i="56" s="1"/>
  <c r="N120" i="56"/>
  <c r="M141" i="56" s="1"/>
  <c r="N123" i="56"/>
  <c r="M144" i="56" s="1"/>
  <c r="N119" i="56"/>
  <c r="M140" i="56" s="1"/>
  <c r="N116" i="56"/>
  <c r="M137" i="56" s="1"/>
  <c r="N117" i="56"/>
  <c r="M138" i="56" s="1"/>
  <c r="N114" i="56"/>
  <c r="M135" i="56" s="1"/>
  <c r="N115" i="56"/>
  <c r="M136" i="56" s="1"/>
  <c r="N112" i="56"/>
  <c r="M133" i="56" s="1"/>
  <c r="P26" i="57"/>
  <c r="P138" i="57"/>
  <c r="I138" i="57"/>
  <c r="J35" i="57"/>
  <c r="P144" i="57"/>
  <c r="I144" i="57"/>
  <c r="V27" i="57"/>
  <c r="J27" i="57" s="1"/>
  <c r="P247" i="57"/>
  <c r="H34" i="56"/>
  <c r="T34" i="56"/>
  <c r="N34" i="56"/>
  <c r="M232" i="57"/>
  <c r="M231" i="57"/>
  <c r="O69" i="57"/>
  <c r="O68" i="57"/>
  <c r="P70" i="57"/>
  <c r="I70" i="57"/>
  <c r="U77" i="57"/>
  <c r="U80" i="57" s="1"/>
  <c r="U82" i="57"/>
  <c r="U85" i="57" s="1"/>
  <c r="J42" i="57"/>
  <c r="H132" i="57"/>
  <c r="V31" i="57"/>
  <c r="J31" i="57" s="1"/>
  <c r="U68" i="57"/>
  <c r="U69" i="57"/>
  <c r="V70" i="57"/>
  <c r="Q30" i="57"/>
  <c r="J30" i="57"/>
  <c r="O226" i="57"/>
  <c r="N33" i="56"/>
  <c r="T33" i="56"/>
  <c r="H33" i="56"/>
  <c r="O110" i="56"/>
  <c r="P64" i="57"/>
  <c r="I64" i="57"/>
  <c r="P142" i="57"/>
  <c r="I142" i="57"/>
  <c r="N35" i="56"/>
  <c r="H35" i="56"/>
  <c r="T35" i="56"/>
  <c r="G40" i="56"/>
  <c r="Q106" i="56"/>
  <c r="P109" i="56"/>
  <c r="P107" i="56"/>
  <c r="P108" i="56"/>
  <c r="Q41" i="57"/>
  <c r="H32" i="56"/>
  <c r="T32" i="56"/>
  <c r="N32" i="56"/>
  <c r="P39" i="56"/>
  <c r="O40" i="56"/>
  <c r="V138" i="57"/>
  <c r="U137" i="57"/>
  <c r="P133" i="57"/>
  <c r="O132" i="57"/>
  <c r="I133" i="57"/>
  <c r="Q27" i="57"/>
  <c r="O77" i="57"/>
  <c r="O80" i="57" s="1"/>
  <c r="T31" i="56"/>
  <c r="N31" i="56"/>
  <c r="H31" i="56"/>
  <c r="U39" i="56"/>
  <c r="H39" i="56" s="1"/>
  <c r="V64" i="57"/>
  <c r="P36" i="57"/>
  <c r="I36" i="57"/>
  <c r="T29" i="56"/>
  <c r="N29" i="56"/>
  <c r="H29" i="56"/>
  <c r="Q209" i="57"/>
  <c r="Q198" i="57"/>
  <c r="N30" i="56"/>
  <c r="H30" i="56"/>
  <c r="T30" i="56"/>
  <c r="N218" i="57" l="1"/>
  <c r="K106" i="47" s="1"/>
  <c r="J106" i="47"/>
  <c r="N183" i="56"/>
  <c r="I39" i="56"/>
  <c r="I40" i="56" s="1"/>
  <c r="AD7" i="58"/>
  <c r="AD12" i="58" a="1"/>
  <c r="AD12" i="58" s="1"/>
  <c r="AD11" i="58" s="1"/>
  <c r="AD5" i="58"/>
  <c r="AD67" i="58"/>
  <c r="AD104" i="58" s="1"/>
  <c r="AD6" i="58"/>
  <c r="AD22" i="58"/>
  <c r="AD25" i="58" s="1"/>
  <c r="AE4" i="58"/>
  <c r="AC8" i="58"/>
  <c r="J18" i="56"/>
  <c r="K18" i="56"/>
  <c r="L18" i="56"/>
  <c r="I77" i="57"/>
  <c r="I80" i="57" s="1"/>
  <c r="J41" i="57"/>
  <c r="P210" i="57"/>
  <c r="I68" i="57"/>
  <c r="I69" i="57"/>
  <c r="I26" i="57"/>
  <c r="V26" i="57"/>
  <c r="Q199" i="57"/>
  <c r="P211" i="57"/>
  <c r="P213" i="57" s="1"/>
  <c r="P212" i="57"/>
  <c r="G20" i="56"/>
  <c r="F21" i="56"/>
  <c r="T19" i="56"/>
  <c r="R19" i="56"/>
  <c r="P19" i="56"/>
  <c r="X19" i="56"/>
  <c r="H19" i="56"/>
  <c r="U19" i="56"/>
  <c r="W19" i="56"/>
  <c r="V19" i="56"/>
  <c r="Q19" i="56"/>
  <c r="K19" i="56" s="1"/>
  <c r="O19" i="56"/>
  <c r="N19" i="56"/>
  <c r="R196" i="57"/>
  <c r="R197" i="57"/>
  <c r="I82" i="57"/>
  <c r="I85" i="57" s="1"/>
  <c r="H36" i="56"/>
  <c r="N36" i="56"/>
  <c r="P77" i="57"/>
  <c r="P80" i="57" s="1"/>
  <c r="P82" i="57"/>
  <c r="P85" i="57" s="1"/>
  <c r="V39" i="56"/>
  <c r="J39" i="56" s="1"/>
  <c r="U40" i="56"/>
  <c r="P40" i="56"/>
  <c r="R39" i="56"/>
  <c r="Q39" i="56"/>
  <c r="Q109" i="56"/>
  <c r="Q107" i="56"/>
  <c r="Q108" i="56"/>
  <c r="R106" i="56"/>
  <c r="O35" i="56"/>
  <c r="U35" i="56" s="1"/>
  <c r="N232" i="57"/>
  <c r="N231" i="57"/>
  <c r="Q26" i="57"/>
  <c r="Q142" i="57"/>
  <c r="K142" i="57" s="1"/>
  <c r="J142" i="57"/>
  <c r="W27" i="57"/>
  <c r="K27" i="57" s="1"/>
  <c r="K35" i="57"/>
  <c r="W132" i="57"/>
  <c r="K30" i="57"/>
  <c r="W31" i="57"/>
  <c r="K31" i="57" s="1"/>
  <c r="V77" i="57"/>
  <c r="V80" i="57" s="1"/>
  <c r="K41" i="57"/>
  <c r="O32" i="56"/>
  <c r="U32" i="56" s="1"/>
  <c r="T40" i="56"/>
  <c r="N40" i="56"/>
  <c r="Q70" i="57"/>
  <c r="P68" i="57"/>
  <c r="P69" i="57"/>
  <c r="J70" i="57"/>
  <c r="O218" i="57"/>
  <c r="L106" i="47" s="1"/>
  <c r="O217" i="57"/>
  <c r="L104" i="47" s="1"/>
  <c r="Q210" i="57"/>
  <c r="Q211" i="57"/>
  <c r="R209" i="57"/>
  <c r="Q212" i="57"/>
  <c r="R198" i="57"/>
  <c r="I132" i="57"/>
  <c r="O33" i="56"/>
  <c r="U33" i="56" s="1"/>
  <c r="V82" i="57"/>
  <c r="V85" i="57" s="1"/>
  <c r="O31" i="56"/>
  <c r="U31" i="56" s="1"/>
  <c r="V31" i="56" s="1"/>
  <c r="W31" i="56" s="1"/>
  <c r="X31" i="56" s="1"/>
  <c r="W70" i="57"/>
  <c r="V69" i="57"/>
  <c r="V68" i="57"/>
  <c r="K42" i="57"/>
  <c r="P28" i="56"/>
  <c r="I28" i="56"/>
  <c r="Q25" i="57"/>
  <c r="J25" i="57"/>
  <c r="Q144" i="57"/>
  <c r="K144" i="57" s="1"/>
  <c r="J144" i="57"/>
  <c r="P226" i="57"/>
  <c r="K43" i="57"/>
  <c r="W138" i="57"/>
  <c r="V137" i="57"/>
  <c r="O30" i="56"/>
  <c r="U30" i="56" s="1"/>
  <c r="O29" i="56"/>
  <c r="U29" i="56" s="1"/>
  <c r="H40" i="56"/>
  <c r="O34" i="56"/>
  <c r="U34" i="56" s="1"/>
  <c r="R246" i="57"/>
  <c r="R244" i="57"/>
  <c r="Q224" i="57"/>
  <c r="R245" i="57"/>
  <c r="P254" i="57"/>
  <c r="Q227" i="57"/>
  <c r="Q225" i="57"/>
  <c r="Q223" i="57"/>
  <c r="W64" i="57"/>
  <c r="Q36" i="57"/>
  <c r="K36" i="57" s="1"/>
  <c r="J36" i="57"/>
  <c r="Q133" i="57"/>
  <c r="P132" i="57"/>
  <c r="J133" i="57"/>
  <c r="O117" i="56"/>
  <c r="N138" i="56" s="1"/>
  <c r="O112" i="56"/>
  <c r="N133" i="56" s="1"/>
  <c r="O120" i="56"/>
  <c r="N141" i="56" s="1"/>
  <c r="O119" i="56"/>
  <c r="N140" i="56" s="1"/>
  <c r="O111" i="56"/>
  <c r="N132" i="56" s="1"/>
  <c r="O123" i="56"/>
  <c r="N144" i="56" s="1"/>
  <c r="O116" i="56"/>
  <c r="N137" i="56" s="1"/>
  <c r="O118" i="56"/>
  <c r="N139" i="56" s="1"/>
  <c r="O113" i="56"/>
  <c r="N134" i="56" s="1"/>
  <c r="O114" i="56"/>
  <c r="N135" i="56" s="1"/>
  <c r="O115" i="56"/>
  <c r="N136" i="56" s="1"/>
  <c r="P204" i="57"/>
  <c r="P203" i="57"/>
  <c r="P110" i="56"/>
  <c r="Q64" i="57"/>
  <c r="J64" i="57"/>
  <c r="Q138" i="57"/>
  <c r="J138" i="57"/>
  <c r="Q247" i="57"/>
  <c r="O183" i="56" l="1"/>
  <c r="J68" i="57"/>
  <c r="J69" i="57"/>
  <c r="AD8" i="58"/>
  <c r="AC88" i="58"/>
  <c r="AC76" i="58"/>
  <c r="AC77" i="58"/>
  <c r="AC87" i="58"/>
  <c r="AE67" i="58"/>
  <c r="AE104" i="58" s="1"/>
  <c r="AE22" i="58"/>
  <c r="AE25" i="58" s="1"/>
  <c r="AE12" i="58" a="1"/>
  <c r="AE12" i="58" s="1"/>
  <c r="AE11" i="58" s="1"/>
  <c r="AE7" i="58"/>
  <c r="AE6" i="58"/>
  <c r="AF4" i="58"/>
  <c r="AE5" i="58"/>
  <c r="AE8" i="58" s="1"/>
  <c r="J19" i="56"/>
  <c r="L19" i="56"/>
  <c r="I19" i="56"/>
  <c r="J77" i="57"/>
  <c r="J80" i="57" s="1"/>
  <c r="J26" i="57"/>
  <c r="W26" i="57"/>
  <c r="K26" i="57" s="1"/>
  <c r="R199" i="57"/>
  <c r="F22" i="56"/>
  <c r="G21" i="56"/>
  <c r="H20" i="56"/>
  <c r="P20" i="56"/>
  <c r="J20" i="56" s="1"/>
  <c r="R20" i="56"/>
  <c r="L20" i="56" s="1"/>
  <c r="W20" i="56"/>
  <c r="O20" i="56"/>
  <c r="U20" i="56"/>
  <c r="X20" i="56"/>
  <c r="T20" i="56"/>
  <c r="V20" i="56"/>
  <c r="Q20" i="56"/>
  <c r="K20" i="56" s="1"/>
  <c r="N20" i="56"/>
  <c r="Q110" i="56"/>
  <c r="S197" i="57"/>
  <c r="S196" i="57"/>
  <c r="O36" i="56"/>
  <c r="J82" i="57"/>
  <c r="J85" i="57" s="1"/>
  <c r="U36" i="56"/>
  <c r="K25" i="57"/>
  <c r="P30" i="56"/>
  <c r="I30" i="56"/>
  <c r="Q82" i="57"/>
  <c r="Q85" i="57" s="1"/>
  <c r="Q213" i="57"/>
  <c r="J40" i="56"/>
  <c r="P123" i="56"/>
  <c r="O144"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V34" i="56"/>
  <c r="W34" i="56" s="1"/>
  <c r="X34" i="56" s="1"/>
  <c r="W82" i="57"/>
  <c r="W85" i="57" s="1"/>
  <c r="Q77" i="57"/>
  <c r="Q80" i="57" s="1"/>
  <c r="V29" i="56"/>
  <c r="W29" i="56" s="1"/>
  <c r="X29" i="56" s="1"/>
  <c r="R40" i="56"/>
  <c r="V33" i="56"/>
  <c r="W33" i="56" s="1"/>
  <c r="X33" i="56" s="1"/>
  <c r="P35" i="56"/>
  <c r="I35" i="56"/>
  <c r="R107" i="56"/>
  <c r="R108" i="56"/>
  <c r="S106" i="56"/>
  <c r="R109" i="56"/>
  <c r="V40" i="56"/>
  <c r="W39" i="56"/>
  <c r="K39" i="56" s="1"/>
  <c r="Q254" i="57"/>
  <c r="S245" i="57"/>
  <c r="S246" i="57"/>
  <c r="S244" i="57"/>
  <c r="R225" i="57"/>
  <c r="R227" i="57"/>
  <c r="R223" i="57"/>
  <c r="R224" i="57"/>
  <c r="V35" i="56"/>
  <c r="W35" i="56" s="1"/>
  <c r="X35" i="56" s="1"/>
  <c r="R247" i="57"/>
  <c r="V30" i="56"/>
  <c r="W30" i="56" s="1"/>
  <c r="X30" i="56" s="1"/>
  <c r="S209" i="57"/>
  <c r="R211" i="57"/>
  <c r="S198" i="57"/>
  <c r="R210" i="57"/>
  <c r="R212" i="57"/>
  <c r="O231" i="57"/>
  <c r="O232" i="57"/>
  <c r="K64" i="57"/>
  <c r="K82" i="57" s="1"/>
  <c r="K85" i="57" s="1"/>
  <c r="J132" i="57"/>
  <c r="W137" i="57"/>
  <c r="R28" i="56"/>
  <c r="Q28" i="56"/>
  <c r="J28" i="56"/>
  <c r="V32" i="56"/>
  <c r="W32" i="56" s="1"/>
  <c r="X32" i="56" s="1"/>
  <c r="W69" i="57"/>
  <c r="W68" i="57"/>
  <c r="P33" i="56"/>
  <c r="I33" i="56"/>
  <c r="K138" i="57"/>
  <c r="Q68" i="57"/>
  <c r="Q69" i="57"/>
  <c r="K70" i="57"/>
  <c r="W77" i="57"/>
  <c r="W80" i="57" s="1"/>
  <c r="P183" i="56" l="1"/>
  <c r="K68" i="57"/>
  <c r="AF22" i="58"/>
  <c r="AF25" i="58" s="1"/>
  <c r="AF5" i="58"/>
  <c r="AF67" i="58"/>
  <c r="AF104" i="58" s="1"/>
  <c r="AG4" i="58"/>
  <c r="AF6" i="58"/>
  <c r="AF12" i="58" a="1"/>
  <c r="AF12" i="58" s="1"/>
  <c r="AF11" i="58" s="1"/>
  <c r="AF7" i="58"/>
  <c r="AD87" i="58"/>
  <c r="AE87" i="58" s="1"/>
  <c r="AD76" i="58"/>
  <c r="AE76" i="58" s="1"/>
  <c r="AD88" i="58"/>
  <c r="AE88" i="58" s="1"/>
  <c r="AD77" i="58"/>
  <c r="AE77" i="58" s="1"/>
  <c r="I20" i="56"/>
  <c r="K77" i="57"/>
  <c r="K80" i="57" s="1"/>
  <c r="K69" i="57"/>
  <c r="X21" i="56"/>
  <c r="T21" i="56"/>
  <c r="R21" i="56"/>
  <c r="L21" i="56" s="1"/>
  <c r="O21" i="56"/>
  <c r="N21" i="56"/>
  <c r="W21" i="56"/>
  <c r="U21" i="56"/>
  <c r="V21" i="56"/>
  <c r="Q21" i="56"/>
  <c r="K21" i="56" s="1"/>
  <c r="P21" i="56"/>
  <c r="H21" i="56"/>
  <c r="G22" i="56"/>
  <c r="F23" i="56"/>
  <c r="R226" i="57"/>
  <c r="T196" i="57"/>
  <c r="T197" i="57"/>
  <c r="S247" i="57"/>
  <c r="P36" i="56"/>
  <c r="R34" i="56"/>
  <c r="Q34" i="56"/>
  <c r="J34" i="56"/>
  <c r="Q30" i="56"/>
  <c r="R30" i="56"/>
  <c r="J30" i="56"/>
  <c r="K40" i="56"/>
  <c r="R31" i="56"/>
  <c r="Q31" i="56"/>
  <c r="J31" i="56"/>
  <c r="K132" i="57"/>
  <c r="S109" i="56"/>
  <c r="S108" i="56"/>
  <c r="T106" i="56"/>
  <c r="S107" i="56"/>
  <c r="L28" i="56"/>
  <c r="R213" i="57"/>
  <c r="R110" i="56"/>
  <c r="T246" i="57"/>
  <c r="T244" i="57"/>
  <c r="R254" i="57"/>
  <c r="S224" i="57"/>
  <c r="T245" i="57"/>
  <c r="S227" i="57"/>
  <c r="S223" i="57"/>
  <c r="S225" i="57"/>
  <c r="V36" i="56"/>
  <c r="S199" i="57"/>
  <c r="R32" i="56"/>
  <c r="Q32" i="56"/>
  <c r="J32" i="56"/>
  <c r="S212" i="57"/>
  <c r="S211" i="57"/>
  <c r="T198" i="57"/>
  <c r="T209" i="57"/>
  <c r="S210" i="57"/>
  <c r="I36" i="56"/>
  <c r="R35" i="56"/>
  <c r="Q35" i="56"/>
  <c r="J35" i="56"/>
  <c r="K28" i="56"/>
  <c r="R33" i="56"/>
  <c r="Q33" i="56"/>
  <c r="J33" i="56"/>
  <c r="X39" i="56"/>
  <c r="L39" i="56" s="1"/>
  <c r="L40" i="56" s="1"/>
  <c r="W40" i="56"/>
  <c r="R29" i="56"/>
  <c r="Q29" i="56"/>
  <c r="J29" i="56"/>
  <c r="AG6" i="58" l="1"/>
  <c r="AG5" i="58"/>
  <c r="AG7" i="58"/>
  <c r="AG67" i="58"/>
  <c r="AG104" i="58" s="1"/>
  <c r="AG12" i="58" a="1"/>
  <c r="AG12" i="58" s="1"/>
  <c r="AG11" i="58" s="1"/>
  <c r="AH4" i="58"/>
  <c r="AG22" i="58"/>
  <c r="AG25" i="58" s="1"/>
  <c r="AF8" i="58"/>
  <c r="I21" i="56"/>
  <c r="J21" i="56"/>
  <c r="R22" i="56"/>
  <c r="X22" i="56"/>
  <c r="T22" i="56"/>
  <c r="U22" i="56" s="1"/>
  <c r="V22" i="56" s="1"/>
  <c r="W22" i="56" s="1"/>
  <c r="H22" i="56"/>
  <c r="N22" i="56"/>
  <c r="O22" i="56" s="1"/>
  <c r="G23" i="56"/>
  <c r="F24" i="56"/>
  <c r="S110" i="56"/>
  <c r="S213" i="57"/>
  <c r="T199" i="57"/>
  <c r="U196" i="57"/>
  <c r="U197" i="57"/>
  <c r="W36" i="56"/>
  <c r="L34" i="56"/>
  <c r="L33" i="56"/>
  <c r="K32" i="56"/>
  <c r="J36" i="56"/>
  <c r="U245" i="57"/>
  <c r="U244" i="57"/>
  <c r="U246" i="57"/>
  <c r="T227" i="57"/>
  <c r="T223" i="57"/>
  <c r="T225" i="57"/>
  <c r="T224" i="57"/>
  <c r="S254" i="57"/>
  <c r="L35" i="56"/>
  <c r="K30" i="56"/>
  <c r="T247" i="57"/>
  <c r="K33" i="56"/>
  <c r="K31" i="56"/>
  <c r="K34" i="56"/>
  <c r="L32" i="56"/>
  <c r="T108" i="56"/>
  <c r="U106" i="56"/>
  <c r="T109" i="56"/>
  <c r="T107" i="56"/>
  <c r="K29" i="56"/>
  <c r="Q36" i="56"/>
  <c r="L30" i="56"/>
  <c r="X40" i="56"/>
  <c r="K35" i="56"/>
  <c r="T212" i="57"/>
  <c r="T211" i="57"/>
  <c r="T210" i="57"/>
  <c r="U209" i="57"/>
  <c r="U198" i="57"/>
  <c r="R36" i="56"/>
  <c r="L29" i="56"/>
  <c r="L31" i="56"/>
  <c r="S226" i="57"/>
  <c r="AG8" i="58" l="1"/>
  <c r="AF87" i="58"/>
  <c r="AF77" i="58"/>
  <c r="AF88" i="58"/>
  <c r="AF76" i="58"/>
  <c r="AH7" i="58"/>
  <c r="AI4" i="58"/>
  <c r="AH67" i="58"/>
  <c r="AH104" i="58" s="1"/>
  <c r="AH6" i="58"/>
  <c r="AH12" i="58" a="1"/>
  <c r="AH12" i="58" s="1"/>
  <c r="AH11" i="58" s="1"/>
  <c r="AH5" i="58"/>
  <c r="AH22" i="58"/>
  <c r="AH25" i="58" s="1"/>
  <c r="L22" i="56"/>
  <c r="G24" i="56"/>
  <c r="F25" i="56"/>
  <c r="G25" i="56" s="1"/>
  <c r="R23" i="56"/>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AG87" i="58" l="1"/>
  <c r="AG88" i="58"/>
  <c r="AG77" i="58"/>
  <c r="AG76" i="58"/>
  <c r="AI12" i="58" a="1"/>
  <c r="AI12" i="58" s="1"/>
  <c r="AI11" i="58" s="1"/>
  <c r="AI22" i="58"/>
  <c r="AI25" i="58" s="1"/>
  <c r="AI5" i="58"/>
  <c r="AI8" i="58" s="1"/>
  <c r="AI7" i="58"/>
  <c r="AI67" i="58"/>
  <c r="AI104" i="58" s="1"/>
  <c r="AJ4" i="58"/>
  <c r="AI6" i="58"/>
  <c r="AH8" i="58"/>
  <c r="L23" i="56"/>
  <c r="V199" i="57"/>
  <c r="J22" i="56"/>
  <c r="Q22" i="56"/>
  <c r="K22" i="56" s="1"/>
  <c r="P23" i="56"/>
  <c r="I23" i="56"/>
  <c r="N25" i="56"/>
  <c r="O25" i="56" s="1"/>
  <c r="R25" i="56"/>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AH77" i="58" l="1"/>
  <c r="AI77" i="58" s="1"/>
  <c r="AH88" i="58"/>
  <c r="AI88" i="58" s="1"/>
  <c r="AH87" i="58"/>
  <c r="AI87" i="58" s="1"/>
  <c r="AH76" i="58"/>
  <c r="AI76" i="58" s="1"/>
  <c r="AJ67" i="58"/>
  <c r="AJ104" i="58" s="1"/>
  <c r="AJ22" i="58"/>
  <c r="AJ25" i="58" s="1"/>
  <c r="AJ7" i="58"/>
  <c r="AJ6" i="58"/>
  <c r="AJ12" i="58" a="1"/>
  <c r="AJ12" i="58" s="1"/>
  <c r="AJ11" i="58" s="1"/>
  <c r="AJ5" i="58"/>
  <c r="AJ8" i="58" s="1"/>
  <c r="AK4" i="58"/>
  <c r="L25" i="56"/>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AK25" i="58" l="1"/>
  <c r="AK12" i="58" a="1"/>
  <c r="AK12" i="58" s="1"/>
  <c r="AK11" i="58" s="1"/>
  <c r="AL4" i="58"/>
  <c r="AK67" i="58"/>
  <c r="AK104" i="58" s="1"/>
  <c r="AK6" i="58"/>
  <c r="AK22" i="58"/>
  <c r="AK7" i="58"/>
  <c r="AK5" i="58"/>
  <c r="AK8" i="58" s="1"/>
  <c r="AJ88" i="58"/>
  <c r="AJ76" i="58"/>
  <c r="AJ87" i="58"/>
  <c r="AJ77" i="58"/>
  <c r="Q24" i="56"/>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AL25" i="58" l="1"/>
  <c r="AL67" i="58"/>
  <c r="AL104" i="58" s="1"/>
  <c r="AL22" i="58"/>
  <c r="AL6" i="58"/>
  <c r="AL12" i="58" a="1"/>
  <c r="AL12" i="58" s="1"/>
  <c r="AL11" i="58" s="1"/>
  <c r="AL5" i="58"/>
  <c r="AM4" i="58"/>
  <c r="AL7" i="58"/>
  <c r="AK87" i="58"/>
  <c r="AK88" i="58"/>
  <c r="AK76" i="58"/>
  <c r="AK77" i="58"/>
  <c r="X110" i="56"/>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AM25" i="58" l="1"/>
  <c r="AM67" i="58"/>
  <c r="AM104" i="58" s="1"/>
  <c r="AM12" i="58" a="1"/>
  <c r="AM12" i="58" s="1"/>
  <c r="AM11" i="58" s="1"/>
  <c r="AM6" i="58"/>
  <c r="AM5" i="58"/>
  <c r="AM8" i="58" s="1"/>
  <c r="AN4" i="58"/>
  <c r="AM22" i="58"/>
  <c r="AM7" i="58"/>
  <c r="AL8" i="58"/>
  <c r="Y213" i="57"/>
  <c r="AA197" i="57"/>
  <c r="AA196" i="57"/>
  <c r="Y226" i="57"/>
  <c r="Z212" i="57"/>
  <c r="Z211" i="57"/>
  <c r="AA209" i="57"/>
  <c r="Z210" i="57"/>
  <c r="AA198" i="57"/>
  <c r="Z109" i="56"/>
  <c r="AA106" i="56"/>
  <c r="Z107" i="56"/>
  <c r="Z108" i="56"/>
  <c r="Y110" i="56"/>
  <c r="Z247" i="57"/>
  <c r="AA244" i="57"/>
  <c r="Y254" i="57"/>
  <c r="AA245" i="57"/>
  <c r="Z225" i="57"/>
  <c r="Z223" i="57"/>
  <c r="Z227" i="57"/>
  <c r="Z224" i="57"/>
  <c r="AA246" i="57"/>
  <c r="AL87" i="58" l="1"/>
  <c r="AM87" i="58" s="1"/>
  <c r="AL88" i="58"/>
  <c r="AM88" i="58" s="1"/>
  <c r="AL76" i="58"/>
  <c r="AM76" i="58" s="1"/>
  <c r="AL77" i="58"/>
  <c r="AM77" i="58" s="1"/>
  <c r="AN25" i="58"/>
  <c r="AN67" i="58"/>
  <c r="AN104" i="58" s="1"/>
  <c r="AN22" i="58"/>
  <c r="AN6" i="58"/>
  <c r="AN5" i="58"/>
  <c r="AN12" i="58" a="1"/>
  <c r="AN12" i="58" s="1"/>
  <c r="AN11" i="58" s="1"/>
  <c r="AO4" i="58"/>
  <c r="AN7" i="58"/>
  <c r="AA199" i="57"/>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O67" i="58" l="1"/>
  <c r="AO104" i="58" s="1"/>
  <c r="AO5" i="58"/>
  <c r="AO7" i="58"/>
  <c r="AO22" i="58"/>
  <c r="AO25" i="58" s="1"/>
  <c r="AO6" i="58"/>
  <c r="AO12" i="58" a="1"/>
  <c r="AO12" i="58" s="1"/>
  <c r="AO11" i="58" s="1"/>
  <c r="AP4" i="58"/>
  <c r="AN8" i="58"/>
  <c r="AC196" i="57"/>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N88" i="58" l="1"/>
  <c r="AN76" i="58"/>
  <c r="AN77" i="58"/>
  <c r="AN87" i="58"/>
  <c r="AP67" i="58"/>
  <c r="AP104" i="58" s="1"/>
  <c r="AP12" i="58" a="1"/>
  <c r="AP12" i="58" s="1"/>
  <c r="AP11" i="58" s="1"/>
  <c r="AP22" i="58"/>
  <c r="AP25" i="58" s="1"/>
  <c r="AP5" i="58"/>
  <c r="AP8" i="58" s="1"/>
  <c r="AP7" i="58"/>
  <c r="AQ4" i="58"/>
  <c r="AP6" i="58"/>
  <c r="AO8" i="58"/>
  <c r="AB110" i="56"/>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O88" i="58" l="1"/>
  <c r="AP88" i="58" s="1"/>
  <c r="AO76" i="58"/>
  <c r="AP76" i="58" s="1"/>
  <c r="AO87" i="58"/>
  <c r="AP87" i="58" s="1"/>
  <c r="AO77" i="58"/>
  <c r="AP77" i="58" s="1"/>
  <c r="AQ67" i="58"/>
  <c r="AQ104" i="58" s="1"/>
  <c r="AQ22" i="58"/>
  <c r="AQ25" i="58" s="1"/>
  <c r="AQ12" i="58" a="1"/>
  <c r="AQ12" i="58" s="1"/>
  <c r="AQ11" i="58" s="1"/>
  <c r="AQ7" i="58"/>
  <c r="AQ5" i="58"/>
  <c r="AR4" i="58"/>
  <c r="AQ6" i="58"/>
  <c r="AC226" i="57"/>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R7" i="58" l="1"/>
  <c r="AR67" i="58"/>
  <c r="AR104" i="58" s="1"/>
  <c r="AR22" i="58"/>
  <c r="AR25" i="58" s="1"/>
  <c r="AR5" i="58"/>
  <c r="AR12" i="58" a="1"/>
  <c r="AR12" i="58" s="1"/>
  <c r="AR11" i="58" s="1"/>
  <c r="AS4" i="58"/>
  <c r="AR6" i="58"/>
  <c r="AQ8" i="58"/>
  <c r="AE247" i="57"/>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S67" i="58" l="1"/>
  <c r="AS104" i="58" s="1"/>
  <c r="AS5" i="58"/>
  <c r="AS8" i="58" s="1"/>
  <c r="AS12" i="58" a="1"/>
  <c r="AS12" i="58" s="1"/>
  <c r="AS11" i="58" s="1"/>
  <c r="AS6" i="58"/>
  <c r="AS7" i="58"/>
  <c r="AS22" i="58"/>
  <c r="AS25" i="58" s="1"/>
  <c r="AT4" i="58"/>
  <c r="AR8" i="58"/>
  <c r="AQ77" i="58"/>
  <c r="AQ88" i="58"/>
  <c r="AQ87" i="58"/>
  <c r="AQ76" i="58"/>
  <c r="AE213" i="57"/>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T22" i="58" l="1"/>
  <c r="AT25" i="58" s="1"/>
  <c r="AT12" i="58" a="1"/>
  <c r="AT12" i="58" s="1"/>
  <c r="AT11" i="58" s="1"/>
  <c r="AT7" i="58"/>
  <c r="AU4" i="58"/>
  <c r="AT6" i="58"/>
  <c r="AT67" i="58"/>
  <c r="AT104" i="58" s="1"/>
  <c r="AT5" i="58"/>
  <c r="AR87" i="58"/>
  <c r="AS87" i="58" s="1"/>
  <c r="AR77" i="58"/>
  <c r="AS77" i="58" s="1"/>
  <c r="AR76" i="58"/>
  <c r="AS76" i="58" s="1"/>
  <c r="AR88" i="58"/>
  <c r="AS88" i="58" s="1"/>
  <c r="AF110" i="56"/>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U12" i="58" l="1" a="1"/>
  <c r="AU12" i="58" s="1"/>
  <c r="AU11" i="58" s="1"/>
  <c r="AU5" i="58"/>
  <c r="AU8" i="58" s="1"/>
  <c r="AU7" i="58"/>
  <c r="AV4" i="58"/>
  <c r="AU67" i="58"/>
  <c r="AU104" i="58" s="1"/>
  <c r="AU22" i="58"/>
  <c r="AU25" i="58" s="1"/>
  <c r="AU6" i="58"/>
  <c r="AT8" i="58"/>
  <c r="AG110" i="56"/>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V7" i="58" l="1"/>
  <c r="AV6" i="58"/>
  <c r="AV67" i="58"/>
  <c r="AV104" i="58" s="1"/>
  <c r="AV22" i="58"/>
  <c r="AV25" i="58" s="1"/>
  <c r="AV12" i="58" a="1"/>
  <c r="AV12" i="58" s="1"/>
  <c r="AV11" i="58" s="1"/>
  <c r="AV5" i="58"/>
  <c r="AT77" i="58"/>
  <c r="AU77" i="58" s="1"/>
  <c r="AT87" i="58"/>
  <c r="AU87" i="58" s="1"/>
  <c r="AT76" i="58"/>
  <c r="AU76" i="58" s="1"/>
  <c r="AT88" i="58"/>
  <c r="AU88" i="58" s="1"/>
  <c r="AH213" i="57"/>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V8" i="58" l="1"/>
  <c r="AR10" i="58"/>
  <c r="AI110" i="56"/>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V88" i="58" l="1"/>
  <c r="AV87" i="58"/>
  <c r="AV76" i="58"/>
  <c r="AV77" i="58"/>
  <c r="AS10" i="58"/>
  <c r="AK199" i="57"/>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T10" i="58" l="1"/>
  <c r="AL199" i="57"/>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U10" i="58" l="1"/>
  <c r="AM199" i="57"/>
  <c r="AL213" i="57"/>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H19" i="57" s="1"/>
  <c r="J21" i="32"/>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P52" i="52" s="1"/>
  <c r="O18" i="52"/>
  <c r="N18" i="52"/>
  <c r="M18" i="52"/>
  <c r="L18" i="52"/>
  <c r="L52" i="52" s="1"/>
  <c r="K18" i="52"/>
  <c r="J18" i="52"/>
  <c r="I18" i="52"/>
  <c r="I52" i="52" s="1"/>
  <c r="H18" i="52"/>
  <c r="H52" i="52" s="1"/>
  <c r="G18" i="52"/>
  <c r="F18" i="52"/>
  <c r="F52" i="52" s="1"/>
  <c r="E18" i="52"/>
  <c r="E52" i="52" s="1"/>
  <c r="D18" i="52"/>
  <c r="D52" i="52" s="1"/>
  <c r="S17" i="52"/>
  <c r="R17" i="52"/>
  <c r="Q17" i="52"/>
  <c r="P17" i="52"/>
  <c r="O17" i="52"/>
  <c r="N17" i="52"/>
  <c r="M17" i="52"/>
  <c r="M51" i="52" s="1"/>
  <c r="L17" i="52"/>
  <c r="L51" i="52" s="1"/>
  <c r="K17" i="52"/>
  <c r="J17" i="52"/>
  <c r="J51" i="52" s="1"/>
  <c r="I17" i="52"/>
  <c r="I51" i="52" s="1"/>
  <c r="H17" i="52"/>
  <c r="H51" i="52" s="1"/>
  <c r="G17" i="52"/>
  <c r="F17" i="52"/>
  <c r="E17" i="52"/>
  <c r="D17" i="52"/>
  <c r="D51" i="52" s="1"/>
  <c r="S16" i="52"/>
  <c r="R16" i="52"/>
  <c r="Q16" i="52"/>
  <c r="Q50" i="52" s="1"/>
  <c r="P16" i="52"/>
  <c r="O16" i="52"/>
  <c r="N16" i="52"/>
  <c r="N50" i="52" s="1"/>
  <c r="M16" i="52"/>
  <c r="M50" i="52" s="1"/>
  <c r="L16" i="52"/>
  <c r="L50" i="52" s="1"/>
  <c r="K16" i="52"/>
  <c r="J16" i="52"/>
  <c r="I16" i="52"/>
  <c r="H16" i="52"/>
  <c r="H50" i="52" s="1"/>
  <c r="G16" i="52"/>
  <c r="F16" i="52"/>
  <c r="E16" i="52"/>
  <c r="E50" i="52" s="1"/>
  <c r="D16" i="52"/>
  <c r="D50" i="52" s="1"/>
  <c r="S15" i="52"/>
  <c r="R15" i="52"/>
  <c r="R49" i="52" s="1"/>
  <c r="Q15" i="52"/>
  <c r="P15" i="52"/>
  <c r="O15" i="52"/>
  <c r="N15" i="52"/>
  <c r="M15" i="52"/>
  <c r="L15" i="52"/>
  <c r="L49" i="52" s="1"/>
  <c r="K15" i="52"/>
  <c r="K49" i="52" s="1"/>
  <c r="J15" i="52"/>
  <c r="I15" i="52"/>
  <c r="I49" i="52" s="1"/>
  <c r="H15" i="52"/>
  <c r="G15" i="52"/>
  <c r="F15" i="52"/>
  <c r="F49" i="52" s="1"/>
  <c r="E15" i="52"/>
  <c r="D15" i="52"/>
  <c r="D49" i="52" s="1"/>
  <c r="S14" i="52"/>
  <c r="R14" i="52"/>
  <c r="Q14" i="52"/>
  <c r="P14" i="52"/>
  <c r="P48" i="52" s="1"/>
  <c r="O14" i="52"/>
  <c r="O48" i="52" s="1"/>
  <c r="N14" i="52"/>
  <c r="M14" i="52"/>
  <c r="M48" i="52" s="1"/>
  <c r="L14" i="52"/>
  <c r="L48" i="52" s="1"/>
  <c r="K14" i="52"/>
  <c r="J14" i="52"/>
  <c r="J48" i="52" s="1"/>
  <c r="I14" i="52"/>
  <c r="I48" i="52" s="1"/>
  <c r="H14" i="52"/>
  <c r="H48" i="52" s="1"/>
  <c r="G14" i="52"/>
  <c r="F14" i="52"/>
  <c r="E14" i="52"/>
  <c r="D14" i="52"/>
  <c r="D48" i="52" s="1"/>
  <c r="S13" i="52"/>
  <c r="R13" i="52"/>
  <c r="Q13" i="52"/>
  <c r="Q47" i="52" s="1"/>
  <c r="P13" i="52"/>
  <c r="P47" i="52" s="1"/>
  <c r="O13" i="52"/>
  <c r="N13" i="52"/>
  <c r="N47" i="52" s="1"/>
  <c r="M13" i="52"/>
  <c r="M47" i="52" s="1"/>
  <c r="L13" i="52"/>
  <c r="L47" i="52" s="1"/>
  <c r="K13" i="52"/>
  <c r="J13" i="52"/>
  <c r="I13" i="52"/>
  <c r="H13" i="52"/>
  <c r="H47" i="52" s="1"/>
  <c r="G13" i="52"/>
  <c r="F13" i="52"/>
  <c r="E13" i="52"/>
  <c r="E47" i="52" s="1"/>
  <c r="D13" i="52"/>
  <c r="D47" i="52" s="1"/>
  <c r="S12" i="52"/>
  <c r="R12" i="52"/>
  <c r="R46" i="52" s="1"/>
  <c r="Q12" i="52"/>
  <c r="Q46" i="52" s="1"/>
  <c r="P12" i="52"/>
  <c r="P46" i="52" s="1"/>
  <c r="O12" i="52"/>
  <c r="N12" i="52"/>
  <c r="M12" i="52"/>
  <c r="L12" i="52"/>
  <c r="L46" i="52" s="1"/>
  <c r="K12" i="52"/>
  <c r="J12" i="52"/>
  <c r="I12" i="52"/>
  <c r="I46" i="52" s="1"/>
  <c r="H12" i="52"/>
  <c r="H46" i="52" s="1"/>
  <c r="G12" i="52"/>
  <c r="F12" i="52"/>
  <c r="F46" i="52" s="1"/>
  <c r="E12" i="52"/>
  <c r="D12" i="52"/>
  <c r="D46" i="52" s="1"/>
  <c r="S11" i="52"/>
  <c r="R11" i="52"/>
  <c r="Q11" i="52"/>
  <c r="P11" i="52"/>
  <c r="O11" i="52"/>
  <c r="N11" i="52"/>
  <c r="M11" i="52"/>
  <c r="M45" i="52" s="1"/>
  <c r="L11" i="52"/>
  <c r="K11" i="52"/>
  <c r="J11" i="52"/>
  <c r="J45" i="52" s="1"/>
  <c r="I11" i="52"/>
  <c r="I45" i="52" s="1"/>
  <c r="H11" i="52"/>
  <c r="H45" i="52" s="1"/>
  <c r="G11" i="52"/>
  <c r="F11" i="52"/>
  <c r="E11" i="52"/>
  <c r="D11" i="52"/>
  <c r="D45" i="52" s="1"/>
  <c r="S10" i="52"/>
  <c r="R10" i="52"/>
  <c r="Q10" i="52"/>
  <c r="Q44" i="52" s="1"/>
  <c r="P10" i="52"/>
  <c r="P44" i="52" s="1"/>
  <c r="O10" i="52"/>
  <c r="N10" i="52"/>
  <c r="N44" i="52" s="1"/>
  <c r="M10" i="52"/>
  <c r="M44" i="52" s="1"/>
  <c r="L10" i="52"/>
  <c r="K10" i="52"/>
  <c r="J10" i="52"/>
  <c r="I10" i="52"/>
  <c r="H10" i="52"/>
  <c r="H44" i="52" s="1"/>
  <c r="G10" i="52"/>
  <c r="F10" i="52"/>
  <c r="E10" i="52"/>
  <c r="E44" i="52" s="1"/>
  <c r="D10" i="52"/>
  <c r="D44" i="52" s="1"/>
  <c r="S9" i="52"/>
  <c r="R9" i="52"/>
  <c r="R43" i="52" s="1"/>
  <c r="Q9" i="52"/>
  <c r="Q43" i="52" s="1"/>
  <c r="P9" i="52"/>
  <c r="P43" i="52" s="1"/>
  <c r="O9" i="52"/>
  <c r="N9" i="52"/>
  <c r="M9" i="52"/>
  <c r="L9" i="52"/>
  <c r="L43" i="52" s="1"/>
  <c r="K9" i="52"/>
  <c r="J9" i="52"/>
  <c r="I9" i="52"/>
  <c r="I43" i="52" s="1"/>
  <c r="H9" i="52"/>
  <c r="H43" i="52" s="1"/>
  <c r="G9" i="52"/>
  <c r="F9" i="52"/>
  <c r="F43" i="52" s="1"/>
  <c r="E9" i="52"/>
  <c r="E43" i="52" s="1"/>
  <c r="D9" i="52"/>
  <c r="D43" i="52" s="1"/>
  <c r="S8" i="52"/>
  <c r="R8" i="52"/>
  <c r="Q8" i="52"/>
  <c r="P8" i="52"/>
  <c r="P42" i="52" s="1"/>
  <c r="O8" i="52"/>
  <c r="N8" i="52"/>
  <c r="M8" i="52"/>
  <c r="M42" i="52" s="1"/>
  <c r="L8" i="52"/>
  <c r="L42" i="52" s="1"/>
  <c r="K8" i="52"/>
  <c r="J8" i="52"/>
  <c r="J42" i="52" s="1"/>
  <c r="I8" i="52"/>
  <c r="H8" i="52"/>
  <c r="H42" i="52" s="1"/>
  <c r="G8" i="52"/>
  <c r="F8" i="52"/>
  <c r="E8" i="52"/>
  <c r="D8" i="52"/>
  <c r="D42" i="52" s="1"/>
  <c r="S7" i="52"/>
  <c r="R7" i="52"/>
  <c r="Q7" i="52"/>
  <c r="Q41" i="52" s="1"/>
  <c r="P7" i="52"/>
  <c r="P41" i="52" s="1"/>
  <c r="O7" i="52"/>
  <c r="N7" i="52"/>
  <c r="N41" i="52" s="1"/>
  <c r="M7" i="52"/>
  <c r="L7" i="52"/>
  <c r="L41" i="52" s="1"/>
  <c r="K7" i="52"/>
  <c r="J7" i="52"/>
  <c r="I7" i="52"/>
  <c r="H7" i="52"/>
  <c r="H41" i="52" s="1"/>
  <c r="G7" i="52"/>
  <c r="F7" i="52"/>
  <c r="E7" i="52"/>
  <c r="E41" i="52" s="1"/>
  <c r="D7" i="52"/>
  <c r="D41" i="52" s="1"/>
  <c r="S6" i="52"/>
  <c r="R6" i="52"/>
  <c r="R40" i="52" s="1"/>
  <c r="Q6" i="52"/>
  <c r="Q40" i="52" s="1"/>
  <c r="P6" i="52"/>
  <c r="P40" i="52" s="1"/>
  <c r="O6" i="52"/>
  <c r="N6" i="52"/>
  <c r="M6" i="52"/>
  <c r="L6" i="52"/>
  <c r="L40" i="52" s="1"/>
  <c r="K6" i="52"/>
  <c r="K40" i="52" s="1"/>
  <c r="J6" i="52"/>
  <c r="I6" i="52"/>
  <c r="I40" i="52" s="1"/>
  <c r="H6" i="52"/>
  <c r="H40" i="52" s="1"/>
  <c r="G6" i="52"/>
  <c r="F6" i="52"/>
  <c r="F40" i="52" s="1"/>
  <c r="E6" i="52"/>
  <c r="E40" i="52" s="1"/>
  <c r="D6" i="52"/>
  <c r="D40" i="52" s="1"/>
  <c r="S5" i="52"/>
  <c r="R5" i="52"/>
  <c r="R39" i="52" s="1"/>
  <c r="Q5" i="52"/>
  <c r="P5" i="52"/>
  <c r="O5" i="52"/>
  <c r="O39" i="52" s="1"/>
  <c r="N5" i="52"/>
  <c r="M5" i="52"/>
  <c r="M39" i="52" s="1"/>
  <c r="L5" i="52"/>
  <c r="L39" i="52" s="1"/>
  <c r="K5" i="52"/>
  <c r="J5" i="52"/>
  <c r="J39" i="52" s="1"/>
  <c r="I5" i="52"/>
  <c r="I39" i="52" s="1"/>
  <c r="H5" i="52"/>
  <c r="H39" i="52" s="1"/>
  <c r="G5" i="52"/>
  <c r="F5" i="52"/>
  <c r="E5" i="52"/>
  <c r="D5" i="52"/>
  <c r="D39" i="52" s="1"/>
  <c r="S4" i="52"/>
  <c r="R4" i="52"/>
  <c r="Q4" i="52"/>
  <c r="Q38" i="52" s="1"/>
  <c r="P4" i="52"/>
  <c r="P38" i="52" s="1"/>
  <c r="O4" i="52"/>
  <c r="N4" i="52"/>
  <c r="N38" i="52" s="1"/>
  <c r="M4" i="52"/>
  <c r="M38" i="52" s="1"/>
  <c r="L4" i="52"/>
  <c r="L38" i="52" s="1"/>
  <c r="K4" i="52"/>
  <c r="J4" i="52"/>
  <c r="I4" i="52"/>
  <c r="H4" i="52"/>
  <c r="H38" i="52" s="1"/>
  <c r="G4" i="52"/>
  <c r="F4" i="52"/>
  <c r="E4" i="52"/>
  <c r="E38" i="52" s="1"/>
  <c r="D4" i="52"/>
  <c r="S3" i="52"/>
  <c r="R3" i="52"/>
  <c r="R37" i="52" s="1"/>
  <c r="Q3" i="52"/>
  <c r="P3" i="52"/>
  <c r="P37" i="52" s="1"/>
  <c r="O3" i="52"/>
  <c r="N3" i="52"/>
  <c r="M3" i="52"/>
  <c r="L3" i="52"/>
  <c r="L37" i="52" s="1"/>
  <c r="K3" i="52"/>
  <c r="J3" i="52"/>
  <c r="I3" i="52"/>
  <c r="I37" i="52" s="1"/>
  <c r="H3" i="52"/>
  <c r="H37" i="52" s="1"/>
  <c r="G3" i="52"/>
  <c r="F3" i="52"/>
  <c r="F37" i="52" s="1"/>
  <c r="E3" i="52"/>
  <c r="E37" i="52" s="1"/>
  <c r="D3" i="52"/>
  <c r="D37" i="52" s="1"/>
  <c r="S2" i="52"/>
  <c r="R2" i="52"/>
  <c r="Q2" i="52"/>
  <c r="P2" i="52"/>
  <c r="P36" i="52" s="1"/>
  <c r="O2" i="52"/>
  <c r="N2" i="52"/>
  <c r="M2" i="52"/>
  <c r="M36" i="52" s="1"/>
  <c r="L2" i="52"/>
  <c r="L36" i="52" s="1"/>
  <c r="K2" i="52"/>
  <c r="J2" i="52"/>
  <c r="J36" i="52" s="1"/>
  <c r="I2" i="52"/>
  <c r="I36" i="52" s="1"/>
  <c r="H2" i="52"/>
  <c r="H36" i="52" s="1"/>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20" i="57" s="1"/>
  <c r="I44" i="32"/>
  <c r="K20" i="57" s="1"/>
  <c r="H44" i="32"/>
  <c r="J20" i="57" s="1"/>
  <c r="F44" i="32"/>
  <c r="H20" i="57" s="1"/>
  <c r="E44" i="32"/>
  <c r="G43" i="32"/>
  <c r="I19" i="57" s="1"/>
  <c r="H43" i="32"/>
  <c r="J19" i="57" s="1"/>
  <c r="I43" i="32"/>
  <c r="K19" i="57" s="1"/>
  <c r="AM6" i="32"/>
  <c r="AM7" i="32" s="1"/>
  <c r="AG6" i="32"/>
  <c r="AO7" i="32"/>
  <c r="AA6" i="32"/>
  <c r="AA7" i="32" s="1"/>
  <c r="AH6" i="32"/>
  <c r="AH7" i="32" s="1"/>
  <c r="Z6" i="32"/>
  <c r="Z7" i="32" s="1"/>
  <c r="K6" i="32"/>
  <c r="AI6" i="32"/>
  <c r="AI7" i="32" s="1"/>
  <c r="M94" i="32"/>
  <c r="L73" i="32"/>
  <c r="L80" i="32" s="1"/>
  <c r="D36" i="52"/>
  <c r="P39" i="52"/>
  <c r="P45" i="52"/>
  <c r="P51" i="52"/>
  <c r="L45" i="52"/>
  <c r="O38" i="52"/>
  <c r="Q49" i="52"/>
  <c r="L44" i="52"/>
  <c r="I42" i="52"/>
  <c r="E49" i="52"/>
  <c r="Q52" i="52"/>
  <c r="P49" i="52"/>
  <c r="Q37" i="52"/>
  <c r="M41" i="52"/>
  <c r="H48" i="32"/>
  <c r="E108" i="47"/>
  <c r="G48" i="32"/>
  <c r="K21" i="32"/>
  <c r="D38" i="52"/>
  <c r="H49" i="52"/>
  <c r="P50" i="52"/>
  <c r="E46" i="52"/>
  <c r="E33" i="29"/>
  <c r="J33" i="29" s="1"/>
  <c r="J47" i="29" s="1"/>
  <c r="J36" i="29"/>
  <c r="J51" i="29" s="1"/>
  <c r="S36" i="52" l="1"/>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M73" i="32"/>
  <c r="M80" i="32" s="1"/>
  <c r="N94" i="32"/>
  <c r="N73" i="32" s="1"/>
  <c r="N80" i="32" s="1"/>
  <c r="F19" i="57"/>
  <c r="G19" i="57" s="1"/>
  <c r="E19" i="57"/>
  <c r="F48" i="32"/>
  <c r="F20" i="57"/>
  <c r="G20" i="57" s="1"/>
  <c r="E20" i="57"/>
  <c r="AD7" i="32"/>
  <c r="Q6" i="32"/>
  <c r="M10" i="58"/>
  <c r="L21" i="32"/>
  <c r="L10" i="58"/>
  <c r="D35" i="44"/>
  <c r="K10" i="58"/>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J6" i="32"/>
  <c r="J7" i="32" s="1"/>
  <c r="O94" i="32"/>
  <c r="O73" i="32" s="1"/>
  <c r="O80" i="32" s="1"/>
  <c r="M6" i="32"/>
  <c r="M7" i="32" s="1"/>
  <c r="AL6" i="32"/>
  <c r="AN7" i="32"/>
  <c r="AC6" i="32"/>
  <c r="AC7" i="32" s="1"/>
  <c r="V6" i="32"/>
  <c r="V7" i="32" s="1"/>
  <c r="AF6" i="32"/>
  <c r="AL7" i="32"/>
  <c r="AB6" i="32"/>
  <c r="AB7" i="32" s="1"/>
  <c r="AG7" i="32"/>
  <c r="W6" i="32"/>
  <c r="W7" i="32" s="1"/>
  <c r="AE6" i="32"/>
  <c r="AE7" i="32" s="1"/>
  <c r="S6" i="32"/>
  <c r="S7" i="32" s="1"/>
  <c r="R6" i="32"/>
  <c r="R7" i="32" s="1"/>
  <c r="H49" i="32"/>
  <c r="T6" i="32"/>
  <c r="T7" i="32" s="1"/>
  <c r="U6" i="32"/>
  <c r="X6" i="32"/>
  <c r="X7" i="32" s="1"/>
  <c r="I49" i="32"/>
  <c r="Y6" i="32"/>
  <c r="Y7" i="32" s="1"/>
  <c r="M21" i="32"/>
  <c r="M45" i="32" s="1"/>
  <c r="K3" i="29"/>
  <c r="AJ6" i="32"/>
  <c r="AJ7" i="32" s="1"/>
  <c r="AK6" i="32"/>
  <c r="AK7" i="32" s="1"/>
  <c r="G83" i="47"/>
  <c r="Q7" i="32"/>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F49" i="32"/>
  <c r="P7" i="32"/>
  <c r="I48" i="32"/>
  <c r="G49" i="32"/>
  <c r="N6" i="32"/>
  <c r="N7" i="32" s="1"/>
  <c r="P6" i="32"/>
  <c r="O6" i="32"/>
  <c r="O7" i="32" s="1"/>
  <c r="L6" i="32"/>
  <c r="L7" i="32" s="1"/>
  <c r="U7" i="32"/>
  <c r="K7" i="32"/>
  <c r="AF7" i="32"/>
  <c r="BB126" i="32"/>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D28" i="29"/>
  <c r="D5" i="29"/>
  <c r="D6" i="35"/>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N53" i="52" l="1"/>
  <c r="E97" i="47"/>
  <c r="L45" i="32"/>
  <c r="E21" i="57"/>
  <c r="E68" i="32"/>
  <c r="J68" i="32" s="1"/>
  <c r="E64" i="32"/>
  <c r="J64" i="32" s="1"/>
  <c r="E66" i="32"/>
  <c r="J66" i="32" s="1"/>
  <c r="E65" i="32"/>
  <c r="J65" i="32" s="1"/>
  <c r="E67" i="32"/>
  <c r="J67" i="32" s="1"/>
  <c r="E69" i="32"/>
  <c r="J69" i="32" s="1"/>
  <c r="E63" i="32"/>
  <c r="J63" i="32" s="1"/>
  <c r="F21" i="57"/>
  <c r="K45" i="32"/>
  <c r="G35" i="44"/>
  <c r="N10" i="58"/>
  <c r="D25" i="44"/>
  <c r="D26" i="44" s="1"/>
  <c r="E25" i="44"/>
  <c r="F25" i="44"/>
  <c r="N9" i="55"/>
  <c r="E35" i="44"/>
  <c r="F35" i="44"/>
  <c r="E89" i="47"/>
  <c r="F53" i="52"/>
  <c r="E98" i="47"/>
  <c r="E92" i="47"/>
  <c r="G11" i="55"/>
  <c r="J143" i="56"/>
  <c r="J132" i="56"/>
  <c r="L111" i="56"/>
  <c r="B54" i="56"/>
  <c r="B31" i="56"/>
  <c r="J133" i="56"/>
  <c r="L112" i="56"/>
  <c r="J144" i="56"/>
  <c r="L123" i="56"/>
  <c r="E99" i="47"/>
  <c r="B35" i="56"/>
  <c r="B58" i="56"/>
  <c r="E94" i="47"/>
  <c r="J141" i="56"/>
  <c r="L120" i="56"/>
  <c r="J138" i="56"/>
  <c r="L117" i="56"/>
  <c r="E96" i="47"/>
  <c r="B36" i="56"/>
  <c r="B59" i="56"/>
  <c r="J142" i="56"/>
  <c r="J139" i="56"/>
  <c r="G94" i="47" s="1"/>
  <c r="L118" i="56"/>
  <c r="B32" i="56"/>
  <c r="B55" i="56"/>
  <c r="J140" i="56"/>
  <c r="L119" i="56"/>
  <c r="B52" i="56"/>
  <c r="B29" i="56"/>
  <c r="B56" i="56"/>
  <c r="B33" i="56"/>
  <c r="B51" i="56"/>
  <c r="B28" i="56"/>
  <c r="J134" i="56"/>
  <c r="G89" i="47" s="1"/>
  <c r="L113" i="56"/>
  <c r="J136" i="56"/>
  <c r="L115" i="56"/>
  <c r="E95" i="47"/>
  <c r="B57" i="56"/>
  <c r="B34" i="56"/>
  <c r="J135" i="56"/>
  <c r="L114" i="56"/>
  <c r="E88" i="47"/>
  <c r="E90" i="47"/>
  <c r="E91" i="47"/>
  <c r="B53" i="56"/>
  <c r="B30" i="56"/>
  <c r="J137" i="56"/>
  <c r="G92" i="47" s="1"/>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J29" i="32"/>
  <c r="K29" i="32" s="1"/>
  <c r="L29" i="32" s="1"/>
  <c r="M29" i="32" s="1"/>
  <c r="J30" i="32"/>
  <c r="AL30" i="32"/>
  <c r="AL29" i="32"/>
  <c r="AN29" i="32"/>
  <c r="AO29" i="32" s="1"/>
  <c r="AP29" i="32" s="1"/>
  <c r="AN30" i="32"/>
  <c r="AO30" i="32" s="1"/>
  <c r="AP30" i="32" s="1"/>
  <c r="P94" i="32"/>
  <c r="Q94" i="32" s="1"/>
  <c r="G85" i="47"/>
  <c r="AB29" i="32"/>
  <c r="AC29" i="32" s="1"/>
  <c r="AD29" i="32" s="1"/>
  <c r="AE29" i="32" s="1"/>
  <c r="AF29" i="32" s="1"/>
  <c r="AB30" i="32"/>
  <c r="AC30" i="32" s="1"/>
  <c r="AD30" i="32" s="1"/>
  <c r="R29" i="32"/>
  <c r="S29" i="32" s="1"/>
  <c r="T29" i="32" s="1"/>
  <c r="U29" i="32" s="1"/>
  <c r="V29" i="32" s="1"/>
  <c r="R30" i="32"/>
  <c r="S30" i="32" s="1"/>
  <c r="T30" i="32" s="1"/>
  <c r="K30" i="32"/>
  <c r="L30" i="32" s="1"/>
  <c r="M30" i="32" s="1"/>
  <c r="N30" i="32" s="1"/>
  <c r="G53" i="52"/>
  <c r="J48" i="29"/>
  <c r="G84" i="47" s="1"/>
  <c r="M33" i="29"/>
  <c r="N33" i="29" s="1"/>
  <c r="L33" i="29"/>
  <c r="P73" i="32"/>
  <c r="P80" i="32" s="1"/>
  <c r="N21" i="32"/>
  <c r="S53" i="52"/>
  <c r="O53" i="52"/>
  <c r="K47" i="29"/>
  <c r="M47" i="29"/>
  <c r="U30" i="32"/>
  <c r="AE30" i="32"/>
  <c r="G6" i="47"/>
  <c r="G8" i="47"/>
  <c r="G9" i="47"/>
  <c r="G7" i="47"/>
  <c r="J87" i="47" l="1"/>
  <c r="K87" i="47"/>
  <c r="L87" i="47"/>
  <c r="J99" i="47"/>
  <c r="K99" i="47"/>
  <c r="L99" i="47"/>
  <c r="J91" i="47"/>
  <c r="K91" i="47"/>
  <c r="L91" i="47"/>
  <c r="J90" i="47"/>
  <c r="K90" i="47"/>
  <c r="L90" i="47"/>
  <c r="J89" i="47"/>
  <c r="K89" i="47"/>
  <c r="L89" i="47"/>
  <c r="J88" i="47"/>
  <c r="K88" i="47"/>
  <c r="L88" i="47"/>
  <c r="J96" i="47"/>
  <c r="K96" i="47"/>
  <c r="L96" i="47"/>
  <c r="G88" i="47"/>
  <c r="G90" i="47"/>
  <c r="G93" i="47"/>
  <c r="J93" i="47"/>
  <c r="K93" i="47"/>
  <c r="L93" i="47"/>
  <c r="J95" i="47"/>
  <c r="K95" i="47"/>
  <c r="L95" i="47"/>
  <c r="G95" i="47"/>
  <c r="G96" i="47"/>
  <c r="G87" i="47"/>
  <c r="J94" i="47"/>
  <c r="K94" i="47"/>
  <c r="L94" i="47"/>
  <c r="G91" i="47"/>
  <c r="J92" i="47"/>
  <c r="K92" i="47"/>
  <c r="L92" i="47"/>
  <c r="K181" i="56"/>
  <c r="G97" i="47"/>
  <c r="K183" i="56"/>
  <c r="G99" i="47"/>
  <c r="K182" i="56"/>
  <c r="G98" i="47"/>
  <c r="R47" i="29"/>
  <c r="S47" i="29" s="1"/>
  <c r="P83" i="47" s="1"/>
  <c r="N45" i="32"/>
  <c r="AM30" i="32"/>
  <c r="F26" i="44"/>
  <c r="O9" i="55"/>
  <c r="E26" i="44"/>
  <c r="G25" i="44"/>
  <c r="G26" i="44" s="1"/>
  <c r="H35" i="44"/>
  <c r="O10" i="58"/>
  <c r="O23" i="58" s="1"/>
  <c r="G11" i="57"/>
  <c r="H3" i="56"/>
  <c r="K135" i="56"/>
  <c r="H90" i="47" s="1"/>
  <c r="M114" i="56"/>
  <c r="L135" i="56" s="1"/>
  <c r="I90" i="47" s="1"/>
  <c r="K133" i="56"/>
  <c r="H88" i="47" s="1"/>
  <c r="M112" i="56"/>
  <c r="L133" i="56" s="1"/>
  <c r="I88" i="47" s="1"/>
  <c r="K140" i="56"/>
  <c r="H95" i="47" s="1"/>
  <c r="M119" i="56"/>
  <c r="L140" i="56" s="1"/>
  <c r="I95" i="47" s="1"/>
  <c r="K138" i="56"/>
  <c r="H93" i="47" s="1"/>
  <c r="M117" i="56"/>
  <c r="L138" i="56" s="1"/>
  <c r="I93" i="47" s="1"/>
  <c r="K141" i="56"/>
  <c r="H96" i="47" s="1"/>
  <c r="M120" i="56"/>
  <c r="L141" i="56" s="1"/>
  <c r="I96" i="47" s="1"/>
  <c r="K132" i="56"/>
  <c r="H87" i="47" s="1"/>
  <c r="M111" i="56"/>
  <c r="L132" i="56" s="1"/>
  <c r="I87" i="47" s="1"/>
  <c r="K137" i="56"/>
  <c r="H92" i="47" s="1"/>
  <c r="M116" i="56"/>
  <c r="L137" i="56" s="1"/>
  <c r="I92" i="47" s="1"/>
  <c r="K136" i="56"/>
  <c r="H91" i="47" s="1"/>
  <c r="M115" i="56"/>
  <c r="L136" i="56" s="1"/>
  <c r="I91" i="47" s="1"/>
  <c r="K134" i="56"/>
  <c r="H89" i="47" s="1"/>
  <c r="M113" i="56"/>
  <c r="L134" i="56" s="1"/>
  <c r="I89" i="47" s="1"/>
  <c r="K139" i="56"/>
  <c r="H94" i="47" s="1"/>
  <c r="M118" i="56"/>
  <c r="L139" i="56" s="1"/>
  <c r="I94" i="47" s="1"/>
  <c r="K144" i="56"/>
  <c r="M123" i="56"/>
  <c r="L144" i="56" s="1"/>
  <c r="L3" i="29"/>
  <c r="AM29" i="32"/>
  <c r="R94" i="32"/>
  <c r="Q73" i="32"/>
  <c r="Q80" i="32" s="1"/>
  <c r="O21" i="32"/>
  <c r="M11" i="55"/>
  <c r="F7" i="56"/>
  <c r="E47" i="57" s="1"/>
  <c r="J13" i="55"/>
  <c r="J14" i="55"/>
  <c r="C33" i="44"/>
  <c r="N47" i="29"/>
  <c r="K83" i="47" s="1"/>
  <c r="H83" i="47"/>
  <c r="L47" i="29"/>
  <c r="I83" i="47" s="1"/>
  <c r="AF30" i="32"/>
  <c r="V30" i="32"/>
  <c r="O30" i="32"/>
  <c r="AG29" i="32"/>
  <c r="N29" i="32"/>
  <c r="W29" i="32"/>
  <c r="AB47" i="29"/>
  <c r="O33" i="29"/>
  <c r="M183" i="56" l="1"/>
  <c r="I99" i="47"/>
  <c r="L183"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O45" i="32"/>
  <c r="J83" i="47"/>
  <c r="H25" i="44"/>
  <c r="H26" i="44" s="1"/>
  <c r="I35" i="44"/>
  <c r="P10" i="58"/>
  <c r="P9" i="55"/>
  <c r="M13" i="55"/>
  <c r="M14" i="55"/>
  <c r="J5" i="29"/>
  <c r="J24" i="32"/>
  <c r="E24" i="32" s="1"/>
  <c r="E15" i="57"/>
  <c r="M19" i="55"/>
  <c r="J19" i="55"/>
  <c r="M22" i="55"/>
  <c r="J22" i="55"/>
  <c r="G7" i="56"/>
  <c r="G43" i="56" s="1"/>
  <c r="N43" i="56" s="1"/>
  <c r="N76" i="56" s="1"/>
  <c r="J11" i="55"/>
  <c r="M20" i="55"/>
  <c r="M21" i="55"/>
  <c r="J21" i="55"/>
  <c r="J20" i="55"/>
  <c r="F9" i="56"/>
  <c r="J12" i="55"/>
  <c r="J15" i="55"/>
  <c r="J18" i="55"/>
  <c r="J17" i="55"/>
  <c r="J16" i="55"/>
  <c r="M12" i="55"/>
  <c r="G9" i="56"/>
  <c r="N9" i="56" s="1"/>
  <c r="T9" i="56" s="1"/>
  <c r="F8" i="56"/>
  <c r="J10" i="55"/>
  <c r="M18" i="55"/>
  <c r="M15" i="55"/>
  <c r="M16" i="55"/>
  <c r="M17" i="55"/>
  <c r="G8" i="56"/>
  <c r="N8" i="56" s="1"/>
  <c r="T8" i="56" s="1"/>
  <c r="M10" i="55"/>
  <c r="G19" i="47"/>
  <c r="K19" i="47"/>
  <c r="J19" i="47"/>
  <c r="L19" i="47"/>
  <c r="O47" i="29"/>
  <c r="P47" i="29" s="1"/>
  <c r="R73" i="32"/>
  <c r="R80" i="32" s="1"/>
  <c r="S94" i="32"/>
  <c r="P21" i="32"/>
  <c r="P45" i="32" s="1"/>
  <c r="J28" i="29"/>
  <c r="F13" i="57"/>
  <c r="F15" i="57"/>
  <c r="K6" i="35"/>
  <c r="F14" i="57"/>
  <c r="N6" i="35"/>
  <c r="C32" i="44"/>
  <c r="E14" i="57" s="1"/>
  <c r="C31" i="44"/>
  <c r="E13" i="57" s="1"/>
  <c r="K13" i="55"/>
  <c r="K19" i="55"/>
  <c r="K28" i="29"/>
  <c r="K5" i="29"/>
  <c r="K18" i="29" s="1"/>
  <c r="K24" i="32"/>
  <c r="K36" i="32" s="1"/>
  <c r="N12" i="55"/>
  <c r="T47" i="29"/>
  <c r="Q83" i="47" s="1"/>
  <c r="P30" i="32"/>
  <c r="AG30" i="32"/>
  <c r="W30" i="32"/>
  <c r="O29" i="32"/>
  <c r="X29" i="32"/>
  <c r="AH29" i="32"/>
  <c r="P33" i="29"/>
  <c r="AL47" i="29"/>
  <c r="AC47" i="29"/>
  <c r="Z83" i="47" s="1"/>
  <c r="G48" i="56" l="1"/>
  <c r="T48" i="56" s="1"/>
  <c r="P23" i="58"/>
  <c r="P14" i="58"/>
  <c r="O73" i="58"/>
  <c r="G73" i="58"/>
  <c r="F84" i="58"/>
  <c r="K73" i="58"/>
  <c r="K165" i="58" s="1"/>
  <c r="E36" i="32"/>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J36" i="32"/>
  <c r="G60" i="56"/>
  <c r="G51" i="56" s="1"/>
  <c r="I25" i="44"/>
  <c r="I26" i="44" s="1"/>
  <c r="J35" i="44"/>
  <c r="Q10" i="58"/>
  <c r="E81" i="57"/>
  <c r="E108" i="57"/>
  <c r="E55" i="57"/>
  <c r="E97" i="57"/>
  <c r="S14" i="57"/>
  <c r="M14" i="57"/>
  <c r="K12" i="55"/>
  <c r="S15" i="57"/>
  <c r="E56" i="57"/>
  <c r="E109" i="57"/>
  <c r="E101" i="57"/>
  <c r="E86" i="57"/>
  <c r="M15" i="57"/>
  <c r="N7" i="56"/>
  <c r="T7" i="56" s="1"/>
  <c r="M47" i="57" s="1"/>
  <c r="E93" i="57"/>
  <c r="E16" i="57"/>
  <c r="E54" i="57"/>
  <c r="M13" i="57"/>
  <c r="S13" i="57"/>
  <c r="E107" i="57"/>
  <c r="E75" i="57"/>
  <c r="N14" i="55"/>
  <c r="K22" i="55"/>
  <c r="K38" i="55" s="1"/>
  <c r="F47" i="57"/>
  <c r="F49" i="57" s="1"/>
  <c r="S49" i="57" s="1"/>
  <c r="N19" i="55"/>
  <c r="N13" i="55"/>
  <c r="N15" i="55"/>
  <c r="N16" i="55"/>
  <c r="N18" i="55"/>
  <c r="N17" i="55"/>
  <c r="K18" i="55"/>
  <c r="K17" i="55"/>
  <c r="K16" i="55"/>
  <c r="K15" i="55"/>
  <c r="K35" i="55"/>
  <c r="K21" i="55"/>
  <c r="K20" i="55"/>
  <c r="K29" i="55"/>
  <c r="F86" i="57"/>
  <c r="F109" i="57"/>
  <c r="F101" i="57"/>
  <c r="K14" i="55"/>
  <c r="K10" i="55"/>
  <c r="K11" i="55"/>
  <c r="F107" i="57"/>
  <c r="F93" i="57"/>
  <c r="F75" i="57"/>
  <c r="F16" i="57"/>
  <c r="F108" i="57"/>
  <c r="F81" i="57"/>
  <c r="F97" i="57"/>
  <c r="N22" i="55"/>
  <c r="N171" i="56"/>
  <c r="T43" i="56"/>
  <c r="L171" i="56"/>
  <c r="M171"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Q21" i="32"/>
  <c r="Q45" i="32" s="1"/>
  <c r="T94" i="32"/>
  <c r="S73" i="32"/>
  <c r="S80" i="32" s="1"/>
  <c r="L19" i="55"/>
  <c r="N23" i="32"/>
  <c r="L24" i="32"/>
  <c r="L36" i="32" s="1"/>
  <c r="K23" i="32"/>
  <c r="K35" i="32" s="1"/>
  <c r="K22" i="32"/>
  <c r="L22" i="55"/>
  <c r="J22" i="32"/>
  <c r="M6" i="35"/>
  <c r="L6" i="35"/>
  <c r="J23" i="32"/>
  <c r="L28" i="29"/>
  <c r="O19" i="55"/>
  <c r="M24" i="32"/>
  <c r="M22" i="32"/>
  <c r="H7" i="56"/>
  <c r="H43" i="56" s="1"/>
  <c r="O6" i="35"/>
  <c r="O13" i="55"/>
  <c r="N24" i="32"/>
  <c r="N22" i="32"/>
  <c r="M23" i="32"/>
  <c r="U47" i="29"/>
  <c r="V47" i="29" s="1"/>
  <c r="AH30" i="32"/>
  <c r="Q30" i="32"/>
  <c r="X30" i="32"/>
  <c r="AI29" i="32"/>
  <c r="Y29" i="32"/>
  <c r="P29" i="32"/>
  <c r="AD47" i="29"/>
  <c r="AA83" i="47" s="1"/>
  <c r="M83" i="47"/>
  <c r="Q47" i="29"/>
  <c r="G47" i="56" l="1"/>
  <c r="N48" i="56"/>
  <c r="G46" i="56"/>
  <c r="G59" i="56"/>
  <c r="G86" i="56" s="1"/>
  <c r="G53" i="56"/>
  <c r="N175"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T60" i="56"/>
  <c r="T51" i="56" s="1"/>
  <c r="N60" i="56"/>
  <c r="N59" i="56" s="1"/>
  <c r="N86" i="56" s="1"/>
  <c r="AA77" i="56" s="1"/>
  <c r="G52" i="56"/>
  <c r="L174" i="56" s="1"/>
  <c r="M174" i="56" s="1"/>
  <c r="G56" i="56"/>
  <c r="L178" i="56" s="1"/>
  <c r="M178" i="56" s="1"/>
  <c r="G58" i="56"/>
  <c r="L180" i="56" s="1"/>
  <c r="M180" i="56" s="1"/>
  <c r="G54" i="56"/>
  <c r="N176" i="56" s="1"/>
  <c r="G57" i="56"/>
  <c r="N179" i="56" s="1"/>
  <c r="G55" i="56"/>
  <c r="N177" i="56" s="1"/>
  <c r="N83" i="47"/>
  <c r="O83" i="47"/>
  <c r="F50" i="57"/>
  <c r="F51" i="57" s="1"/>
  <c r="M49" i="57"/>
  <c r="M50" i="57" s="1"/>
  <c r="E123" i="57"/>
  <c r="M3" i="29"/>
  <c r="K35" i="44"/>
  <c r="S6" i="35"/>
  <c r="R10" i="58"/>
  <c r="J25" i="44"/>
  <c r="J26" i="44" s="1"/>
  <c r="E120" i="57"/>
  <c r="S47" i="57"/>
  <c r="O11" i="55"/>
  <c r="O10" i="55"/>
  <c r="O22" i="55"/>
  <c r="S54" i="57"/>
  <c r="S93" i="57"/>
  <c r="S16" i="57"/>
  <c r="S107" i="57"/>
  <c r="S75" i="57"/>
  <c r="H8" i="56"/>
  <c r="M107" i="57"/>
  <c r="M75" i="57"/>
  <c r="M54" i="57"/>
  <c r="M93" i="57"/>
  <c r="M16" i="57"/>
  <c r="E58" i="57"/>
  <c r="E61" i="57" s="1"/>
  <c r="E163" i="57"/>
  <c r="E162" i="57"/>
  <c r="J229" i="57" s="1"/>
  <c r="E161" i="57"/>
  <c r="E45" i="57"/>
  <c r="E117" i="57"/>
  <c r="E116" i="57"/>
  <c r="E115" i="57"/>
  <c r="M55" i="57"/>
  <c r="M108" i="57"/>
  <c r="M97" i="57"/>
  <c r="M81" i="57"/>
  <c r="E111" i="57"/>
  <c r="S108" i="57"/>
  <c r="S97" i="57"/>
  <c r="S55" i="57"/>
  <c r="S81" i="57"/>
  <c r="L12" i="55"/>
  <c r="L14" i="55"/>
  <c r="O14" i="55"/>
  <c r="S56" i="57"/>
  <c r="S101" i="57"/>
  <c r="S86" i="57"/>
  <c r="S109" i="57"/>
  <c r="M56" i="57"/>
  <c r="M101" i="57"/>
  <c r="M109" i="57"/>
  <c r="M86" i="57"/>
  <c r="E124" i="57"/>
  <c r="E125" i="57"/>
  <c r="E121" i="57"/>
  <c r="E119" i="57"/>
  <c r="L13" i="55"/>
  <c r="L5" i="29"/>
  <c r="L18" i="29" s="1"/>
  <c r="L24" i="29" s="1"/>
  <c r="O171" i="56"/>
  <c r="P171" i="56" s="1"/>
  <c r="T92" i="56"/>
  <c r="T76" i="56"/>
  <c r="F117" i="57"/>
  <c r="F115" i="57"/>
  <c r="F116" i="57"/>
  <c r="O20" i="55"/>
  <c r="O21" i="55"/>
  <c r="H9" i="56"/>
  <c r="O12" i="55"/>
  <c r="N92" i="56"/>
  <c r="L38" i="55"/>
  <c r="M38" i="55" s="1"/>
  <c r="N38" i="55" s="1"/>
  <c r="F125" i="57"/>
  <c r="F123" i="57"/>
  <c r="F124" i="57"/>
  <c r="L15" i="55"/>
  <c r="L16" i="55"/>
  <c r="L18" i="55"/>
  <c r="L17" i="55"/>
  <c r="K26" i="55"/>
  <c r="L35" i="55"/>
  <c r="M35" i="55" s="1"/>
  <c r="N35" i="55" s="1"/>
  <c r="O35" i="55" s="1"/>
  <c r="L10" i="55"/>
  <c r="L11" i="55"/>
  <c r="S50" i="57"/>
  <c r="S57" i="57"/>
  <c r="G103" i="56"/>
  <c r="G87" i="56"/>
  <c r="L172" i="56"/>
  <c r="M172" i="56" s="1"/>
  <c r="N172" i="56"/>
  <c r="N173" i="56"/>
  <c r="L173" i="56"/>
  <c r="M173" i="56" s="1"/>
  <c r="F121" i="57"/>
  <c r="F120" i="57"/>
  <c r="F119" i="57"/>
  <c r="H60" i="56"/>
  <c r="H48" i="56"/>
  <c r="N46" i="56"/>
  <c r="N47" i="56"/>
  <c r="N87" i="56" s="1"/>
  <c r="O16" i="55"/>
  <c r="O17" i="55"/>
  <c r="O18" i="55"/>
  <c r="O15" i="55"/>
  <c r="L21" i="55"/>
  <c r="L20" i="55"/>
  <c r="T46" i="56"/>
  <c r="T47" i="56"/>
  <c r="T87" i="56" s="1"/>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S21" i="32"/>
  <c r="R21" i="32"/>
  <c r="R45" i="32" s="1"/>
  <c r="N25" i="32"/>
  <c r="N18" i="32" s="1"/>
  <c r="N34" i="32"/>
  <c r="N37" i="32" s="1"/>
  <c r="P13" i="55"/>
  <c r="M35" i="32"/>
  <c r="M38" i="32" s="1"/>
  <c r="M25" i="32"/>
  <c r="M18" i="32" s="1"/>
  <c r="M34" i="32"/>
  <c r="M37" i="32" s="1"/>
  <c r="M36" i="32"/>
  <c r="N35" i="32"/>
  <c r="N38" i="32" s="1"/>
  <c r="N36" i="32"/>
  <c r="P6" i="35"/>
  <c r="K34" i="32"/>
  <c r="K25" i="32"/>
  <c r="P19" i="55"/>
  <c r="K23" i="35"/>
  <c r="H8" i="47" s="1"/>
  <c r="K25" i="35"/>
  <c r="H6" i="47" s="1"/>
  <c r="K26" i="35"/>
  <c r="H7" i="47" s="1"/>
  <c r="K24" i="35"/>
  <c r="H9" i="47" s="1"/>
  <c r="K22" i="35"/>
  <c r="H5" i="47" s="1"/>
  <c r="K38" i="32"/>
  <c r="E22" i="32"/>
  <c r="J34" i="32"/>
  <c r="J37" i="32" s="1"/>
  <c r="J25" i="32"/>
  <c r="J35" i="32"/>
  <c r="E23" i="32"/>
  <c r="L23" i="32"/>
  <c r="L22" i="32"/>
  <c r="R83" i="47"/>
  <c r="Y30" i="32"/>
  <c r="AI30" i="32"/>
  <c r="Z29" i="32"/>
  <c r="AJ29" i="32"/>
  <c r="Q29" i="32"/>
  <c r="AE47" i="29"/>
  <c r="S83" i="47"/>
  <c r="W47" i="29"/>
  <c r="L175" i="56" l="1"/>
  <c r="M175" i="56" s="1"/>
  <c r="L177" i="56"/>
  <c r="M177" i="56" s="1"/>
  <c r="G102" i="56"/>
  <c r="L179" i="56"/>
  <c r="M179" i="56" s="1"/>
  <c r="M73" i="58"/>
  <c r="M75" i="58"/>
  <c r="M167" i="58" s="1"/>
  <c r="G89" i="56"/>
  <c r="T55" i="56"/>
  <c r="N54" i="56"/>
  <c r="N97" i="56" s="1"/>
  <c r="N174" i="56"/>
  <c r="M74" i="58"/>
  <c r="L176" i="56"/>
  <c r="M176" i="56" s="1"/>
  <c r="T58" i="56"/>
  <c r="T101" i="56" s="1"/>
  <c r="N57" i="56"/>
  <c r="N100" i="56" s="1"/>
  <c r="N52" i="56"/>
  <c r="N79" i="56" s="1"/>
  <c r="N53" i="56"/>
  <c r="N96" i="56" s="1"/>
  <c r="N56" i="56"/>
  <c r="N99" i="56" s="1"/>
  <c r="N58" i="56"/>
  <c r="N85" i="56" s="1"/>
  <c r="N55" i="56"/>
  <c r="N82" i="56" s="1"/>
  <c r="T54" i="56"/>
  <c r="T81" i="56" s="1"/>
  <c r="N51" i="56"/>
  <c r="N78" i="56" s="1"/>
  <c r="T53" i="56"/>
  <c r="T96" i="56" s="1"/>
  <c r="T52" i="56"/>
  <c r="T79" i="56" s="1"/>
  <c r="T59" i="56"/>
  <c r="T86" i="56" s="1"/>
  <c r="T57" i="56"/>
  <c r="T100" i="56" s="1"/>
  <c r="T56" i="56"/>
  <c r="T99" i="56" s="1"/>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78"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E35" i="32"/>
  <c r="E38" i="32" s="1"/>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M165" i="58"/>
  <c r="N73" i="58"/>
  <c r="N165" i="58" s="1"/>
  <c r="R14" i="58"/>
  <c r="R23" i="58"/>
  <c r="F54" i="57"/>
  <c r="F55" i="57"/>
  <c r="S161" i="57"/>
  <c r="F56" i="57"/>
  <c r="F110" i="57"/>
  <c r="F111" i="57" s="1"/>
  <c r="E248" i="57" s="1"/>
  <c r="M255" i="57" s="1"/>
  <c r="N180" i="56"/>
  <c r="M57" i="57"/>
  <c r="M163" i="57" s="1"/>
  <c r="D250" i="57"/>
  <c r="J257" i="57" s="1"/>
  <c r="E149" i="57"/>
  <c r="E151" i="57"/>
  <c r="E188" i="57" s="1"/>
  <c r="E150" i="57"/>
  <c r="E187" i="57" s="1"/>
  <c r="M120" i="57"/>
  <c r="L35" i="44"/>
  <c r="S10" i="58"/>
  <c r="K25" i="44"/>
  <c r="K26" i="44" s="1"/>
  <c r="O38" i="55"/>
  <c r="P12" i="55"/>
  <c r="D249" i="57"/>
  <c r="J256" i="57" s="1"/>
  <c r="P14" i="55"/>
  <c r="L30" i="55"/>
  <c r="M30" i="55" s="1"/>
  <c r="N30" i="55" s="1"/>
  <c r="O30" i="55" s="1"/>
  <c r="D248" i="57"/>
  <c r="J255" i="57" s="1"/>
  <c r="E129" i="57"/>
  <c r="E155" i="57" s="1"/>
  <c r="E128" i="57"/>
  <c r="E156" i="57" s="1"/>
  <c r="E193" i="57" s="1"/>
  <c r="E59" i="57"/>
  <c r="E60" i="57" s="1"/>
  <c r="M123" i="57"/>
  <c r="M124" i="57"/>
  <c r="M125" i="57"/>
  <c r="M117" i="57"/>
  <c r="M116" i="57"/>
  <c r="M115" i="57"/>
  <c r="P11" i="55"/>
  <c r="S121" i="57"/>
  <c r="S119" i="57"/>
  <c r="S120" i="57"/>
  <c r="E127" i="57"/>
  <c r="E154" i="57" s="1"/>
  <c r="P10" i="55"/>
  <c r="F128" i="57"/>
  <c r="F156" i="57" s="1"/>
  <c r="F168" i="57" s="1"/>
  <c r="S115" i="57"/>
  <c r="S117" i="57"/>
  <c r="S116" i="57"/>
  <c r="S124" i="57"/>
  <c r="S123" i="57"/>
  <c r="S125" i="57"/>
  <c r="L16" i="29"/>
  <c r="J228" i="57"/>
  <c r="L17" i="29"/>
  <c r="L26" i="55"/>
  <c r="M26" i="55" s="1"/>
  <c r="N26" i="55" s="1"/>
  <c r="O26" i="55" s="1"/>
  <c r="L29" i="55"/>
  <c r="M29" i="55" s="1"/>
  <c r="N29" i="55" s="1"/>
  <c r="O29" i="55" s="1"/>
  <c r="P29" i="55" s="1"/>
  <c r="P22" i="55"/>
  <c r="M121" i="57"/>
  <c r="M119" i="57"/>
  <c r="J230" i="57"/>
  <c r="N122" i="56"/>
  <c r="M143" i="56" s="1"/>
  <c r="J98" i="47" s="1"/>
  <c r="L122" i="56"/>
  <c r="K143" i="56" s="1"/>
  <c r="H98" i="47" s="1"/>
  <c r="F57" i="57"/>
  <c r="N93" i="56"/>
  <c r="N77" i="56"/>
  <c r="H46" i="56"/>
  <c r="H47" i="56"/>
  <c r="H51" i="56"/>
  <c r="H59" i="56"/>
  <c r="H56" i="56"/>
  <c r="H55" i="56"/>
  <c r="H58" i="56"/>
  <c r="H57" i="56"/>
  <c r="H54" i="56"/>
  <c r="H53" i="56"/>
  <c r="H52" i="56"/>
  <c r="S162" i="57"/>
  <c r="S163" i="57"/>
  <c r="S58" i="57"/>
  <c r="S59" i="57" s="1"/>
  <c r="S60" i="57" s="1"/>
  <c r="M51" i="57"/>
  <c r="M110" i="57"/>
  <c r="M111" i="57" s="1"/>
  <c r="O23" i="32"/>
  <c r="O35" i="32" s="1"/>
  <c r="O38" i="32" s="1"/>
  <c r="G14" i="57"/>
  <c r="S110" i="57"/>
  <c r="S111" i="57" s="1"/>
  <c r="S51" i="57"/>
  <c r="T78" i="56"/>
  <c r="T94" i="56"/>
  <c r="P20" i="55"/>
  <c r="P21" i="55"/>
  <c r="P37" i="55" s="1"/>
  <c r="P16" i="55"/>
  <c r="P32" i="55" s="1"/>
  <c r="P15" i="55"/>
  <c r="P17" i="55"/>
  <c r="P33" i="55" s="1"/>
  <c r="P18" i="55"/>
  <c r="P34" i="55" s="1"/>
  <c r="N81" i="56"/>
  <c r="N94" i="56"/>
  <c r="F127" i="57"/>
  <c r="F154" i="57" s="1"/>
  <c r="N84" i="56"/>
  <c r="T93" i="56"/>
  <c r="T77" i="56"/>
  <c r="P35" i="55"/>
  <c r="O22" i="32"/>
  <c r="G13" i="57"/>
  <c r="O24" i="32"/>
  <c r="O36" i="32" s="1"/>
  <c r="G15" i="57"/>
  <c r="N121" i="56"/>
  <c r="M142" i="56" s="1"/>
  <c r="J97" i="47" s="1"/>
  <c r="L121" i="56"/>
  <c r="K142" i="56" s="1"/>
  <c r="H97" i="47" s="1"/>
  <c r="T82" i="56"/>
  <c r="T98" i="56"/>
  <c r="F129" i="57"/>
  <c r="F155" i="57" s="1"/>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V94" i="32"/>
  <c r="U73" i="32"/>
  <c r="U80" i="32" s="1"/>
  <c r="F45" i="32"/>
  <c r="H21" i="57" s="1"/>
  <c r="R22" i="32"/>
  <c r="R24" i="32"/>
  <c r="R23" i="32"/>
  <c r="M28" i="29"/>
  <c r="M36" i="29" s="1"/>
  <c r="R51" i="29" s="1"/>
  <c r="M5" i="29"/>
  <c r="T6" i="35"/>
  <c r="L51" i="29"/>
  <c r="H108" i="47"/>
  <c r="N19" i="32"/>
  <c r="L25" i="35"/>
  <c r="I6" i="47" s="1"/>
  <c r="N17" i="32"/>
  <c r="J38" i="32"/>
  <c r="M19" i="32"/>
  <c r="L23" i="35"/>
  <c r="K18" i="32"/>
  <c r="K17" i="32"/>
  <c r="K19" i="32"/>
  <c r="L24" i="35"/>
  <c r="K37" i="32"/>
  <c r="K39" i="32" s="1"/>
  <c r="R6" i="35"/>
  <c r="Q6" i="35"/>
  <c r="E34" i="32"/>
  <c r="E37" i="32" s="1"/>
  <c r="E25" i="32"/>
  <c r="E18" i="32" s="1"/>
  <c r="L22" i="35"/>
  <c r="L25" i="32"/>
  <c r="L34" i="32"/>
  <c r="P22" i="32"/>
  <c r="P24" i="32"/>
  <c r="L35" i="32"/>
  <c r="L38" i="32" s="1"/>
  <c r="L26" i="35"/>
  <c r="M17" i="32"/>
  <c r="P23" i="32"/>
  <c r="Q23" i="32"/>
  <c r="K48" i="29"/>
  <c r="H84" i="47" s="1"/>
  <c r="M48" i="29"/>
  <c r="AJ30" i="32"/>
  <c r="Z30" i="32"/>
  <c r="AK29" i="32"/>
  <c r="AA29" i="32"/>
  <c r="AB83" i="47"/>
  <c r="AF47" i="29"/>
  <c r="T83" i="47"/>
  <c r="X47" i="29"/>
  <c r="T95" i="56" l="1"/>
  <c r="T83" i="56"/>
  <c r="T85" i="56"/>
  <c r="M58" i="57"/>
  <c r="N75" i="58"/>
  <c r="N167" i="58" s="1"/>
  <c r="N80" i="56"/>
  <c r="M162" i="57"/>
  <c r="N95" i="56"/>
  <c r="N101" i="56"/>
  <c r="N83" i="56"/>
  <c r="AA76" i="56" s="1"/>
  <c r="AA79" i="56" s="1"/>
  <c r="AA80" i="56" s="1"/>
  <c r="T97" i="56"/>
  <c r="N98" i="56"/>
  <c r="K235" i="58"/>
  <c r="K250" i="58" s="1"/>
  <c r="H112" i="47" s="1"/>
  <c r="M166" i="58"/>
  <c r="N74" i="58"/>
  <c r="N166" i="58" s="1"/>
  <c r="T80" i="56"/>
  <c r="T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E31" i="32"/>
  <c r="E19" i="32"/>
  <c r="Q43" i="58"/>
  <c r="Q45" i="58"/>
  <c r="Q44" i="58"/>
  <c r="Q46" i="58"/>
  <c r="L92" i="58"/>
  <c r="AC73" i="58"/>
  <c r="AV73" i="58"/>
  <c r="E17" i="32"/>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F161" i="57"/>
  <c r="E249" i="57"/>
  <c r="M256" i="57" s="1"/>
  <c r="E250" i="57"/>
  <c r="K257" i="57" s="1"/>
  <c r="L257" i="57" s="1"/>
  <c r="F150" i="57"/>
  <c r="F187" i="57" s="1"/>
  <c r="N201" i="57" s="1"/>
  <c r="F149" i="57"/>
  <c r="F186" i="57" s="1"/>
  <c r="F151" i="57"/>
  <c r="F188" i="57" s="1"/>
  <c r="N202" i="57" s="1"/>
  <c r="M161" i="57"/>
  <c r="J108" i="47"/>
  <c r="F193" i="57"/>
  <c r="N207" i="57" s="1"/>
  <c r="BH201" i="57"/>
  <c r="L187" i="57"/>
  <c r="BG215" i="57"/>
  <c r="J215" i="57"/>
  <c r="G102" i="47" s="1"/>
  <c r="K201" i="57"/>
  <c r="L188" i="57"/>
  <c r="BG216" i="57"/>
  <c r="BH202" i="57"/>
  <c r="J216" i="57"/>
  <c r="G101" i="47" s="1"/>
  <c r="K202" i="57"/>
  <c r="E112" i="57"/>
  <c r="E186" i="57"/>
  <c r="P30" i="55"/>
  <c r="M35" i="44"/>
  <c r="U6" i="35"/>
  <c r="T10" i="58"/>
  <c r="L25" i="44"/>
  <c r="L26" i="44" s="1"/>
  <c r="S22" i="32"/>
  <c r="S24" i="32"/>
  <c r="S36" i="32" s="1"/>
  <c r="S23" i="32"/>
  <c r="S35" i="32" s="1"/>
  <c r="S38" i="32" s="1"/>
  <c r="S45" i="32"/>
  <c r="E153" i="57"/>
  <c r="E165" i="57" s="1"/>
  <c r="M128" i="57"/>
  <c r="M156" i="57" s="1"/>
  <c r="M168" i="57" s="1"/>
  <c r="E168" i="57"/>
  <c r="J235" i="57" s="1"/>
  <c r="D252" i="57"/>
  <c r="J259" i="57" s="1"/>
  <c r="O25" i="32"/>
  <c r="O18" i="32" s="1"/>
  <c r="K255" i="57"/>
  <c r="L255" i="57" s="1"/>
  <c r="P38" i="55"/>
  <c r="D251" i="57"/>
  <c r="J258" i="57" s="1"/>
  <c r="P26" i="55"/>
  <c r="O34" i="32"/>
  <c r="O37" i="32" s="1"/>
  <c r="M127" i="57"/>
  <c r="M154" i="57" s="1"/>
  <c r="M166" i="57" s="1"/>
  <c r="M129" i="57"/>
  <c r="M152" i="57" s="1"/>
  <c r="M164" i="57" s="1"/>
  <c r="S127" i="57"/>
  <c r="S154" i="57" s="1"/>
  <c r="S166" i="57" s="1"/>
  <c r="E191" i="57"/>
  <c r="E166" i="57"/>
  <c r="E192" i="57"/>
  <c r="E167" i="57"/>
  <c r="BH207" i="57"/>
  <c r="BI207" i="57" s="1"/>
  <c r="L193" i="57"/>
  <c r="BG221" i="57"/>
  <c r="BH221" i="57" s="1"/>
  <c r="S128" i="57"/>
  <c r="S156" i="57" s="1"/>
  <c r="S168" i="57" s="1"/>
  <c r="S129" i="57"/>
  <c r="D253" i="57"/>
  <c r="J260" i="57" s="1"/>
  <c r="S61" i="57"/>
  <c r="N181" i="56"/>
  <c r="M235" i="57"/>
  <c r="P31" i="55"/>
  <c r="O173" i="56"/>
  <c r="P173" i="56" s="1"/>
  <c r="N182" i="56"/>
  <c r="H86" i="56"/>
  <c r="AG77" i="56" s="1"/>
  <c r="AG79" i="56" s="1"/>
  <c r="AG80" i="56" s="1"/>
  <c r="H102" i="56"/>
  <c r="E251" i="57"/>
  <c r="M131" i="47"/>
  <c r="G16" i="57"/>
  <c r="G81" i="57"/>
  <c r="G108" i="57"/>
  <c r="G97" i="57"/>
  <c r="L181" i="56"/>
  <c r="M130" i="47"/>
  <c r="M127" i="47"/>
  <c r="N32" i="57"/>
  <c r="T32" i="57" s="1"/>
  <c r="G21" i="57"/>
  <c r="G101" i="57"/>
  <c r="G86" i="57"/>
  <c r="H87" i="56"/>
  <c r="H103" i="56"/>
  <c r="L182" i="56"/>
  <c r="M134" i="47"/>
  <c r="O174" i="56"/>
  <c r="P174" i="56" s="1"/>
  <c r="O172" i="56"/>
  <c r="P172" i="56" s="1"/>
  <c r="G107" i="57"/>
  <c r="G75" i="57"/>
  <c r="G93" i="57"/>
  <c r="P36" i="55"/>
  <c r="E253" i="57"/>
  <c r="O175" i="56"/>
  <c r="P175" i="56" s="1"/>
  <c r="O176" i="56"/>
  <c r="P176" i="56" s="1"/>
  <c r="O179" i="56"/>
  <c r="P179" i="56" s="1"/>
  <c r="M61" i="57"/>
  <c r="F58" i="57"/>
  <c r="M59" i="57"/>
  <c r="E252" i="57"/>
  <c r="O180" i="56"/>
  <c r="P180" i="56" s="1"/>
  <c r="F191" i="57"/>
  <c r="F166" i="57"/>
  <c r="S151" i="57"/>
  <c r="S149" i="57"/>
  <c r="S150" i="57"/>
  <c r="M151" i="57"/>
  <c r="M150" i="57"/>
  <c r="M149" i="57"/>
  <c r="O177" i="56"/>
  <c r="P177" i="56" s="1"/>
  <c r="F45" i="57"/>
  <c r="F163" i="57"/>
  <c r="F162" i="57"/>
  <c r="F192" i="57"/>
  <c r="F167" i="57"/>
  <c r="M121" i="56"/>
  <c r="L142" i="56" s="1"/>
  <c r="I97" i="47" s="1"/>
  <c r="M128" i="47"/>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R34" i="32"/>
  <c r="R37" i="32" s="1"/>
  <c r="F22" i="32"/>
  <c r="R25" i="32"/>
  <c r="F64" i="32"/>
  <c r="F65" i="32"/>
  <c r="F63" i="32"/>
  <c r="F67" i="32"/>
  <c r="F66" i="32"/>
  <c r="F50" i="32"/>
  <c r="F69" i="32"/>
  <c r="F68" i="32"/>
  <c r="W94" i="32"/>
  <c r="V73" i="32"/>
  <c r="V80" i="32" s="1"/>
  <c r="F23" i="32"/>
  <c r="R35" i="32"/>
  <c r="R38" i="32" s="1"/>
  <c r="R36" i="32"/>
  <c r="F24" i="32"/>
  <c r="L48" i="29"/>
  <c r="I84" i="47" s="1"/>
  <c r="P36" i="32"/>
  <c r="Q24" i="32"/>
  <c r="Q22" i="32"/>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N89" i="56" l="1"/>
  <c r="N73" i="56" s="1"/>
  <c r="S183" i="57"/>
  <c r="R152" i="58"/>
  <c r="T89" i="56"/>
  <c r="R153" i="58"/>
  <c r="R154" i="58"/>
  <c r="R159" i="58"/>
  <c r="R158" i="58"/>
  <c r="R157" i="58"/>
  <c r="R156" i="58"/>
  <c r="S25" i="32"/>
  <c r="S19" i="32" s="1"/>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S34" i="32"/>
  <c r="S37" i="32" s="1"/>
  <c r="F36" i="32"/>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F35" i="32"/>
  <c r="F38" i="32" s="1"/>
  <c r="T14" i="58"/>
  <c r="T23" i="58"/>
  <c r="T24" i="58" s="1"/>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225" i="58" s="1"/>
  <c r="O263" i="58" s="1"/>
  <c r="L126" i="47" s="1"/>
  <c r="O188" i="58"/>
  <c r="F61" i="57"/>
  <c r="M257" i="57"/>
  <c r="E190" i="57"/>
  <c r="BG218" i="57" s="1"/>
  <c r="BH218" i="57" s="1"/>
  <c r="M216" i="57"/>
  <c r="J101" i="47" s="1"/>
  <c r="L207" i="57"/>
  <c r="M207" i="57" s="1"/>
  <c r="M221" i="57"/>
  <c r="J105" i="47" s="1"/>
  <c r="K256" i="57"/>
  <c r="L256" i="57" s="1"/>
  <c r="G117" i="57"/>
  <c r="U32" i="57"/>
  <c r="V32" i="57" s="1"/>
  <c r="T87" i="57"/>
  <c r="T90" i="57" s="1"/>
  <c r="F112" i="57"/>
  <c r="K216" i="57"/>
  <c r="M215" i="57"/>
  <c r="J102" i="47" s="1"/>
  <c r="K215" i="57"/>
  <c r="BI202" i="57"/>
  <c r="BH215" i="57"/>
  <c r="J84" i="47"/>
  <c r="J86" i="47"/>
  <c r="J85" i="47"/>
  <c r="BG214" i="57"/>
  <c r="K214" i="57" s="1"/>
  <c r="H100" i="47" s="1"/>
  <c r="BH200" i="57"/>
  <c r="L186" i="57"/>
  <c r="J214" i="57"/>
  <c r="G100" i="47" s="1"/>
  <c r="K200" i="57"/>
  <c r="L202" i="57"/>
  <c r="M202" i="57" s="1"/>
  <c r="BH216" i="57"/>
  <c r="N200" i="57"/>
  <c r="M214" i="57"/>
  <c r="J100" i="47" s="1"/>
  <c r="BI201" i="57"/>
  <c r="L201" i="57"/>
  <c r="M201" i="57" s="1"/>
  <c r="U21" i="32"/>
  <c r="N35" i="44"/>
  <c r="V6" i="35"/>
  <c r="U10" i="58"/>
  <c r="M25" i="44"/>
  <c r="M26" i="44" s="1"/>
  <c r="K235" i="57"/>
  <c r="L235" i="57" s="1"/>
  <c r="O17" i="32"/>
  <c r="H89" i="56"/>
  <c r="O19" i="32"/>
  <c r="M155" i="57"/>
  <c r="M167" i="57" s="1"/>
  <c r="M153" i="57"/>
  <c r="M165" i="57" s="1"/>
  <c r="K221" i="57"/>
  <c r="S153" i="57"/>
  <c r="S165" i="57" s="1"/>
  <c r="S155" i="57"/>
  <c r="S167" i="57" s="1"/>
  <c r="S152" i="57"/>
  <c r="S164" i="57" s="1"/>
  <c r="J233" i="57"/>
  <c r="K233" i="57" s="1"/>
  <c r="L233" i="57" s="1"/>
  <c r="J232" i="57"/>
  <c r="K232" i="57" s="1"/>
  <c r="L232" i="57" s="1"/>
  <c r="E169" i="57"/>
  <c r="E176" i="57" s="1"/>
  <c r="BG219" i="57"/>
  <c r="BH219" i="57" s="1"/>
  <c r="L191" i="57"/>
  <c r="BH205" i="57"/>
  <c r="BI205" i="57" s="1"/>
  <c r="J234" i="57"/>
  <c r="K234" i="57" s="1"/>
  <c r="L234" i="57" s="1"/>
  <c r="BG220" i="57"/>
  <c r="BH220" i="57" s="1"/>
  <c r="BH206" i="57"/>
  <c r="BI206" i="57" s="1"/>
  <c r="L192" i="57"/>
  <c r="G115" i="57"/>
  <c r="G116" i="57"/>
  <c r="K230" i="57"/>
  <c r="L230" i="57" s="1"/>
  <c r="M230" i="57"/>
  <c r="K260" i="57"/>
  <c r="L260" i="57" s="1"/>
  <c r="M260" i="57"/>
  <c r="K228" i="57"/>
  <c r="L228" i="57" s="1"/>
  <c r="M228" i="57"/>
  <c r="F169" i="57"/>
  <c r="F172" i="57" s="1"/>
  <c r="G123" i="57"/>
  <c r="G124" i="57"/>
  <c r="G120" i="57"/>
  <c r="G121" i="57"/>
  <c r="G119" i="57"/>
  <c r="M258" i="57"/>
  <c r="K258" i="57"/>
  <c r="L258" i="57" s="1"/>
  <c r="O121" i="56"/>
  <c r="N142" i="56" s="1"/>
  <c r="K97" i="47" s="1"/>
  <c r="K229" i="57"/>
  <c r="L229" i="57" s="1"/>
  <c r="M229" i="57"/>
  <c r="M234" i="57"/>
  <c r="M220" i="57"/>
  <c r="J107" i="47" s="1"/>
  <c r="L206" i="57"/>
  <c r="M206" i="57" s="1"/>
  <c r="N206" i="57"/>
  <c r="M60" i="57"/>
  <c r="F60" i="57" s="1"/>
  <c r="F59" i="57"/>
  <c r="H32" i="57"/>
  <c r="G32" i="57"/>
  <c r="N87" i="57"/>
  <c r="N90" i="57" s="1"/>
  <c r="K259" i="57"/>
  <c r="L259" i="57" s="1"/>
  <c r="M259" i="57"/>
  <c r="M129" i="47"/>
  <c r="M133" i="47"/>
  <c r="O122" i="56"/>
  <c r="N143" i="56" s="1"/>
  <c r="K98" i="47" s="1"/>
  <c r="M233" i="57"/>
  <c r="M182" i="56"/>
  <c r="M181" i="56"/>
  <c r="L205" i="57"/>
  <c r="M205" i="57" s="1"/>
  <c r="N205" i="57"/>
  <c r="M219" i="57"/>
  <c r="J103" i="47" s="1"/>
  <c r="N127" i="47"/>
  <c r="I108" i="47"/>
  <c r="O49" i="29"/>
  <c r="K85" i="47"/>
  <c r="O50" i="29"/>
  <c r="K86" i="47"/>
  <c r="M24" i="29"/>
  <c r="R50" i="29" s="1"/>
  <c r="J6" i="47"/>
  <c r="O51" i="29"/>
  <c r="P51" i="29" s="1"/>
  <c r="R66" i="32"/>
  <c r="K66" i="32"/>
  <c r="L66" i="32" s="1"/>
  <c r="M66" i="32" s="1"/>
  <c r="N66" i="32" s="1"/>
  <c r="O66" i="32" s="1"/>
  <c r="P66" i="32" s="1"/>
  <c r="Q66" i="32" s="1"/>
  <c r="R67" i="32"/>
  <c r="K67" i="32"/>
  <c r="L67" i="32" s="1"/>
  <c r="M67" i="32" s="1"/>
  <c r="N67" i="32" s="1"/>
  <c r="O67" i="32" s="1"/>
  <c r="P67" i="32" s="1"/>
  <c r="Q67" i="32" s="1"/>
  <c r="W73" i="32"/>
  <c r="W80" i="32" s="1"/>
  <c r="X94" i="32"/>
  <c r="R63" i="32"/>
  <c r="K63" i="32"/>
  <c r="L63" i="32" s="1"/>
  <c r="M63" i="32" s="1"/>
  <c r="N63" i="32" s="1"/>
  <c r="O63" i="32" s="1"/>
  <c r="P63" i="32" s="1"/>
  <c r="Q63" i="32" s="1"/>
  <c r="K65" i="32"/>
  <c r="L65" i="32" s="1"/>
  <c r="M65" i="32" s="1"/>
  <c r="N65" i="32" s="1"/>
  <c r="O65" i="32" s="1"/>
  <c r="P65" i="32" s="1"/>
  <c r="Q65" i="32" s="1"/>
  <c r="R65"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K69" i="32"/>
  <c r="L69" i="32" s="1"/>
  <c r="M69" i="32" s="1"/>
  <c r="N69" i="32" s="1"/>
  <c r="O69" i="32" s="1"/>
  <c r="P69" i="32" s="1"/>
  <c r="Q69" i="32" s="1"/>
  <c r="R69" i="32"/>
  <c r="P19" i="32"/>
  <c r="N23" i="35"/>
  <c r="J8" i="47"/>
  <c r="N22" i="35"/>
  <c r="J5" i="47"/>
  <c r="O25" i="35"/>
  <c r="K6" i="47"/>
  <c r="P37" i="32"/>
  <c r="P17" i="32"/>
  <c r="N24" i="35"/>
  <c r="J9" i="47"/>
  <c r="Q25" i="32"/>
  <c r="Q18" i="32" s="1"/>
  <c r="Q34" i="32"/>
  <c r="Q37" i="32" s="1"/>
  <c r="J7" i="47"/>
  <c r="N26" i="35"/>
  <c r="Q36" i="32"/>
  <c r="AD83" i="47"/>
  <c r="AH47" i="29"/>
  <c r="V83" i="47"/>
  <c r="Z47" i="29"/>
  <c r="S18" i="32" l="1"/>
  <c r="S17" i="32"/>
  <c r="L215" i="57"/>
  <c r="I102" i="47" s="1"/>
  <c r="H102" i="47"/>
  <c r="L221" i="57"/>
  <c r="I105" i="47" s="1"/>
  <c r="H105" i="47"/>
  <c r="L216" i="57"/>
  <c r="I101" i="47" s="1"/>
  <c r="H101" i="47"/>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L190" i="57"/>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L204" i="57"/>
  <c r="M204" i="57" s="1"/>
  <c r="T95" i="58"/>
  <c r="S46" i="58"/>
  <c r="S44" i="58"/>
  <c r="S43" i="58"/>
  <c r="S45" i="58"/>
  <c r="Q199" i="58"/>
  <c r="Q201" i="58"/>
  <c r="Q200" i="58"/>
  <c r="Q203" i="58"/>
  <c r="Q204" i="58"/>
  <c r="Q205" i="58"/>
  <c r="Q197" i="58"/>
  <c r="Q198" i="58"/>
  <c r="Q202" i="58"/>
  <c r="Q191" i="58"/>
  <c r="Q193" i="58"/>
  <c r="Q188" i="58"/>
  <c r="Q194" i="58"/>
  <c r="Q189" i="58"/>
  <c r="Q192" i="58"/>
  <c r="Q190" i="58"/>
  <c r="Q187" i="58"/>
  <c r="Q186" i="58"/>
  <c r="F17" i="32"/>
  <c r="P204" i="58"/>
  <c r="P200" i="58"/>
  <c r="P198" i="58"/>
  <c r="P197" i="58"/>
  <c r="P205" i="58"/>
  <c r="P201" i="58"/>
  <c r="P199" i="58"/>
  <c r="P202" i="58"/>
  <c r="P203" i="58"/>
  <c r="F18" i="32"/>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F19" i="32"/>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U87" i="57"/>
  <c r="U90" i="57" s="1"/>
  <c r="BI200" i="57"/>
  <c r="L214" i="57"/>
  <c r="I100" i="47" s="1"/>
  <c r="K219" i="57"/>
  <c r="L200" i="57"/>
  <c r="M200" i="57" s="1"/>
  <c r="BH214" i="57"/>
  <c r="O35" i="44"/>
  <c r="V10" i="58"/>
  <c r="V23" i="58" s="1"/>
  <c r="N25" i="44"/>
  <c r="N26" i="44" s="1"/>
  <c r="U22" i="32"/>
  <c r="U34" i="32" s="1"/>
  <c r="U37" i="32" s="1"/>
  <c r="U24" i="32"/>
  <c r="U36" i="32" s="1"/>
  <c r="U23" i="32"/>
  <c r="U35" i="32" s="1"/>
  <c r="U38" i="32" s="1"/>
  <c r="U45" i="32"/>
  <c r="K220" i="57"/>
  <c r="H107" i="47" s="1"/>
  <c r="S169" i="57"/>
  <c r="S178" i="57" s="1"/>
  <c r="E177" i="57"/>
  <c r="M169" i="57"/>
  <c r="E178" i="57"/>
  <c r="E173" i="57"/>
  <c r="E175" i="57"/>
  <c r="E174" i="57"/>
  <c r="E172" i="57"/>
  <c r="E179" i="57"/>
  <c r="K218" i="57"/>
  <c r="H106" i="47" s="1"/>
  <c r="F177" i="57"/>
  <c r="P121" i="56"/>
  <c r="O142" i="56" s="1"/>
  <c r="F178" i="57"/>
  <c r="P122" i="56"/>
  <c r="O143" i="56" s="1"/>
  <c r="O181" i="56"/>
  <c r="F174" i="57"/>
  <c r="G128" i="57"/>
  <c r="G156" i="57" s="1"/>
  <c r="G127" i="57"/>
  <c r="G154" i="57" s="1"/>
  <c r="G87" i="57"/>
  <c r="G90" i="57" s="1"/>
  <c r="G125" i="57" s="1"/>
  <c r="G129" i="57" s="1"/>
  <c r="G155" i="57" s="1"/>
  <c r="G167" i="57" s="1"/>
  <c r="G109" i="57"/>
  <c r="H87" i="57"/>
  <c r="H90" i="57" s="1"/>
  <c r="O182" i="56"/>
  <c r="O127" i="47"/>
  <c r="F173" i="57"/>
  <c r="F176" i="57"/>
  <c r="F175" i="57"/>
  <c r="F179" i="57"/>
  <c r="P49" i="29"/>
  <c r="L85" i="47"/>
  <c r="P50" i="29"/>
  <c r="L86" i="47"/>
  <c r="L108" i="47"/>
  <c r="W21" i="32"/>
  <c r="W6" i="35"/>
  <c r="V21" i="32"/>
  <c r="X73" i="32"/>
  <c r="X80" i="32" s="1"/>
  <c r="Y94" i="32"/>
  <c r="R48" i="29"/>
  <c r="N48" i="29"/>
  <c r="M108" i="47"/>
  <c r="Q51" i="29"/>
  <c r="O108" i="47" s="1"/>
  <c r="Q19" i="32"/>
  <c r="O23" i="35"/>
  <c r="K8" i="47"/>
  <c r="O26" i="35"/>
  <c r="K7" i="47"/>
  <c r="K9" i="47"/>
  <c r="O24" i="35"/>
  <c r="P25" i="35"/>
  <c r="L6" i="47"/>
  <c r="O22" i="35"/>
  <c r="K5" i="47"/>
  <c r="Q17" i="32"/>
  <c r="AE83" i="47"/>
  <c r="AI47" i="29"/>
  <c r="W83" i="47"/>
  <c r="AA47" i="29"/>
  <c r="P220" i="58" l="1"/>
  <c r="P258" i="58" s="1"/>
  <c r="M118" i="47" s="1"/>
  <c r="P182" i="56"/>
  <c r="L98" i="47"/>
  <c r="L219" i="57"/>
  <c r="I103" i="47" s="1"/>
  <c r="H103" i="47"/>
  <c r="P181"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F181" i="57"/>
  <c r="F182" i="57" s="1"/>
  <c r="W32" i="57"/>
  <c r="W87" i="57" s="1"/>
  <c r="W90" i="57" s="1"/>
  <c r="V87" i="57"/>
  <c r="V90" i="57" s="1"/>
  <c r="V45" i="32"/>
  <c r="X83" i="47"/>
  <c r="Y83" i="47"/>
  <c r="L220" i="57"/>
  <c r="I107" i="47" s="1"/>
  <c r="U25" i="32"/>
  <c r="U18" i="32" s="1"/>
  <c r="O25" i="44"/>
  <c r="O26" i="44" s="1"/>
  <c r="P35" i="44"/>
  <c r="W10" i="58"/>
  <c r="W23" i="58" s="1"/>
  <c r="V22" i="32"/>
  <c r="V24" i="32"/>
  <c r="V23" i="32"/>
  <c r="V35" i="32" s="1"/>
  <c r="V38" i="32" s="1"/>
  <c r="S174" i="57"/>
  <c r="S177" i="57"/>
  <c r="S172" i="57"/>
  <c r="S173" i="57"/>
  <c r="S176" i="57"/>
  <c r="S179" i="57"/>
  <c r="S175" i="57"/>
  <c r="M177" i="57"/>
  <c r="M179" i="57"/>
  <c r="M172" i="57"/>
  <c r="M174" i="57"/>
  <c r="M173" i="57"/>
  <c r="M175" i="57"/>
  <c r="M178" i="57"/>
  <c r="M176" i="57"/>
  <c r="L218" i="57"/>
  <c r="I106" i="47" s="1"/>
  <c r="G191" i="57"/>
  <c r="G166" i="57"/>
  <c r="G192" i="57"/>
  <c r="G168" i="57"/>
  <c r="G193" i="57"/>
  <c r="Q49" i="29"/>
  <c r="M85" i="47"/>
  <c r="Q50" i="29"/>
  <c r="O86" i="47" s="1"/>
  <c r="M86" i="47"/>
  <c r="K84" i="47"/>
  <c r="O48" i="29"/>
  <c r="Z94" i="32"/>
  <c r="Y73" i="32"/>
  <c r="Y80" i="32" s="1"/>
  <c r="P26" i="35"/>
  <c r="L7" i="47"/>
  <c r="Q25" i="35"/>
  <c r="M6" i="47"/>
  <c r="P24" i="35"/>
  <c r="L9" i="47"/>
  <c r="L8" i="47"/>
  <c r="P23" i="35"/>
  <c r="P22" i="35"/>
  <c r="L5" i="47"/>
  <c r="AF83" i="47"/>
  <c r="AJ47" i="29"/>
  <c r="U154" i="58" l="1"/>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T51" i="58"/>
  <c r="T50" i="58"/>
  <c r="T193" i="58" s="1"/>
  <c r="AE97" i="58"/>
  <c r="U17" i="32"/>
  <c r="R224" i="58"/>
  <c r="R262" i="58" s="1"/>
  <c r="O124" i="47" s="1"/>
  <c r="AE100" i="58"/>
  <c r="AF92" i="58"/>
  <c r="AH75" i="58"/>
  <c r="U151" i="58"/>
  <c r="V92" i="58"/>
  <c r="R227" i="58"/>
  <c r="R265" i="58" s="1"/>
  <c r="O125" i="47" s="1"/>
  <c r="AH71" i="58"/>
  <c r="U155" i="58"/>
  <c r="V96" i="58"/>
  <c r="R226" i="58"/>
  <c r="R264" i="58" s="1"/>
  <c r="O119" i="47" s="1"/>
  <c r="Y74" i="58"/>
  <c r="AF98"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3" i="58"/>
  <c r="T204" i="58"/>
  <c r="T198" i="58"/>
  <c r="T201" i="58"/>
  <c r="T197" i="58"/>
  <c r="T199" i="58"/>
  <c r="T205" i="58"/>
  <c r="T202" i="58"/>
  <c r="T200"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9" i="58" s="1"/>
  <c r="U45" i="58"/>
  <c r="U51" i="58" s="1"/>
  <c r="U46" i="58"/>
  <c r="W31" i="58"/>
  <c r="W34" i="58" s="1"/>
  <c r="W35" i="58" s="1"/>
  <c r="AH72" i="58"/>
  <c r="Y73" i="58"/>
  <c r="S181" i="57"/>
  <c r="S182" i="57" s="1"/>
  <c r="M181" i="57"/>
  <c r="M182" i="57" s="1"/>
  <c r="U19" i="32"/>
  <c r="N85" i="47"/>
  <c r="O85" i="47"/>
  <c r="P25" i="44"/>
  <c r="P26" i="44" s="1"/>
  <c r="W22" i="32"/>
  <c r="W34" i="32" s="1"/>
  <c r="W37" i="32" s="1"/>
  <c r="W24" i="32"/>
  <c r="W36" i="32" s="1"/>
  <c r="W23" i="32"/>
  <c r="W35" i="32" s="1"/>
  <c r="W38" i="32" s="1"/>
  <c r="Q35" i="44"/>
  <c r="X10" i="58"/>
  <c r="X23" i="58" s="1"/>
  <c r="X6" i="35"/>
  <c r="W45" i="32"/>
  <c r="O206" i="57"/>
  <c r="P206" i="57" s="1"/>
  <c r="N220" i="57"/>
  <c r="K107" i="47" s="1"/>
  <c r="N234" i="57"/>
  <c r="O234" i="57" s="1"/>
  <c r="O207" i="57"/>
  <c r="P207" i="57" s="1"/>
  <c r="N221" i="57"/>
  <c r="K105" i="47" s="1"/>
  <c r="N235" i="57"/>
  <c r="O235" i="57" s="1"/>
  <c r="N233" i="57"/>
  <c r="O233" i="57" s="1"/>
  <c r="O205" i="57"/>
  <c r="P205" i="57" s="1"/>
  <c r="N219" i="57"/>
  <c r="K103" i="47" s="1"/>
  <c r="N86" i="47"/>
  <c r="N108" i="47"/>
  <c r="Y6" i="35"/>
  <c r="V36" i="32"/>
  <c r="P48" i="29"/>
  <c r="L84" i="47"/>
  <c r="V34" i="32"/>
  <c r="V37" i="32" s="1"/>
  <c r="V25" i="32"/>
  <c r="V18" i="32" s="1"/>
  <c r="AA94" i="32"/>
  <c r="Z73" i="32"/>
  <c r="Z80" i="32" s="1"/>
  <c r="Q24" i="35"/>
  <c r="M9" i="47"/>
  <c r="R25" i="35"/>
  <c r="N6" i="47"/>
  <c r="Q22" i="35"/>
  <c r="M5" i="47"/>
  <c r="Q23" i="35"/>
  <c r="M8" i="47"/>
  <c r="Q26" i="35"/>
  <c r="M7" i="47"/>
  <c r="AG83" i="47"/>
  <c r="AK47" i="29"/>
  <c r="V43" i="58" l="1"/>
  <c r="V49" i="58" s="1"/>
  <c r="V45" i="58"/>
  <c r="V51" i="58" s="1"/>
  <c r="V46" i="58"/>
  <c r="W169" i="58"/>
  <c r="W168" i="58"/>
  <c r="W164" i="58"/>
  <c r="W166" i="58"/>
  <c r="W165" i="58"/>
  <c r="W163" i="58"/>
  <c r="W170" i="58"/>
  <c r="W162" i="58"/>
  <c r="W167" i="58"/>
  <c r="W36" i="58"/>
  <c r="W41" i="58" s="1"/>
  <c r="W44" i="58" s="1"/>
  <c r="T187" i="58"/>
  <c r="AF96" i="58"/>
  <c r="T186" i="58"/>
  <c r="T189" i="58"/>
  <c r="U50" i="58"/>
  <c r="T192" i="58"/>
  <c r="T194" i="58"/>
  <c r="T191" i="58"/>
  <c r="T190" i="58"/>
  <c r="T188" i="58"/>
  <c r="AF97" i="58"/>
  <c r="S221" i="58"/>
  <c r="S259" i="58" s="1"/>
  <c r="P120" i="47" s="1"/>
  <c r="AF100" i="58"/>
  <c r="S228" i="58"/>
  <c r="S266" i="58" s="1"/>
  <c r="P123" i="47" s="1"/>
  <c r="S225" i="58"/>
  <c r="S263" i="58" s="1"/>
  <c r="P126" i="47" s="1"/>
  <c r="Z73" i="58"/>
  <c r="U176" i="58"/>
  <c r="U235" i="58" s="1"/>
  <c r="U250" i="58" s="1"/>
  <c r="R112" i="47" s="1"/>
  <c r="U174" i="58"/>
  <c r="U233" i="58" s="1"/>
  <c r="U248" i="58" s="1"/>
  <c r="R109" i="47" s="1"/>
  <c r="U179" i="58"/>
  <c r="U238" i="58" s="1"/>
  <c r="U253" i="58" s="1"/>
  <c r="R117" i="47" s="1"/>
  <c r="U181" i="58"/>
  <c r="U240" i="58" s="1"/>
  <c r="U255" i="58" s="1"/>
  <c r="R116" i="47" s="1"/>
  <c r="U178" i="58"/>
  <c r="U237" i="58" s="1"/>
  <c r="U252" i="58" s="1"/>
  <c r="R115" i="47" s="1"/>
  <c r="U177" i="58"/>
  <c r="U236" i="58" s="1"/>
  <c r="U251" i="58" s="1"/>
  <c r="R113" i="47" s="1"/>
  <c r="U175" i="58"/>
  <c r="U234" i="58" s="1"/>
  <c r="U249" i="58" s="1"/>
  <c r="R111" i="47" s="1"/>
  <c r="U182" i="58"/>
  <c r="U241" i="58" s="1"/>
  <c r="U256" i="58" s="1"/>
  <c r="R114" i="47" s="1"/>
  <c r="U180" i="58"/>
  <c r="U239" i="58" s="1"/>
  <c r="U254" i="58" s="1"/>
  <c r="R110"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U192" i="58"/>
  <c r="U193" i="58"/>
  <c r="U189" i="58"/>
  <c r="U187" i="58"/>
  <c r="U186" i="58"/>
  <c r="U194" i="58"/>
  <c r="U188" i="58"/>
  <c r="U190" i="58"/>
  <c r="U191"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V50" i="58"/>
  <c r="AG93" i="58"/>
  <c r="X24" i="58"/>
  <c r="V152" i="58"/>
  <c r="W93" i="58"/>
  <c r="T215" i="58"/>
  <c r="T227" i="58" s="1"/>
  <c r="T265" i="58" s="1"/>
  <c r="Q125" i="47" s="1"/>
  <c r="T211" i="58"/>
  <c r="T223" i="58" s="1"/>
  <c r="T261" i="58" s="1"/>
  <c r="Q122" i="47" s="1"/>
  <c r="T214" i="58"/>
  <c r="T208" i="58"/>
  <c r="T216" i="58"/>
  <c r="T213" i="58"/>
  <c r="T212" i="58"/>
  <c r="T210" i="58"/>
  <c r="T209" i="58"/>
  <c r="T221" i="58" s="1"/>
  <c r="T259" i="58" s="1"/>
  <c r="Q120" i="47" s="1"/>
  <c r="V155" i="58"/>
  <c r="W96" i="58"/>
  <c r="X31" i="58"/>
  <c r="X34" i="58" s="1"/>
  <c r="X35" i="58" s="1"/>
  <c r="Z71" i="58"/>
  <c r="W25" i="32"/>
  <c r="W18" i="32" s="1"/>
  <c r="R245" i="58"/>
  <c r="R258" i="58"/>
  <c r="O118" i="47" s="1"/>
  <c r="AI75" i="58"/>
  <c r="AJ75" i="58" s="1"/>
  <c r="AH78" i="58"/>
  <c r="AI71" i="58"/>
  <c r="AJ71" i="58" s="1"/>
  <c r="U52" i="58"/>
  <c r="V52" i="58" s="1"/>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O220" i="57"/>
  <c r="L107" i="47" s="1"/>
  <c r="O219" i="57"/>
  <c r="L103" i="47" s="1"/>
  <c r="O221" i="57"/>
  <c r="L105" i="47" s="1"/>
  <c r="V17" i="32"/>
  <c r="V19" i="32"/>
  <c r="AA73" i="32"/>
  <c r="AA80" i="32" s="1"/>
  <c r="AB94" i="32"/>
  <c r="M84" i="47"/>
  <c r="Q48" i="29"/>
  <c r="S25" i="35"/>
  <c r="O6" i="47"/>
  <c r="R24" i="35"/>
  <c r="N9" i="47"/>
  <c r="N7" i="47"/>
  <c r="R26" i="35"/>
  <c r="N8" i="47"/>
  <c r="R23" i="35"/>
  <c r="N5" i="47"/>
  <c r="R22" i="35"/>
  <c r="T228" i="58" l="1"/>
  <c r="T266" i="58" s="1"/>
  <c r="Q123" i="47" s="1"/>
  <c r="T226" i="58"/>
  <c r="T264" i="58" s="1"/>
  <c r="Q119"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W17" i="32"/>
  <c r="W19" i="32"/>
  <c r="AG97" i="58"/>
  <c r="AG100" i="58"/>
  <c r="U210" i="58"/>
  <c r="U222" i="58" s="1"/>
  <c r="U260" i="58" s="1"/>
  <c r="R121" i="47" s="1"/>
  <c r="U212" i="58"/>
  <c r="U224" i="58" s="1"/>
  <c r="U262" i="58" s="1"/>
  <c r="R124" i="47" s="1"/>
  <c r="U216" i="58"/>
  <c r="U228" i="58" s="1"/>
  <c r="U266" i="58" s="1"/>
  <c r="R123" i="47" s="1"/>
  <c r="U213" i="58"/>
  <c r="U225" i="58" s="1"/>
  <c r="U263" i="58" s="1"/>
  <c r="R126" i="47" s="1"/>
  <c r="U209" i="58"/>
  <c r="U208" i="58"/>
  <c r="U220" i="58" s="1"/>
  <c r="U211" i="58"/>
  <c r="U223" i="58" s="1"/>
  <c r="U261" i="58" s="1"/>
  <c r="R122" i="47" s="1"/>
  <c r="U215" i="58"/>
  <c r="U227" i="58" s="1"/>
  <c r="U265" i="58" s="1"/>
  <c r="R125" i="47" s="1"/>
  <c r="U214" i="58"/>
  <c r="U226" i="58" s="1"/>
  <c r="U264" i="58" s="1"/>
  <c r="R119" i="47" s="1"/>
  <c r="W153" i="58"/>
  <c r="X94" i="58"/>
  <c r="X98" i="58"/>
  <c r="W157" i="58"/>
  <c r="AK75" i="58"/>
  <c r="V174" i="58"/>
  <c r="V233" i="58" s="1"/>
  <c r="V248" i="58" s="1"/>
  <c r="S109" i="47" s="1"/>
  <c r="V182" i="58"/>
  <c r="V241" i="58" s="1"/>
  <c r="V256" i="58" s="1"/>
  <c r="S114" i="47" s="1"/>
  <c r="V179" i="58"/>
  <c r="V238" i="58" s="1"/>
  <c r="V253" i="58" s="1"/>
  <c r="S117" i="47" s="1"/>
  <c r="V181" i="58"/>
  <c r="V240" i="58" s="1"/>
  <c r="V255" i="58" s="1"/>
  <c r="S116" i="47" s="1"/>
  <c r="V175" i="58"/>
  <c r="V234" i="58" s="1"/>
  <c r="V249" i="58" s="1"/>
  <c r="S111" i="47" s="1"/>
  <c r="V178" i="58"/>
  <c r="V237" i="58" s="1"/>
  <c r="V252" i="58" s="1"/>
  <c r="S115" i="47" s="1"/>
  <c r="V177" i="58"/>
  <c r="V236" i="58" s="1"/>
  <c r="V251" i="58" s="1"/>
  <c r="S113" i="47" s="1"/>
  <c r="V176" i="58"/>
  <c r="V235" i="58" s="1"/>
  <c r="V250" i="58" s="1"/>
  <c r="S112" i="47" s="1"/>
  <c r="V180" i="58"/>
  <c r="V239" i="58" s="1"/>
  <c r="V254" i="58" s="1"/>
  <c r="S110" i="47" s="1"/>
  <c r="V53" i="58"/>
  <c r="V210" i="58"/>
  <c r="V212" i="58"/>
  <c r="V216" i="58"/>
  <c r="V215" i="58"/>
  <c r="V211" i="58"/>
  <c r="V214" i="58"/>
  <c r="V213"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U221" i="58"/>
  <c r="U259" i="58" s="1"/>
  <c r="R120" i="47" s="1"/>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AA73" i="58"/>
  <c r="W49" i="58"/>
  <c r="X96" i="58"/>
  <c r="W155" i="58"/>
  <c r="X93" i="58"/>
  <c r="W152" i="58"/>
  <c r="AA70" i="58"/>
  <c r="AK74" i="58"/>
  <c r="AH99" i="58"/>
  <c r="N84" i="47"/>
  <c r="O84" i="47"/>
  <c r="S35" i="44"/>
  <c r="Z10" i="58"/>
  <c r="Z23" i="58" s="1"/>
  <c r="AA6" i="35"/>
  <c r="R25" i="44"/>
  <c r="R26" i="44" s="1"/>
  <c r="AB73" i="32"/>
  <c r="AC94" i="32"/>
  <c r="O5" i="47"/>
  <c r="S22" i="35"/>
  <c r="S24" i="35"/>
  <c r="O9" i="47"/>
  <c r="S23" i="35"/>
  <c r="O8" i="47"/>
  <c r="P6" i="47"/>
  <c r="T25" i="35"/>
  <c r="S26" i="35"/>
  <c r="O7" i="47"/>
  <c r="W199" i="58" l="1"/>
  <c r="W197" i="58"/>
  <c r="W205" i="58"/>
  <c r="W203" i="58"/>
  <c r="W200" i="58"/>
  <c r="W202" i="58"/>
  <c r="W201" i="58"/>
  <c r="W198" i="58"/>
  <c r="W204" i="58"/>
  <c r="X51" i="58"/>
  <c r="X204" i="58" s="1"/>
  <c r="T245" i="58"/>
  <c r="T258" i="58"/>
  <c r="Q118" i="47" s="1"/>
  <c r="X46" i="58"/>
  <c r="X52" i="58" s="1"/>
  <c r="X44" i="58"/>
  <c r="X50" i="58" s="1"/>
  <c r="X43" i="58"/>
  <c r="X49" i="58" s="1"/>
  <c r="Y169" i="58"/>
  <c r="Y168" i="58"/>
  <c r="Y164" i="58"/>
  <c r="Y163" i="58"/>
  <c r="Y167" i="58"/>
  <c r="Y165" i="58"/>
  <c r="Y170" i="58"/>
  <c r="Y166" i="58"/>
  <c r="Y162" i="58"/>
  <c r="Y36" i="58"/>
  <c r="Y41" i="58" s="1"/>
  <c r="Y45" i="58" s="1"/>
  <c r="AH96" i="58"/>
  <c r="AH97" i="58"/>
  <c r="V228" i="58"/>
  <c r="V266" i="58" s="1"/>
  <c r="S123" i="47" s="1"/>
  <c r="V222" i="58"/>
  <c r="V260" i="58" s="1"/>
  <c r="S121" i="47" s="1"/>
  <c r="AH100" i="58"/>
  <c r="V223" i="58"/>
  <c r="V261" i="58" s="1"/>
  <c r="S122" i="47" s="1"/>
  <c r="AI92" i="58"/>
  <c r="V221" i="58"/>
  <c r="V259" i="58" s="1"/>
  <c r="S120" i="47" s="1"/>
  <c r="W178" i="58"/>
  <c r="W237" i="58" s="1"/>
  <c r="W252" i="58" s="1"/>
  <c r="T115" i="47" s="1"/>
  <c r="W176" i="58"/>
  <c r="W235" i="58" s="1"/>
  <c r="W250" i="58" s="1"/>
  <c r="T112" i="47" s="1"/>
  <c r="W182" i="58"/>
  <c r="W241" i="58" s="1"/>
  <c r="W256" i="58" s="1"/>
  <c r="T114" i="47" s="1"/>
  <c r="W53" i="58"/>
  <c r="W181" i="58"/>
  <c r="W240" i="58" s="1"/>
  <c r="W255" i="58" s="1"/>
  <c r="T116" i="47" s="1"/>
  <c r="W174" i="58"/>
  <c r="W233" i="58" s="1"/>
  <c r="W248" i="58" s="1"/>
  <c r="T109" i="47" s="1"/>
  <c r="W180" i="58"/>
  <c r="W239" i="58" s="1"/>
  <c r="W254" i="58" s="1"/>
  <c r="T110" i="47" s="1"/>
  <c r="W177" i="58"/>
  <c r="W236" i="58" s="1"/>
  <c r="W251" i="58" s="1"/>
  <c r="T113" i="47" s="1"/>
  <c r="W179" i="58"/>
  <c r="W238" i="58" s="1"/>
  <c r="W253" i="58" s="1"/>
  <c r="T117" i="47" s="1"/>
  <c r="W175" i="58"/>
  <c r="W234" i="58" s="1"/>
  <c r="W249" i="58" s="1"/>
  <c r="T111" i="47" s="1"/>
  <c r="X158" i="58"/>
  <c r="Y99" i="58"/>
  <c r="Y159" i="58"/>
  <c r="Z100" i="58"/>
  <c r="Z24" i="58"/>
  <c r="X155" i="58"/>
  <c r="Y96" i="58"/>
  <c r="V226" i="58"/>
  <c r="V264" i="58" s="1"/>
  <c r="S119" i="47" s="1"/>
  <c r="AI99" i="58"/>
  <c r="X151" i="58"/>
  <c r="Y92" i="58"/>
  <c r="V227" i="58"/>
  <c r="V265" i="58" s="1"/>
  <c r="S125" i="47" s="1"/>
  <c r="AK70" i="58"/>
  <c r="U245"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AD94" i="32"/>
  <c r="AC73" i="32"/>
  <c r="AC80" i="32" s="1"/>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P9" i="47"/>
  <c r="T24" i="35"/>
  <c r="T26" i="35"/>
  <c r="P7" i="47"/>
  <c r="T23" i="35"/>
  <c r="P8" i="47"/>
  <c r="T22" i="35"/>
  <c r="P5" i="47"/>
  <c r="U25" i="35"/>
  <c r="Q6" i="47"/>
  <c r="X188" i="58" l="1"/>
  <c r="X191" i="58"/>
  <c r="Y46" i="58"/>
  <c r="Y44" i="58"/>
  <c r="Y50" i="58" s="1"/>
  <c r="Y188" i="58" s="1"/>
  <c r="Y43" i="58"/>
  <c r="Y49" i="58" s="1"/>
  <c r="Y182" i="58" s="1"/>
  <c r="Y241" i="58" s="1"/>
  <c r="Y256" i="58" s="1"/>
  <c r="V114" i="47" s="1"/>
  <c r="X202" i="58"/>
  <c r="X198" i="58"/>
  <c r="Y51" i="58"/>
  <c r="X203" i="58"/>
  <c r="X199" i="58"/>
  <c r="X197" i="58"/>
  <c r="X186" i="58"/>
  <c r="X201" i="58"/>
  <c r="X205" i="58"/>
  <c r="X200" i="58"/>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187" i="58"/>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Z154" i="58"/>
  <c r="AA95" i="58"/>
  <c r="AM73" i="58"/>
  <c r="AN73" i="58" s="1"/>
  <c r="AO73" i="58" s="1"/>
  <c r="AP73" i="58" s="1"/>
  <c r="AQ73" i="58" s="1"/>
  <c r="AR73" i="58" s="1"/>
  <c r="AS73" i="58" s="1"/>
  <c r="AT73" i="58" s="1"/>
  <c r="AU73" i="58" s="1"/>
  <c r="AA31" i="58"/>
  <c r="AA34" i="58" s="1"/>
  <c r="AA35" i="58" s="1"/>
  <c r="AA36" i="58" s="1"/>
  <c r="Y204" i="58"/>
  <c r="Y203" i="58"/>
  <c r="Y200" i="58"/>
  <c r="Y197" i="58"/>
  <c r="Y201" i="58"/>
  <c r="Y198" i="58"/>
  <c r="Y205" i="58"/>
  <c r="Y202" i="58"/>
  <c r="Y199" i="58"/>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AD73" i="32"/>
  <c r="AD80" i="32" s="1"/>
  <c r="AE94" i="32"/>
  <c r="U23" i="35"/>
  <c r="Q8" i="47"/>
  <c r="Q9" i="47"/>
  <c r="U24" i="35"/>
  <c r="V25" i="35"/>
  <c r="R6" i="47"/>
  <c r="U22" i="35"/>
  <c r="Q5" i="47"/>
  <c r="U26" i="35"/>
  <c r="Q7" i="47"/>
  <c r="X222" i="58" l="1"/>
  <c r="X260" i="58" s="1"/>
  <c r="U121" i="47" s="1"/>
  <c r="X221" i="58"/>
  <c r="X259" i="58" s="1"/>
  <c r="U120" i="47" s="1"/>
  <c r="X228" i="58"/>
  <c r="X266" i="58" s="1"/>
  <c r="U123" i="47" s="1"/>
  <c r="Y187" i="58"/>
  <c r="Y193" i="58"/>
  <c r="Z50" i="58"/>
  <c r="Z191" i="58" s="1"/>
  <c r="Y191" i="58"/>
  <c r="Y192" i="58"/>
  <c r="Y190" i="58"/>
  <c r="Y194" i="58"/>
  <c r="Y228" i="58" s="1"/>
  <c r="Y266" i="58" s="1"/>
  <c r="V123" i="47" s="1"/>
  <c r="Y186" i="58"/>
  <c r="Y189" i="58"/>
  <c r="X227" i="58"/>
  <c r="X265" i="58" s="1"/>
  <c r="U125" i="47" s="1"/>
  <c r="X225" i="58"/>
  <c r="X263" i="58" s="1"/>
  <c r="U126" i="47" s="1"/>
  <c r="Y179" i="58"/>
  <c r="Y238" i="58" s="1"/>
  <c r="Y253" i="58" s="1"/>
  <c r="V117" i="47" s="1"/>
  <c r="Y175" i="58"/>
  <c r="Y234" i="58" s="1"/>
  <c r="Y249" i="58" s="1"/>
  <c r="V111" i="47" s="1"/>
  <c r="X220" i="58"/>
  <c r="Y176" i="58"/>
  <c r="Z43" i="58"/>
  <c r="Z49" i="58" s="1"/>
  <c r="Y180" i="58"/>
  <c r="Y239" i="58" s="1"/>
  <c r="Y254" i="58" s="1"/>
  <c r="V110" i="47" s="1"/>
  <c r="Y174" i="58"/>
  <c r="Y178" i="58"/>
  <c r="Y237" i="58" s="1"/>
  <c r="Y252" i="58" s="1"/>
  <c r="V115" i="47" s="1"/>
  <c r="Y181" i="58"/>
  <c r="Y240" i="58" s="1"/>
  <c r="Y255" i="58" s="1"/>
  <c r="V116" i="47" s="1"/>
  <c r="Y177" i="58"/>
  <c r="Y236" i="58" s="1"/>
  <c r="Y251" i="58" s="1"/>
  <c r="V113" i="47" s="1"/>
  <c r="X223" i="58"/>
  <c r="X261" i="58" s="1"/>
  <c r="U122" i="47" s="1"/>
  <c r="X224" i="58"/>
  <c r="X262" i="58" s="1"/>
  <c r="U124" i="47" s="1"/>
  <c r="X226" i="58"/>
  <c r="X264" i="58" s="1"/>
  <c r="U119" i="47" s="1"/>
  <c r="Z45" i="58"/>
  <c r="Z51" i="58" s="1"/>
  <c r="Z203" i="58" s="1"/>
  <c r="Y210" i="58"/>
  <c r="Y222" i="58" s="1"/>
  <c r="Y260" i="58" s="1"/>
  <c r="V121" i="47" s="1"/>
  <c r="Y212" i="58"/>
  <c r="Y224" i="58" s="1"/>
  <c r="Y262" i="58" s="1"/>
  <c r="V124" i="47" s="1"/>
  <c r="Y211" i="58"/>
  <c r="Y209" i="58"/>
  <c r="Y215" i="58"/>
  <c r="Y227" i="58" s="1"/>
  <c r="Y265" i="58" s="1"/>
  <c r="V125" i="47" s="1"/>
  <c r="Y214" i="58"/>
  <c r="Y226" i="58" s="1"/>
  <c r="Y264" i="58" s="1"/>
  <c r="V119" i="47" s="1"/>
  <c r="Y213" i="58"/>
  <c r="Y225" i="58" s="1"/>
  <c r="Y263" i="58" s="1"/>
  <c r="V126" i="47" s="1"/>
  <c r="Y208" i="58"/>
  <c r="Y53" i="58"/>
  <c r="Z46" i="58"/>
  <c r="Z52" i="58" s="1"/>
  <c r="Z212" i="58" s="1"/>
  <c r="W245" i="58"/>
  <c r="AA41" i="58"/>
  <c r="AA45" i="58" s="1"/>
  <c r="AA51" i="58" s="1"/>
  <c r="AB24" i="58"/>
  <c r="W258" i="58"/>
  <c r="T118" i="47" s="1"/>
  <c r="AA154" i="58"/>
  <c r="AA159" i="58"/>
  <c r="Z152" i="58"/>
  <c r="AA93" i="58"/>
  <c r="AA152" i="58" s="1"/>
  <c r="Y233" i="58"/>
  <c r="Y248" i="58" s="1"/>
  <c r="V109" i="47" s="1"/>
  <c r="AK92" i="58"/>
  <c r="AK93" i="58"/>
  <c r="AM78" i="58"/>
  <c r="AN78" i="58" s="1"/>
  <c r="AO78" i="58" s="1"/>
  <c r="AP78" i="58" s="1"/>
  <c r="AQ78" i="58" s="1"/>
  <c r="AR78" i="58" s="1"/>
  <c r="AS78" i="58" s="1"/>
  <c r="AT78" i="58" s="1"/>
  <c r="AU78" i="58" s="1"/>
  <c r="Z153" i="58"/>
  <c r="AA94" i="58"/>
  <c r="AA153" i="58" s="1"/>
  <c r="Z190" i="58"/>
  <c r="Z187" i="58"/>
  <c r="AK94" i="58"/>
  <c r="AL96" i="58"/>
  <c r="Z179" i="58"/>
  <c r="Z175" i="58"/>
  <c r="Z177" i="58"/>
  <c r="Z236" i="58" s="1"/>
  <c r="Z251" i="58" s="1"/>
  <c r="W113" i="47" s="1"/>
  <c r="Z176" i="58"/>
  <c r="Z182" i="58"/>
  <c r="Z241" i="58" s="1"/>
  <c r="Z256" i="58" s="1"/>
  <c r="W114" i="47" s="1"/>
  <c r="Z181" i="58"/>
  <c r="Z174" i="58"/>
  <c r="Z180" i="58"/>
  <c r="Z178"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Z157" i="58"/>
  <c r="AA98" i="58"/>
  <c r="AA157" i="58" s="1"/>
  <c r="X258" i="58"/>
  <c r="U118" i="47" s="1"/>
  <c r="V35" i="44"/>
  <c r="AC10" i="58"/>
  <c r="AC23" i="58" s="1"/>
  <c r="U25" i="44"/>
  <c r="U26" i="44" s="1"/>
  <c r="N3" i="29"/>
  <c r="AF94" i="32"/>
  <c r="AE73" i="32"/>
  <c r="AE80" i="32" s="1"/>
  <c r="T21" i="32"/>
  <c r="T45" i="32" s="1"/>
  <c r="X21" i="32"/>
  <c r="X45" i="32" s="1"/>
  <c r="AA21" i="32"/>
  <c r="AA45" i="32" s="1"/>
  <c r="Z21" i="32"/>
  <c r="Z45" i="32" s="1"/>
  <c r="Y21" i="32"/>
  <c r="Y45" i="32" s="1"/>
  <c r="AC21" i="32"/>
  <c r="AC45" i="32" s="1"/>
  <c r="AD21" i="32"/>
  <c r="AB21" i="32"/>
  <c r="AB45" i="32" s="1"/>
  <c r="AC6" i="35"/>
  <c r="AD6" i="35"/>
  <c r="V26" i="35"/>
  <c r="R7" i="47"/>
  <c r="V24" i="35"/>
  <c r="R9" i="47"/>
  <c r="R5" i="47"/>
  <c r="V22" i="35"/>
  <c r="R8" i="47"/>
  <c r="V23" i="35"/>
  <c r="W25" i="35"/>
  <c r="S6" i="47"/>
  <c r="Z200" i="58" l="1"/>
  <c r="Y220" i="58"/>
  <c r="Z186" i="58"/>
  <c r="Z194" i="58"/>
  <c r="Z193" i="58"/>
  <c r="AA43" i="58"/>
  <c r="AA49" i="58" s="1"/>
  <c r="Z198" i="58"/>
  <c r="Z205" i="58"/>
  <c r="Z197" i="58"/>
  <c r="Y221" i="58"/>
  <c r="Y259" i="58" s="1"/>
  <c r="V120" i="47" s="1"/>
  <c r="Z199" i="58"/>
  <c r="Z201" i="58"/>
  <c r="Z224" i="58" s="1"/>
  <c r="Z262" i="58" s="1"/>
  <c r="W124" i="47" s="1"/>
  <c r="Z202" i="58"/>
  <c r="Z204" i="58"/>
  <c r="Y223" i="58"/>
  <c r="Y261" i="58" s="1"/>
  <c r="V122" i="47" s="1"/>
  <c r="Z192" i="58"/>
  <c r="Z188" i="58"/>
  <c r="Z189" i="58"/>
  <c r="X245" i="58"/>
  <c r="AC24" i="58"/>
  <c r="Z213" i="58"/>
  <c r="Z211" i="58"/>
  <c r="Z210" i="58"/>
  <c r="Z53" i="58"/>
  <c r="Z209" i="58"/>
  <c r="Z221" i="58" s="1"/>
  <c r="Z259" i="58" s="1"/>
  <c r="W120" i="47" s="1"/>
  <c r="Z215" i="58"/>
  <c r="Z214" i="58"/>
  <c r="Z216" i="58"/>
  <c r="AA46" i="58"/>
  <c r="AA52" i="58" s="1"/>
  <c r="AA214" i="58" s="1"/>
  <c r="Z208" i="58"/>
  <c r="AA44" i="58"/>
  <c r="AA50" i="58" s="1"/>
  <c r="AA189" i="58" s="1"/>
  <c r="Z234" i="58"/>
  <c r="Z249" i="58" s="1"/>
  <c r="W111" i="47" s="1"/>
  <c r="AB35" i="58"/>
  <c r="AB156" i="58"/>
  <c r="AB158" i="58"/>
  <c r="AB153" i="58"/>
  <c r="AB152" i="58"/>
  <c r="AB154" i="58"/>
  <c r="AB159" i="58"/>
  <c r="AB151" i="58"/>
  <c r="AB155" i="58"/>
  <c r="AB157" i="58"/>
  <c r="Z235" i="58"/>
  <c r="Z250" i="58" s="1"/>
  <c r="W112" i="47" s="1"/>
  <c r="Z238" i="58"/>
  <c r="Z253" i="58" s="1"/>
  <c r="W117" i="47" s="1"/>
  <c r="AG60" i="58"/>
  <c r="AB60" i="58"/>
  <c r="AM100" i="58"/>
  <c r="AM97" i="58"/>
  <c r="AM96" i="58"/>
  <c r="AC31" i="58"/>
  <c r="AC34" i="58" s="1"/>
  <c r="AL99" i="58"/>
  <c r="Y245" i="58"/>
  <c r="Y258" i="58"/>
  <c r="V118" i="47" s="1"/>
  <c r="Z237" i="58"/>
  <c r="Z252" i="58" s="1"/>
  <c r="W115" i="47" s="1"/>
  <c r="AL94" i="58"/>
  <c r="AL98" i="58"/>
  <c r="AL95" i="58"/>
  <c r="Z239" i="58"/>
  <c r="Z254" i="58" s="1"/>
  <c r="W110" i="47" s="1"/>
  <c r="Z233" i="58"/>
  <c r="Z248" i="58" s="1"/>
  <c r="W109" i="47" s="1"/>
  <c r="AL93" i="58"/>
  <c r="AL92" i="58"/>
  <c r="AA205" i="58"/>
  <c r="AA199" i="58"/>
  <c r="AA198" i="58"/>
  <c r="AA200" i="58"/>
  <c r="AA203" i="58"/>
  <c r="AA197" i="58"/>
  <c r="AA204" i="58"/>
  <c r="AA201" i="58"/>
  <c r="AA202" i="58"/>
  <c r="AA176" i="58"/>
  <c r="AA235" i="58" s="1"/>
  <c r="AA250" i="58" s="1"/>
  <c r="X112" i="47" s="1"/>
  <c r="AA180" i="58"/>
  <c r="AA239" i="58" s="1"/>
  <c r="AA254" i="58" s="1"/>
  <c r="X110" i="47" s="1"/>
  <c r="AA181" i="58"/>
  <c r="AA240" i="58" s="1"/>
  <c r="AA255" i="58" s="1"/>
  <c r="X116" i="47" s="1"/>
  <c r="AA179" i="58"/>
  <c r="AA238" i="58" s="1"/>
  <c r="AA253" i="58" s="1"/>
  <c r="X117" i="47" s="1"/>
  <c r="AA178" i="58"/>
  <c r="AA237" i="58" s="1"/>
  <c r="AA252" i="58" s="1"/>
  <c r="X115" i="47" s="1"/>
  <c r="AA174" i="58"/>
  <c r="AA233" i="58" s="1"/>
  <c r="AA248" i="58" s="1"/>
  <c r="X109" i="47" s="1"/>
  <c r="AA182" i="58"/>
  <c r="AA241" i="58" s="1"/>
  <c r="AA256" i="58" s="1"/>
  <c r="X114" i="47" s="1"/>
  <c r="AA177" i="58"/>
  <c r="AA236" i="58" s="1"/>
  <c r="AA251" i="58" s="1"/>
  <c r="X113" i="47" s="1"/>
  <c r="AA175" i="58"/>
  <c r="AA234" i="58" s="1"/>
  <c r="AA249" i="58" s="1"/>
  <c r="X111" i="47" s="1"/>
  <c r="Z240" i="58"/>
  <c r="Z255" i="58" s="1"/>
  <c r="W116" i="47" s="1"/>
  <c r="V25" i="44"/>
  <c r="V26" i="44" s="1"/>
  <c r="AC24" i="32"/>
  <c r="W35" i="44"/>
  <c r="AD10" i="58"/>
  <c r="AD23" i="58" s="1"/>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Z24" i="32"/>
  <c r="Z22" i="32"/>
  <c r="Z23" i="32"/>
  <c r="Z35" i="32" s="1"/>
  <c r="Z38" i="32" s="1"/>
  <c r="N5" i="29"/>
  <c r="N18" i="29" s="1"/>
  <c r="N28" i="29"/>
  <c r="N36" i="29" s="1"/>
  <c r="AF73" i="32"/>
  <c r="AF80" i="32" s="1"/>
  <c r="AG94" i="32"/>
  <c r="W26" i="35"/>
  <c r="S7" i="47"/>
  <c r="W24" i="35"/>
  <c r="S9" i="47"/>
  <c r="X25" i="35"/>
  <c r="T6" i="47"/>
  <c r="S5" i="47"/>
  <c r="W22" i="35"/>
  <c r="W23" i="35"/>
  <c r="S8" i="47"/>
  <c r="Z227" i="58" l="1"/>
  <c r="Z265" i="58" s="1"/>
  <c r="W125" i="47" s="1"/>
  <c r="Z223" i="58"/>
  <c r="Z261" i="58" s="1"/>
  <c r="W122" i="47" s="1"/>
  <c r="Z220" i="58"/>
  <c r="Z258" i="58" s="1"/>
  <c r="W118" i="47" s="1"/>
  <c r="Z222" i="58"/>
  <c r="Z260" i="58" s="1"/>
  <c r="W121" i="47" s="1"/>
  <c r="Z228" i="58"/>
  <c r="Z266" i="58" s="1"/>
  <c r="W123" i="47" s="1"/>
  <c r="Z226" i="58"/>
  <c r="Z264" i="58" s="1"/>
  <c r="W119" i="47" s="1"/>
  <c r="Z225" i="58"/>
  <c r="Z263" i="58" s="1"/>
  <c r="W126" i="47" s="1"/>
  <c r="AA209" i="58"/>
  <c r="AA212" i="58"/>
  <c r="AA213" i="58"/>
  <c r="AA210" i="58"/>
  <c r="AA216" i="58"/>
  <c r="AA208" i="58"/>
  <c r="AA211" i="58"/>
  <c r="AA223" i="58" s="1"/>
  <c r="AA261" i="58" s="1"/>
  <c r="X122" i="47" s="1"/>
  <c r="AA215" i="58"/>
  <c r="AA192" i="58"/>
  <c r="AA226" i="58" s="1"/>
  <c r="AA264" i="58" s="1"/>
  <c r="X119" i="47" s="1"/>
  <c r="AA190" i="58"/>
  <c r="AA224" i="58" s="1"/>
  <c r="AA262" i="58" s="1"/>
  <c r="X124" i="47" s="1"/>
  <c r="AA188" i="58"/>
  <c r="AA193" i="58"/>
  <c r="AA53" i="58"/>
  <c r="AA191" i="58"/>
  <c r="AA194" i="58"/>
  <c r="AA187" i="58"/>
  <c r="AA186" i="58"/>
  <c r="AC35" i="58"/>
  <c r="AC159" i="58"/>
  <c r="AC155" i="58"/>
  <c r="AC153" i="58"/>
  <c r="AC156" i="58"/>
  <c r="AC151" i="58"/>
  <c r="AC152" i="58"/>
  <c r="AC158" i="58"/>
  <c r="AC157" i="58"/>
  <c r="AC154" i="58"/>
  <c r="Z245"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AD22" i="32"/>
  <c r="AD34" i="32" s="1"/>
  <c r="AD37" i="32" s="1"/>
  <c r="AD24" i="32"/>
  <c r="AD36" i="32" s="1"/>
  <c r="AD23" i="32"/>
  <c r="AD35" i="32" s="1"/>
  <c r="AD38" i="32" s="1"/>
  <c r="X35" i="44"/>
  <c r="AE10" i="58"/>
  <c r="AE23" i="58" s="1"/>
  <c r="AE21" i="32"/>
  <c r="AF21" i="32"/>
  <c r="W25" i="44"/>
  <c r="W26" i="44" s="1"/>
  <c r="AE6" i="35"/>
  <c r="AD45" i="32"/>
  <c r="I32" i="57"/>
  <c r="O87" i="57"/>
  <c r="O90" i="57" s="1"/>
  <c r="N24" i="29"/>
  <c r="N17" i="29"/>
  <c r="N23" i="29" s="1"/>
  <c r="N16" i="29"/>
  <c r="Z34" i="32"/>
  <c r="Z37" i="32" s="1"/>
  <c r="Z25" i="32"/>
  <c r="Z18" i="32" s="1"/>
  <c r="AB36" i="32"/>
  <c r="G24" i="32"/>
  <c r="G36" i="32" s="1"/>
  <c r="AA36" i="32"/>
  <c r="G66" i="32"/>
  <c r="G65" i="32"/>
  <c r="G64" i="32"/>
  <c r="G50" i="32"/>
  <c r="G67" i="32"/>
  <c r="G69" i="32"/>
  <c r="G68" i="32"/>
  <c r="G63" i="32"/>
  <c r="AA34" i="32"/>
  <c r="AA37" i="32" s="1"/>
  <c r="AA25" i="32"/>
  <c r="AA18" i="32" s="1"/>
  <c r="AH94" i="32"/>
  <c r="AG73" i="32"/>
  <c r="AG80" i="32" s="1"/>
  <c r="Y36" i="32"/>
  <c r="T36" i="32"/>
  <c r="X36" i="32"/>
  <c r="AB34" i="32"/>
  <c r="AB37" i="32" s="1"/>
  <c r="G22" i="32"/>
  <c r="AB25" i="32"/>
  <c r="AB19" i="32" s="1"/>
  <c r="T38" i="32"/>
  <c r="Z36" i="32"/>
  <c r="AB51" i="29"/>
  <c r="S51" i="29"/>
  <c r="P108" i="47" s="1"/>
  <c r="AC36" i="32"/>
  <c r="T34" i="32"/>
  <c r="T25" i="32"/>
  <c r="T18" i="32" s="1"/>
  <c r="X34" i="32"/>
  <c r="X37" i="32" s="1"/>
  <c r="X25" i="32"/>
  <c r="X18" i="32" s="1"/>
  <c r="AC34" i="32"/>
  <c r="AC37" i="32" s="1"/>
  <c r="AC25" i="32"/>
  <c r="AC18" i="32" s="1"/>
  <c r="AB35" i="32"/>
  <c r="AB38" i="32" s="1"/>
  <c r="G23" i="32"/>
  <c r="G35" i="32" s="1"/>
  <c r="G38" i="32" s="1"/>
  <c r="Y34" i="32"/>
  <c r="Y37" i="32" s="1"/>
  <c r="Y25" i="32"/>
  <c r="Y18" i="32" s="1"/>
  <c r="Y25" i="35"/>
  <c r="U6" i="47"/>
  <c r="X26" i="35"/>
  <c r="T7" i="47"/>
  <c r="X24" i="35"/>
  <c r="T9" i="47"/>
  <c r="T5" i="47"/>
  <c r="X22" i="35"/>
  <c r="X23" i="35"/>
  <c r="T8" i="47"/>
  <c r="AA225" i="58" l="1"/>
  <c r="AA263" i="58" s="1"/>
  <c r="X126" i="47" s="1"/>
  <c r="AA227" i="58"/>
  <c r="AA265" i="58" s="1"/>
  <c r="X125" i="47" s="1"/>
  <c r="AA222" i="58"/>
  <c r="AA260" i="58" s="1"/>
  <c r="X121" i="47" s="1"/>
  <c r="AA221" i="58"/>
  <c r="AA259" i="58" s="1"/>
  <c r="X120" i="47" s="1"/>
  <c r="AA220" i="58"/>
  <c r="AA258" i="58" s="1"/>
  <c r="X118" i="47" s="1"/>
  <c r="AA228" i="58"/>
  <c r="AA266" i="58" s="1"/>
  <c r="X123"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D25" i="32"/>
  <c r="AD18" i="32" s="1"/>
  <c r="AE24" i="58"/>
  <c r="AO97" i="58"/>
  <c r="AO100" i="58"/>
  <c r="AN94" i="58"/>
  <c r="AN99" i="58"/>
  <c r="AN92" i="58"/>
  <c r="AN98" i="58"/>
  <c r="AO96" i="58"/>
  <c r="AE31" i="58"/>
  <c r="AE34" i="58" s="1"/>
  <c r="AN95" i="58"/>
  <c r="AN93" i="58"/>
  <c r="S50" i="29"/>
  <c r="P86" i="47" s="1"/>
  <c r="AB50" i="29"/>
  <c r="Y86" i="47" s="1"/>
  <c r="S49" i="29"/>
  <c r="P85" i="47" s="1"/>
  <c r="AB49" i="29"/>
  <c r="Y85" i="47" s="1"/>
  <c r="AE45" i="32"/>
  <c r="X25" i="44"/>
  <c r="X26" i="44" s="1"/>
  <c r="AE24" i="32"/>
  <c r="AE23" i="32"/>
  <c r="AE35" i="32" s="1"/>
  <c r="AE38" i="32" s="1"/>
  <c r="AE22" i="32"/>
  <c r="AF6" i="35"/>
  <c r="Y35" i="44"/>
  <c r="AG6" i="35"/>
  <c r="AF10" i="58"/>
  <c r="AF23" i="58" s="1"/>
  <c r="I87" i="57"/>
  <c r="I90" i="57" s="1"/>
  <c r="N22" i="29"/>
  <c r="AB18" i="32"/>
  <c r="Z19" i="32"/>
  <c r="Y17" i="32"/>
  <c r="T17" i="32"/>
  <c r="AC17" i="32"/>
  <c r="AA17" i="32"/>
  <c r="AB17" i="32"/>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H73" i="32"/>
  <c r="AH80" i="32" s="1"/>
  <c r="AI94" i="32"/>
  <c r="AA19" i="32"/>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AA245" i="58" l="1"/>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AF45" i="32"/>
  <c r="AE36" i="32"/>
  <c r="AE25" i="32"/>
  <c r="AE18" i="32" s="1"/>
  <c r="AE34" i="32"/>
  <c r="AE37" i="32" s="1"/>
  <c r="Y25" i="44"/>
  <c r="Y26" i="44" s="1"/>
  <c r="AF22" i="32"/>
  <c r="AF24" i="32"/>
  <c r="AF23" i="32"/>
  <c r="AF35" i="32" s="1"/>
  <c r="AF38" i="32" s="1"/>
  <c r="AH21" i="32"/>
  <c r="Z35" i="44"/>
  <c r="AH6" i="35"/>
  <c r="AG10" i="58"/>
  <c r="AG23" i="58" s="1"/>
  <c r="AG24" i="58" s="1"/>
  <c r="AG21" i="32"/>
  <c r="AB48" i="29"/>
  <c r="S48" i="29"/>
  <c r="P84" i="47" s="1"/>
  <c r="AJ94" i="32"/>
  <c r="AI73" i="32"/>
  <c r="AI80" i="32" s="1"/>
  <c r="Q108" i="47"/>
  <c r="U51" i="29"/>
  <c r="Z23" i="35"/>
  <c r="V8" i="47"/>
  <c r="V5" i="47"/>
  <c r="Z22" i="35"/>
  <c r="V7" i="47"/>
  <c r="Z26" i="35"/>
  <c r="Z24" i="35"/>
  <c r="V9" i="47"/>
  <c r="W6" i="47"/>
  <c r="AA25" i="35"/>
  <c r="AB225" i="58" l="1"/>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E17" i="32"/>
  <c r="AP98" i="58"/>
  <c r="AQ100" i="58"/>
  <c r="AP94" i="58"/>
  <c r="AP92" i="58"/>
  <c r="AP93" i="58"/>
  <c r="AQ96" i="58"/>
  <c r="AG31" i="58"/>
  <c r="AG34" i="58" s="1"/>
  <c r="AP95" i="58"/>
  <c r="AP99" i="58"/>
  <c r="AQ97" i="58"/>
  <c r="Q86" i="47"/>
  <c r="U50" i="29"/>
  <c r="Q85" i="47"/>
  <c r="U49" i="29"/>
  <c r="AG22" i="32"/>
  <c r="AG24" i="32"/>
  <c r="AA35" i="44"/>
  <c r="AH10" i="58"/>
  <c r="AH23" i="58" s="1"/>
  <c r="AH24" i="58" s="1"/>
  <c r="AF36" i="32"/>
  <c r="AF34" i="32"/>
  <c r="AF37" i="32" s="1"/>
  <c r="AF25" i="32"/>
  <c r="AF18" i="32" s="1"/>
  <c r="Z25" i="44"/>
  <c r="Z26" i="44" s="1"/>
  <c r="AE19" i="32"/>
  <c r="AG45" i="32"/>
  <c r="AG23" i="32"/>
  <c r="AG35" i="32" s="1"/>
  <c r="AG38" i="32" s="1"/>
  <c r="R108" i="47"/>
  <c r="V51" i="29"/>
  <c r="T48" i="29"/>
  <c r="AK94" i="32"/>
  <c r="AJ73" i="32"/>
  <c r="AJ80" i="32" s="1"/>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F17" i="32"/>
  <c r="AH45" i="32"/>
  <c r="AF19" i="32"/>
  <c r="AA25" i="44"/>
  <c r="AA26" i="44" s="1"/>
  <c r="AI6" i="35"/>
  <c r="AH24" i="32"/>
  <c r="AH23" i="32"/>
  <c r="AH35" i="32" s="1"/>
  <c r="AH38" i="32" s="1"/>
  <c r="AG25" i="32"/>
  <c r="AG18" i="32" s="1"/>
  <c r="AG34" i="32"/>
  <c r="AG37" i="32" s="1"/>
  <c r="AH22" i="32"/>
  <c r="AG36" i="32"/>
  <c r="AB35" i="44"/>
  <c r="AJ6" i="35"/>
  <c r="AI10" i="58"/>
  <c r="AI23" i="58" s="1"/>
  <c r="AI24" i="58" s="1"/>
  <c r="AI21" i="32"/>
  <c r="Q84" i="47"/>
  <c r="U48" i="29"/>
  <c r="S108" i="47"/>
  <c r="W51" i="29"/>
  <c r="AK73" i="32"/>
  <c r="AK80" i="32" s="1"/>
  <c r="AL94" i="32"/>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G17" i="32"/>
  <c r="AR98" i="58"/>
  <c r="S86" i="47"/>
  <c r="W50" i="29"/>
  <c r="S85" i="47"/>
  <c r="W49" i="29"/>
  <c r="AG19" i="32"/>
  <c r="AK21" i="32"/>
  <c r="AC35" i="44"/>
  <c r="AJ10" i="58"/>
  <c r="AJ23" i="58" s="1"/>
  <c r="AK6" i="35"/>
  <c r="AI45" i="32"/>
  <c r="AH34" i="32"/>
  <c r="AH37" i="32" s="1"/>
  <c r="AH25" i="32"/>
  <c r="AH18" i="32" s="1"/>
  <c r="AJ21" i="32"/>
  <c r="AB25" i="44"/>
  <c r="AB26" i="44" s="1"/>
  <c r="AH36" i="32"/>
  <c r="AI24" i="32"/>
  <c r="AI36" i="32" s="1"/>
  <c r="AI23" i="32"/>
  <c r="AI22" i="32"/>
  <c r="AM94" i="32"/>
  <c r="AL73" i="32"/>
  <c r="AL80" i="32" s="1"/>
  <c r="R84" i="47"/>
  <c r="V48" i="29"/>
  <c r="T108" i="47"/>
  <c r="X51" i="29"/>
  <c r="Y9" i="47"/>
  <c r="AC24" i="35"/>
  <c r="AC26" i="35"/>
  <c r="Y7" i="47"/>
  <c r="AD25" i="35"/>
  <c r="Z6" i="47"/>
  <c r="Y5" i="47"/>
  <c r="AC22" i="35"/>
  <c r="AC23" i="35"/>
  <c r="Y8" i="47"/>
  <c r="AE221" i="58" l="1"/>
  <c r="AE259" i="58" s="1"/>
  <c r="AB120" i="47" s="1"/>
  <c r="AE227" i="58"/>
  <c r="AE265" i="58" s="1"/>
  <c r="AB125" i="47" s="1"/>
  <c r="AH17" i="32"/>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I34" i="32"/>
  <c r="AI37" i="32" s="1"/>
  <c r="AI25" i="32"/>
  <c r="AI19" i="32" s="1"/>
  <c r="AI35" i="32"/>
  <c r="AI38" i="32" s="1"/>
  <c r="AH19" i="32"/>
  <c r="AC25" i="44"/>
  <c r="AC26" i="44" s="1"/>
  <c r="AJ22" i="32"/>
  <c r="AJ24" i="32"/>
  <c r="AJ23" i="32"/>
  <c r="AJ45" i="32"/>
  <c r="AD35" i="44"/>
  <c r="AK10" i="58"/>
  <c r="AK23" i="58" s="1"/>
  <c r="AN21" i="32"/>
  <c r="S84" i="47"/>
  <c r="W48" i="29"/>
  <c r="U108" i="47"/>
  <c r="Y51" i="29"/>
  <c r="AN94" i="32"/>
  <c r="AM73" i="32"/>
  <c r="AM80" i="32" s="1"/>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AI18" i="32"/>
  <c r="AI17" i="32"/>
  <c r="U86" i="47"/>
  <c r="Y50" i="29"/>
  <c r="U85" i="47"/>
  <c r="Y49" i="29"/>
  <c r="AJ34" i="32"/>
  <c r="AJ37" i="32" s="1"/>
  <c r="AJ25" i="32"/>
  <c r="AJ17" i="32" s="1"/>
  <c r="AD25" i="44"/>
  <c r="AD26" i="44" s="1"/>
  <c r="AL6" i="35"/>
  <c r="AK22" i="32"/>
  <c r="AK24" i="32"/>
  <c r="AK23" i="32"/>
  <c r="AK35" i="32" s="1"/>
  <c r="AK38" i="32" s="1"/>
  <c r="AL10" i="58"/>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35" i="32"/>
  <c r="AJ38" i="32" s="1"/>
  <c r="V108" i="47"/>
  <c r="Z51" i="29"/>
  <c r="T84" i="47"/>
  <c r="X48" i="29"/>
  <c r="AO94" i="32"/>
  <c r="AN73" i="32"/>
  <c r="AN80" i="32" s="1"/>
  <c r="AE23" i="35"/>
  <c r="AA8" i="47"/>
  <c r="AE26" i="35"/>
  <c r="AA7" i="47"/>
  <c r="AF25" i="35"/>
  <c r="AB6" i="47"/>
  <c r="AE24" i="35"/>
  <c r="AA9" i="47"/>
  <c r="AE22" i="35"/>
  <c r="AA5" i="47"/>
  <c r="AJ19" i="32" l="1"/>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227" i="58" s="1"/>
  <c r="AH265" i="58" s="1"/>
  <c r="AE125" i="47" s="1"/>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J18" i="32"/>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AO45" i="32"/>
  <c r="AP45" i="32" s="1"/>
  <c r="I45" i="32"/>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J15" i="57"/>
  <c r="J14" i="57"/>
  <c r="U19" i="55"/>
  <c r="U18" i="55"/>
  <c r="U21" i="55"/>
  <c r="U22" i="55"/>
  <c r="U16" i="55"/>
  <c r="U15" i="55"/>
  <c r="U10" i="55"/>
  <c r="U12" i="55"/>
  <c r="U11" i="55"/>
  <c r="U13" i="55"/>
  <c r="U14" i="55"/>
  <c r="U17" i="55"/>
  <c r="U20" i="55"/>
  <c r="H15" i="57"/>
  <c r="H13" i="57"/>
  <c r="H14" i="57"/>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J13" i="57"/>
  <c r="P5" i="29"/>
  <c r="P28" i="29"/>
  <c r="I14" i="57"/>
  <c r="I15" i="57"/>
  <c r="I13" i="57"/>
  <c r="J7" i="56"/>
  <c r="J8" i="56"/>
  <c r="P8" i="56" s="1"/>
  <c r="V8" i="56" s="1"/>
  <c r="J9" i="56"/>
  <c r="P9" i="56" s="1"/>
  <c r="V9" i="56" s="1"/>
  <c r="K13" i="57"/>
  <c r="K15" i="57"/>
  <c r="K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K36" i="32"/>
  <c r="AJ19" i="55"/>
  <c r="AJ11" i="55"/>
  <c r="AJ12" i="55"/>
  <c r="AJ13" i="55"/>
  <c r="AJ22" i="55"/>
  <c r="AJ14" i="55"/>
  <c r="AJ17" i="55"/>
  <c r="AJ21" i="55"/>
  <c r="AJ20" i="55"/>
  <c r="AJ16" i="55"/>
  <c r="AJ10" i="55"/>
  <c r="AJ18" i="55"/>
  <c r="AJ15" i="55"/>
  <c r="AL45" i="32"/>
  <c r="H45" i="32" s="1"/>
  <c r="AL24" i="32"/>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O23" i="32"/>
  <c r="I23" i="32"/>
  <c r="I35" i="32" s="1"/>
  <c r="I38" i="32" s="1"/>
  <c r="AN35" i="32"/>
  <c r="AN38" i="32" s="1"/>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AN25" i="32"/>
  <c r="AN19" i="32" s="1"/>
  <c r="I22" i="32"/>
  <c r="AO22" i="32"/>
  <c r="AN34" i="32"/>
  <c r="AN37" i="32" s="1"/>
  <c r="L8" i="56"/>
  <c r="R8" i="56" s="1"/>
  <c r="X8" i="56" s="1"/>
  <c r="L7" i="56"/>
  <c r="L9" i="56"/>
  <c r="R9" i="56" s="1"/>
  <c r="X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AP94" i="32"/>
  <c r="AP73" i="32" s="1"/>
  <c r="AP80" i="32" s="1"/>
  <c r="AO73" i="32"/>
  <c r="AO80" i="32" s="1"/>
  <c r="U84" i="47"/>
  <c r="Y48" i="29"/>
  <c r="AB5" i="47"/>
  <c r="AF22" i="35"/>
  <c r="AG25" i="35"/>
  <c r="AC6" i="47"/>
  <c r="AB8" i="47"/>
  <c r="AF23" i="35"/>
  <c r="AB7" i="47"/>
  <c r="AF26" i="35"/>
  <c r="AF24" i="35"/>
  <c r="AB9" i="47"/>
  <c r="AH224" i="58" l="1"/>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M31" i="58"/>
  <c r="AM34" i="58" s="1"/>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AN18" i="32"/>
  <c r="W86" i="47"/>
  <c r="AA50" i="29"/>
  <c r="X86" i="47" s="1"/>
  <c r="AO17" i="55"/>
  <c r="AL51" i="29"/>
  <c r="AC51" i="29"/>
  <c r="Z108" i="47" s="1"/>
  <c r="W85" i="47"/>
  <c r="AA49" i="29"/>
  <c r="X85" i="47" s="1"/>
  <c r="X108" i="47"/>
  <c r="Y108" i="47"/>
  <c r="AP21" i="55"/>
  <c r="AP15" i="55"/>
  <c r="AO15" i="55"/>
  <c r="O8" i="56"/>
  <c r="U8" i="56" s="1"/>
  <c r="I104" i="56"/>
  <c r="R37" i="55"/>
  <c r="N134" i="47"/>
  <c r="Q15" i="57"/>
  <c r="W15" i="57"/>
  <c r="K101" i="57"/>
  <c r="K86" i="57"/>
  <c r="Q14" i="57"/>
  <c r="W14" i="57"/>
  <c r="W108" i="57" s="1"/>
  <c r="K97" i="57"/>
  <c r="K108" i="57"/>
  <c r="K81" i="57"/>
  <c r="H47" i="57"/>
  <c r="H49" i="57" s="1"/>
  <c r="H50" i="57" s="1"/>
  <c r="G47" i="57"/>
  <c r="G49" i="57" s="1"/>
  <c r="G50" i="57" s="1"/>
  <c r="O7" i="56"/>
  <c r="I60" i="56"/>
  <c r="J60" i="56" s="1"/>
  <c r="I43" i="56"/>
  <c r="I48" i="56"/>
  <c r="Q27" i="55"/>
  <c r="K16" i="57"/>
  <c r="W13" i="57"/>
  <c r="Q13" i="57"/>
  <c r="K75" i="57"/>
  <c r="K107" i="57"/>
  <c r="K93" i="57"/>
  <c r="AP20" i="55"/>
  <c r="Q36" i="55"/>
  <c r="AP18" i="55"/>
  <c r="AO18" i="55"/>
  <c r="AL23" i="32"/>
  <c r="R32" i="55"/>
  <c r="N131" i="47"/>
  <c r="T14" i="57"/>
  <c r="N14" i="57"/>
  <c r="H108" i="57"/>
  <c r="H81" i="57"/>
  <c r="H97" i="57"/>
  <c r="R7" i="56"/>
  <c r="K47" i="57"/>
  <c r="AO16" i="55"/>
  <c r="AP16" i="55"/>
  <c r="AO35" i="32"/>
  <c r="AO38" i="32" s="1"/>
  <c r="AP23" i="32"/>
  <c r="S28" i="55"/>
  <c r="H24" i="32"/>
  <c r="H36" i="32" s="1"/>
  <c r="AL36" i="32"/>
  <c r="Q31" i="55"/>
  <c r="N13" i="57"/>
  <c r="H16" i="57"/>
  <c r="T13" i="57"/>
  <c r="T54" i="57" s="1"/>
  <c r="H107" i="57"/>
  <c r="H93" i="57"/>
  <c r="H75" i="57"/>
  <c r="K21" i="57"/>
  <c r="I46" i="32"/>
  <c r="H46" i="32" s="1"/>
  <c r="I66" i="32"/>
  <c r="I68" i="32"/>
  <c r="I69" i="32"/>
  <c r="I67" i="32"/>
  <c r="I64" i="32"/>
  <c r="I65" i="32"/>
  <c r="I50" i="32"/>
  <c r="I63" i="32"/>
  <c r="J47" i="57"/>
  <c r="Q7" i="56"/>
  <c r="AL22" i="32"/>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P17" i="55"/>
  <c r="AN17" i="32"/>
  <c r="AO12" i="55"/>
  <c r="AP12" i="55"/>
  <c r="AM36" i="32"/>
  <c r="J21" i="57"/>
  <c r="P32" i="57" s="1"/>
  <c r="H63" i="32"/>
  <c r="H64" i="32"/>
  <c r="H68" i="32"/>
  <c r="H69" i="32"/>
  <c r="H65" i="32"/>
  <c r="H66" i="32"/>
  <c r="H67" i="32"/>
  <c r="H50" i="32"/>
  <c r="R33" i="55"/>
  <c r="N130" i="47"/>
  <c r="I75" i="57"/>
  <c r="I107" i="57"/>
  <c r="O13" i="57"/>
  <c r="I16" i="57"/>
  <c r="U13" i="57"/>
  <c r="I93" i="57"/>
  <c r="AO11" i="55"/>
  <c r="AP13" i="55"/>
  <c r="AO13" i="55"/>
  <c r="AM34" i="32"/>
  <c r="AM37" i="32" s="1"/>
  <c r="AM25" i="32"/>
  <c r="AM18" i="32" s="1"/>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O14" i="55"/>
  <c r="AP14" i="55"/>
  <c r="AO34" i="32"/>
  <c r="AO37" i="32" s="1"/>
  <c r="AO25" i="32"/>
  <c r="AO17" i="32" s="1"/>
  <c r="AP22" i="32"/>
  <c r="AP11" i="55"/>
  <c r="O18" i="29"/>
  <c r="O17" i="29"/>
  <c r="O16" i="29"/>
  <c r="AK19" i="32"/>
  <c r="R34" i="55"/>
  <c r="N128" i="47"/>
  <c r="U14" i="57"/>
  <c r="O14" i="57"/>
  <c r="I81" i="57"/>
  <c r="I108" i="57"/>
  <c r="I97" i="57"/>
  <c r="V15" i="57"/>
  <c r="P15" i="57"/>
  <c r="P101" i="57" s="1"/>
  <c r="J101" i="57"/>
  <c r="J86" i="57"/>
  <c r="I34" i="32"/>
  <c r="I37" i="32" s="1"/>
  <c r="I25" i="32"/>
  <c r="I31" i="32" s="1"/>
  <c r="AO19" i="55"/>
  <c r="AP19" i="55"/>
  <c r="AP24" i="32"/>
  <c r="AP36" i="32" s="1"/>
  <c r="AO36" i="32"/>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E26" i="44"/>
  <c r="AF26" i="44"/>
  <c r="AP22" i="55"/>
  <c r="AO22" i="55"/>
  <c r="AK17" i="32"/>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J93" i="57"/>
  <c r="J75" i="57"/>
  <c r="J107" i="57"/>
  <c r="P13" i="57"/>
  <c r="J16" i="57"/>
  <c r="V13" i="57"/>
  <c r="V84" i="47"/>
  <c r="Z48" i="29"/>
  <c r="AC8" i="47"/>
  <c r="AG23" i="35"/>
  <c r="AC9" i="47"/>
  <c r="AG24" i="35"/>
  <c r="AH25" i="35"/>
  <c r="AD6" i="47"/>
  <c r="AG26" i="35"/>
  <c r="AC7" i="47"/>
  <c r="AG22" i="35"/>
  <c r="AC5" i="47"/>
  <c r="AL35" i="58" l="1"/>
  <c r="AL159" i="58"/>
  <c r="AL156" i="58"/>
  <c r="AL155" i="58"/>
  <c r="AL154" i="58"/>
  <c r="AL158" i="58"/>
  <c r="AL152" i="58"/>
  <c r="AL151" i="58"/>
  <c r="AL157" i="58"/>
  <c r="AL153" i="58"/>
  <c r="AK44" i="58"/>
  <c r="AK50" i="58" s="1"/>
  <c r="AK43" i="58"/>
  <c r="AK49" i="58" s="1"/>
  <c r="AK46" i="58"/>
  <c r="AK52" i="58" s="1"/>
  <c r="AK45" i="58"/>
  <c r="AI225" i="58"/>
  <c r="AI263" i="58" s="1"/>
  <c r="AF126" i="47" s="1"/>
  <c r="AH245" i="58"/>
  <c r="AI228" i="58"/>
  <c r="AI266" i="58" s="1"/>
  <c r="AF123" i="47" s="1"/>
  <c r="AI227" i="58"/>
  <c r="AI265" i="58" s="1"/>
  <c r="AF125" i="47" s="1"/>
  <c r="AI223" i="58"/>
  <c r="AI261" i="58" s="1"/>
  <c r="AF122" i="47" s="1"/>
  <c r="AJ197" i="58"/>
  <c r="AJ201" i="58"/>
  <c r="AJ202" i="58"/>
  <c r="AJ205" i="58"/>
  <c r="AK51"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1" i="56"/>
  <c r="Q171" i="56"/>
  <c r="R171" i="56" s="1"/>
  <c r="AO35" i="55"/>
  <c r="AP35" i="55" s="1"/>
  <c r="AD51" i="29"/>
  <c r="Q123" i="56"/>
  <c r="P144" i="56" s="1"/>
  <c r="M99" i="47" s="1"/>
  <c r="S123" i="56"/>
  <c r="R144" i="56" s="1"/>
  <c r="AO29" i="55"/>
  <c r="AP29" i="55" s="1"/>
  <c r="I49" i="57"/>
  <c r="I50" i="57" s="1"/>
  <c r="I51" i="57" s="1"/>
  <c r="AO38" i="55"/>
  <c r="AP38" i="55" s="1"/>
  <c r="AM17" i="32"/>
  <c r="U97" i="57"/>
  <c r="U108" i="57"/>
  <c r="U81" i="57"/>
  <c r="U55" i="57"/>
  <c r="AO26" i="55"/>
  <c r="AP26" i="55" s="1"/>
  <c r="AL68" i="32"/>
  <c r="AM68" i="32" s="1"/>
  <c r="AC68" i="32"/>
  <c r="AD68" i="32" s="1"/>
  <c r="AE68" i="32" s="1"/>
  <c r="AF68" i="32" s="1"/>
  <c r="AG68" i="32" s="1"/>
  <c r="AH68" i="32" s="1"/>
  <c r="AI68" i="32" s="1"/>
  <c r="AJ68" i="32" s="1"/>
  <c r="AK68" i="32" s="1"/>
  <c r="N86" i="57"/>
  <c r="N101" i="57"/>
  <c r="N109" i="57"/>
  <c r="N56" i="57"/>
  <c r="V7" i="56"/>
  <c r="O47" i="57" s="1"/>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M63" i="32" s="1"/>
  <c r="AC63" i="32"/>
  <c r="AD63" i="32" s="1"/>
  <c r="AE63" i="32" s="1"/>
  <c r="AF63" i="32" s="1"/>
  <c r="AG63" i="32" s="1"/>
  <c r="AH63" i="32" s="1"/>
  <c r="AI63" i="32" s="1"/>
  <c r="AJ63" i="32" s="1"/>
  <c r="AK63" i="32" s="1"/>
  <c r="P16" i="57"/>
  <c r="P54" i="57"/>
  <c r="P93" i="57"/>
  <c r="P75" i="57"/>
  <c r="P107" i="57"/>
  <c r="AO19" i="32"/>
  <c r="AO18" i="32"/>
  <c r="J119" i="57"/>
  <c r="J121" i="57"/>
  <c r="J120" i="57"/>
  <c r="P56" i="57"/>
  <c r="P87" i="57"/>
  <c r="P90" i="57" s="1"/>
  <c r="J32" i="57"/>
  <c r="O16" i="57"/>
  <c r="O107" i="57"/>
  <c r="O75" i="57"/>
  <c r="O93" i="57"/>
  <c r="O54" i="57"/>
  <c r="AM19" i="32"/>
  <c r="J115" i="57"/>
  <c r="J116" i="57"/>
  <c r="J117" i="57"/>
  <c r="S34" i="55"/>
  <c r="O128" i="47"/>
  <c r="J123" i="57"/>
  <c r="J124" i="57"/>
  <c r="P81" i="57"/>
  <c r="P97" i="57"/>
  <c r="P108" i="57"/>
  <c r="P55" i="57"/>
  <c r="O86" i="57"/>
  <c r="O101" i="57"/>
  <c r="O56" i="57"/>
  <c r="O109" i="57"/>
  <c r="O22" i="29"/>
  <c r="P16" i="29"/>
  <c r="P22" i="29" s="1"/>
  <c r="V55" i="57"/>
  <c r="V108" i="57"/>
  <c r="V97" i="57"/>
  <c r="V81" i="57"/>
  <c r="I124" i="57"/>
  <c r="I123" i="57"/>
  <c r="I125" i="57"/>
  <c r="P109" i="57"/>
  <c r="P86" i="57"/>
  <c r="I119" i="57"/>
  <c r="I120" i="57"/>
  <c r="I121" i="57"/>
  <c r="O23" i="29"/>
  <c r="P17" i="29"/>
  <c r="P23" i="29" s="1"/>
  <c r="AL67" i="32"/>
  <c r="AM67" i="32" s="1"/>
  <c r="AC67" i="32"/>
  <c r="AD67" i="32" s="1"/>
  <c r="AE67" i="32" s="1"/>
  <c r="AF67" i="32" s="1"/>
  <c r="AG67" i="32" s="1"/>
  <c r="AH67" i="32" s="1"/>
  <c r="AI67" i="32" s="1"/>
  <c r="AJ67" i="32" s="1"/>
  <c r="AK67" i="32" s="1"/>
  <c r="V56" i="57"/>
  <c r="V109" i="57"/>
  <c r="V86" i="57"/>
  <c r="V101" i="57"/>
  <c r="O108" i="57"/>
  <c r="O97" i="57"/>
  <c r="O55" i="57"/>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G110" i="57"/>
  <c r="G111" i="57" s="1"/>
  <c r="G51" i="57"/>
  <c r="W55" i="57"/>
  <c r="W97" i="57"/>
  <c r="W81" i="57"/>
  <c r="AN67" i="32"/>
  <c r="AO67" i="32" s="1"/>
  <c r="AP67" i="32" s="1"/>
  <c r="X7" i="56"/>
  <c r="Q47" i="57" s="1"/>
  <c r="N55" i="57"/>
  <c r="N81" i="57"/>
  <c r="N97" i="57"/>
  <c r="N108" i="57"/>
  <c r="H51" i="57"/>
  <c r="H110" i="57"/>
  <c r="H111" i="57" s="1"/>
  <c r="G248" i="57" s="1"/>
  <c r="Q108" i="57"/>
  <c r="Q97" i="57"/>
  <c r="Q81" i="57"/>
  <c r="Q55" i="57"/>
  <c r="AN69" i="32"/>
  <c r="AO69" i="32" s="1"/>
  <c r="AP69" i="32" s="1"/>
  <c r="H115" i="57"/>
  <c r="H117" i="57"/>
  <c r="H116" i="57"/>
  <c r="T55" i="57"/>
  <c r="T97" i="57"/>
  <c r="T81" i="57"/>
  <c r="T108" i="57"/>
  <c r="W7" i="56"/>
  <c r="V47" i="57" s="1"/>
  <c r="AN68" i="32"/>
  <c r="AO68" i="32" s="1"/>
  <c r="AP68" i="32" s="1"/>
  <c r="R31" i="55"/>
  <c r="N129" i="47"/>
  <c r="K123" i="57"/>
  <c r="K124" i="57"/>
  <c r="AN66" i="32"/>
  <c r="AO66" i="32" s="1"/>
  <c r="AP66" i="32" s="1"/>
  <c r="I115" i="57"/>
  <c r="I117" i="57"/>
  <c r="I116" i="57"/>
  <c r="S33" i="55"/>
  <c r="O130" i="47"/>
  <c r="AL34" i="32"/>
  <c r="AL37" i="32" s="1"/>
  <c r="H22" i="32"/>
  <c r="AL25" i="32"/>
  <c r="AL19" i="32" s="1"/>
  <c r="T93" i="57"/>
  <c r="T107" i="57"/>
  <c r="T16" i="57"/>
  <c r="T75"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I47" i="56"/>
  <c r="I46" i="56"/>
  <c r="J48" i="56"/>
  <c r="S37" i="55"/>
  <c r="O134" i="47"/>
  <c r="O88" i="56"/>
  <c r="U88" i="56" s="1"/>
  <c r="I88" i="56"/>
  <c r="J104" i="56"/>
  <c r="AN63" i="32"/>
  <c r="AO63" i="32" s="1"/>
  <c r="AP63" i="32" s="1"/>
  <c r="T28" i="55"/>
  <c r="P127" i="47"/>
  <c r="AL35" i="32"/>
  <c r="AL38" i="32" s="1"/>
  <c r="H23" i="32"/>
  <c r="H35" i="32" s="1"/>
  <c r="H38" i="32" s="1"/>
  <c r="R27" i="55"/>
  <c r="N135" i="47"/>
  <c r="I92" i="56"/>
  <c r="I76" i="56" s="1"/>
  <c r="J43" i="56"/>
  <c r="AC171" i="56" s="1"/>
  <c r="K120" i="57"/>
  <c r="K119" i="57"/>
  <c r="K121" i="57"/>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I54" i="56"/>
  <c r="I52" i="56"/>
  <c r="I55" i="56"/>
  <c r="I59" i="56"/>
  <c r="I51" i="56"/>
  <c r="I53" i="56"/>
  <c r="I57" i="56"/>
  <c r="I56" i="56"/>
  <c r="I58" i="56"/>
  <c r="W84" i="47"/>
  <c r="AA48" i="29"/>
  <c r="AH26" i="35"/>
  <c r="AD7" i="47"/>
  <c r="AH23" i="35"/>
  <c r="AD8" i="47"/>
  <c r="AI25" i="35"/>
  <c r="AE6" i="47"/>
  <c r="AD5" i="47"/>
  <c r="AH22" i="35"/>
  <c r="AH24" i="35"/>
  <c r="AD9" i="47"/>
  <c r="U47" i="57" l="1"/>
  <c r="S183" i="56"/>
  <c r="O99" i="4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P18" i="32"/>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L18" i="32"/>
  <c r="AJ226" i="58"/>
  <c r="AJ264" i="58" s="1"/>
  <c r="AG119" i="47" s="1"/>
  <c r="O119" i="57"/>
  <c r="N115" i="57"/>
  <c r="J55" i="57"/>
  <c r="I55" i="57"/>
  <c r="I56" i="57"/>
  <c r="K55" i="57"/>
  <c r="J56" i="57"/>
  <c r="J49" i="57"/>
  <c r="J50" i="57" s="1"/>
  <c r="J110" i="57" s="1"/>
  <c r="T123" i="56"/>
  <c r="S144" i="56" s="1"/>
  <c r="R123" i="56"/>
  <c r="Q144" i="56" s="1"/>
  <c r="S174" i="56"/>
  <c r="T174" i="56" s="1"/>
  <c r="U174" i="56" s="1"/>
  <c r="V174" i="56" s="1"/>
  <c r="W174" i="56" s="1"/>
  <c r="X174" i="56" s="1"/>
  <c r="Y174" i="56" s="1"/>
  <c r="Z174" i="56" s="1"/>
  <c r="AA174" i="56" s="1"/>
  <c r="AB174" i="56" s="1"/>
  <c r="Q174" i="56"/>
  <c r="R174" i="56" s="1"/>
  <c r="S177" i="56"/>
  <c r="T177" i="56" s="1"/>
  <c r="U177" i="56" s="1"/>
  <c r="V177" i="56" s="1"/>
  <c r="W177" i="56" s="1"/>
  <c r="X177" i="56" s="1"/>
  <c r="Y177" i="56" s="1"/>
  <c r="Z177" i="56" s="1"/>
  <c r="AA177" i="56" s="1"/>
  <c r="AB177" i="56" s="1"/>
  <c r="Q177" i="56"/>
  <c r="R177" i="56" s="1"/>
  <c r="S176" i="56"/>
  <c r="T176" i="56" s="1"/>
  <c r="U176" i="56" s="1"/>
  <c r="V176" i="56" s="1"/>
  <c r="W176" i="56" s="1"/>
  <c r="X176" i="56" s="1"/>
  <c r="Y176" i="56" s="1"/>
  <c r="Z176" i="56" s="1"/>
  <c r="AA176" i="56" s="1"/>
  <c r="AB176" i="56" s="1"/>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T178" i="56" s="1"/>
  <c r="U178" i="56" s="1"/>
  <c r="V178" i="56" s="1"/>
  <c r="W178" i="56" s="1"/>
  <c r="X178" i="56" s="1"/>
  <c r="Y178" i="56" s="1"/>
  <c r="Z178" i="56" s="1"/>
  <c r="AA178" i="56" s="1"/>
  <c r="AB178" i="56" s="1"/>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Q111" i="56"/>
  <c r="P132" i="56" s="1"/>
  <c r="M87" i="47" s="1"/>
  <c r="S111" i="56"/>
  <c r="R132" i="56" s="1"/>
  <c r="O87" i="47" s="1"/>
  <c r="Q183" i="56"/>
  <c r="G151" i="57"/>
  <c r="G188" i="57" s="1"/>
  <c r="G150" i="57"/>
  <c r="G187" i="57" s="1"/>
  <c r="G149" i="57"/>
  <c r="I128" i="57"/>
  <c r="I129" i="57"/>
  <c r="H129" i="57"/>
  <c r="H153" i="57" s="1"/>
  <c r="N255" i="57"/>
  <c r="O255" i="57" s="1"/>
  <c r="P255" i="57" s="1"/>
  <c r="Q255" i="57" s="1"/>
  <c r="R255" i="57"/>
  <c r="I100" i="56"/>
  <c r="I84" i="56" s="1"/>
  <c r="AC179" i="56"/>
  <c r="J98" i="56"/>
  <c r="J82" i="56" s="1"/>
  <c r="J47" i="56"/>
  <c r="J46" i="56"/>
  <c r="AC172" i="56" s="1"/>
  <c r="K48" i="56"/>
  <c r="W117" i="57"/>
  <c r="W115" i="57"/>
  <c r="W116" i="57"/>
  <c r="Q116" i="57"/>
  <c r="Q117" i="57"/>
  <c r="Q115" i="57"/>
  <c r="AL17" i="32"/>
  <c r="U124" i="57"/>
  <c r="U123" i="57"/>
  <c r="U125" i="57"/>
  <c r="O123" i="57"/>
  <c r="O124" i="57"/>
  <c r="O125" i="57"/>
  <c r="V119" i="57"/>
  <c r="V121" i="57"/>
  <c r="V120" i="57"/>
  <c r="I54" i="57"/>
  <c r="N124" i="57"/>
  <c r="N123" i="57"/>
  <c r="N125" i="57"/>
  <c r="G250" i="57"/>
  <c r="I94" i="56"/>
  <c r="I78" i="56" s="1"/>
  <c r="AC173" i="56"/>
  <c r="J94" i="56"/>
  <c r="J78" i="56" s="1"/>
  <c r="I103" i="56"/>
  <c r="I87" i="56"/>
  <c r="K54" i="57"/>
  <c r="K128" i="57"/>
  <c r="H34" i="32"/>
  <c r="H37" i="32" s="1"/>
  <c r="H25" i="32"/>
  <c r="H31" i="32" s="1"/>
  <c r="S31" i="55"/>
  <c r="O129" i="47"/>
  <c r="H128" i="57"/>
  <c r="H156" i="57" s="1"/>
  <c r="Q121" i="57"/>
  <c r="Q119" i="57"/>
  <c r="Q120" i="57"/>
  <c r="O59" i="56"/>
  <c r="O86" i="56" s="1"/>
  <c r="AB77" i="56" s="1"/>
  <c r="O57" i="56"/>
  <c r="O56" i="56"/>
  <c r="O51" i="56"/>
  <c r="O53" i="56"/>
  <c r="O55" i="56"/>
  <c r="O52" i="56"/>
  <c r="O54" i="56"/>
  <c r="O58" i="56"/>
  <c r="J87" i="57"/>
  <c r="J90" i="57" s="1"/>
  <c r="J125" i="57" s="1"/>
  <c r="J129" i="57" s="1"/>
  <c r="J109" i="57"/>
  <c r="U121" i="57"/>
  <c r="U119" i="57"/>
  <c r="U120" i="57"/>
  <c r="O116" i="57"/>
  <c r="O115" i="57"/>
  <c r="O117" i="57"/>
  <c r="AC175" i="56"/>
  <c r="I96" i="56"/>
  <c r="I80" i="56" s="1"/>
  <c r="J95" i="56"/>
  <c r="J79" i="56" s="1"/>
  <c r="O47" i="56"/>
  <c r="O87" i="56" s="1"/>
  <c r="O46" i="56"/>
  <c r="P48" i="56"/>
  <c r="I98" i="56"/>
  <c r="I82" i="56" s="1"/>
  <c r="AC177" i="56"/>
  <c r="S36" i="55"/>
  <c r="O133" i="47"/>
  <c r="G54" i="57"/>
  <c r="H54" i="57"/>
  <c r="H127" i="57"/>
  <c r="H154" i="57" s="1"/>
  <c r="O76" i="56"/>
  <c r="O92" i="56"/>
  <c r="P43" i="56"/>
  <c r="P120" i="57"/>
  <c r="P121" i="57"/>
  <c r="P119" i="57"/>
  <c r="I95" i="56"/>
  <c r="I79" i="56" s="1"/>
  <c r="AC174" i="56"/>
  <c r="K51" i="56"/>
  <c r="AM173" i="56" s="1"/>
  <c r="K57" i="56"/>
  <c r="AM179" i="56" s="1"/>
  <c r="K52" i="56"/>
  <c r="AM174" i="56" s="1"/>
  <c r="K55" i="56"/>
  <c r="AM177" i="56" s="1"/>
  <c r="K58" i="56"/>
  <c r="AM180" i="56" s="1"/>
  <c r="K53" i="56"/>
  <c r="AM175" i="56" s="1"/>
  <c r="K56" i="56"/>
  <c r="AM178" i="56" s="1"/>
  <c r="K54" i="56"/>
  <c r="AM176" i="56" s="1"/>
  <c r="K59" i="56"/>
  <c r="L60" i="56"/>
  <c r="U28" i="55"/>
  <c r="Q127" i="47"/>
  <c r="P130" i="47"/>
  <c r="T33" i="55"/>
  <c r="H149" i="57"/>
  <c r="H151" i="57"/>
  <c r="H188" i="57" s="1"/>
  <c r="H150" i="57"/>
  <c r="H187" i="57" s="1"/>
  <c r="T47" i="57"/>
  <c r="T49" i="57" s="1"/>
  <c r="U49" i="57" s="1"/>
  <c r="U43" i="56"/>
  <c r="U60" i="56"/>
  <c r="U48" i="56"/>
  <c r="O121" i="57"/>
  <c r="O120" i="57"/>
  <c r="V115" i="57"/>
  <c r="V117" i="57"/>
  <c r="V116" i="57"/>
  <c r="I93" i="56"/>
  <c r="I77" i="56" s="1"/>
  <c r="AC176" i="56"/>
  <c r="I97" i="56"/>
  <c r="I81" i="56" s="1"/>
  <c r="J102" i="56"/>
  <c r="J86" i="56"/>
  <c r="AI77" i="56" s="1"/>
  <c r="T125" i="57"/>
  <c r="T123" i="57"/>
  <c r="T124" i="57"/>
  <c r="N117" i="57"/>
  <c r="N116" i="57"/>
  <c r="T32" i="55"/>
  <c r="P131" i="47"/>
  <c r="N47" i="57"/>
  <c r="N49" i="57" s="1"/>
  <c r="O49" i="57" s="1"/>
  <c r="U115" i="57"/>
  <c r="U117" i="57"/>
  <c r="U116" i="57"/>
  <c r="I102" i="56"/>
  <c r="I86" i="56"/>
  <c r="AH77" i="56" s="1"/>
  <c r="K127" i="57"/>
  <c r="J88" i="56"/>
  <c r="P88" i="56"/>
  <c r="V88" i="56" s="1"/>
  <c r="K104" i="56"/>
  <c r="J96" i="56"/>
  <c r="J80" i="56" s="1"/>
  <c r="T115" i="57"/>
  <c r="T116" i="57"/>
  <c r="T117" i="57"/>
  <c r="I127" i="57"/>
  <c r="W121" i="57"/>
  <c r="W119" i="57"/>
  <c r="W120" i="57"/>
  <c r="G249" i="57"/>
  <c r="T34" i="55"/>
  <c r="P128" i="47"/>
  <c r="AP17" i="32"/>
  <c r="J92" i="56"/>
  <c r="J76" i="56" s="1"/>
  <c r="K43" i="56"/>
  <c r="AM171" i="56" s="1"/>
  <c r="Q124" i="57"/>
  <c r="Q123" i="57"/>
  <c r="K32" i="57"/>
  <c r="Q87" i="57"/>
  <c r="Q90" i="57" s="1"/>
  <c r="Q125" i="57" s="1"/>
  <c r="Q56" i="57"/>
  <c r="K56" i="57" s="1"/>
  <c r="N121" i="57"/>
  <c r="N119" i="57"/>
  <c r="N120" i="57"/>
  <c r="P125" i="57"/>
  <c r="P123" i="57"/>
  <c r="P124" i="57"/>
  <c r="P115" i="57"/>
  <c r="P116" i="57"/>
  <c r="P117" i="57"/>
  <c r="P60" i="56"/>
  <c r="J100" i="56"/>
  <c r="J84" i="56" s="1"/>
  <c r="J101" i="56"/>
  <c r="J85" i="56" s="1"/>
  <c r="O135" i="47"/>
  <c r="S27" i="55"/>
  <c r="AC180" i="56"/>
  <c r="I101" i="56"/>
  <c r="I85" i="56" s="1"/>
  <c r="J97" i="56"/>
  <c r="J81" i="56" s="1"/>
  <c r="H55" i="57"/>
  <c r="G55" i="57"/>
  <c r="V123" i="57"/>
  <c r="V124" i="57"/>
  <c r="V125" i="57"/>
  <c r="J128" i="57"/>
  <c r="G56" i="57"/>
  <c r="H56" i="57"/>
  <c r="I99" i="56"/>
  <c r="I83" i="56" s="1"/>
  <c r="AC178" i="56"/>
  <c r="J99" i="56"/>
  <c r="J83" i="56" s="1"/>
  <c r="T37" i="55"/>
  <c r="P134" i="47"/>
  <c r="W125" i="57"/>
  <c r="W123" i="57"/>
  <c r="W124" i="57"/>
  <c r="T119" i="57"/>
  <c r="T121" i="57"/>
  <c r="T120" i="57"/>
  <c r="W47" i="57"/>
  <c r="J127" i="57"/>
  <c r="J54" i="57"/>
  <c r="AJ25" i="35"/>
  <c r="AF6" i="47"/>
  <c r="AE8" i="47"/>
  <c r="AI23" i="35"/>
  <c r="AE5" i="47"/>
  <c r="AI22" i="35"/>
  <c r="AI24" i="35"/>
  <c r="AE9" i="47"/>
  <c r="AE7" i="47"/>
  <c r="AI26" i="35"/>
  <c r="AM41" i="58" l="1"/>
  <c r="AM43" i="58" s="1"/>
  <c r="AC183" i="56"/>
  <c r="Y99" i="47"/>
  <c r="R183" i="56"/>
  <c r="N99" i="47"/>
  <c r="T183" i="56"/>
  <c r="P99" i="47"/>
  <c r="AJ245" i="58"/>
  <c r="AL45" i="58"/>
  <c r="AL51" i="58" s="1"/>
  <c r="AL203" i="58" s="1"/>
  <c r="AL44" i="58"/>
  <c r="AL50" i="58" s="1"/>
  <c r="AL194" i="58" s="1"/>
  <c r="AL43" i="58"/>
  <c r="AL49" i="58" s="1"/>
  <c r="AL180" i="58" s="1"/>
  <c r="AL239" i="58" s="1"/>
  <c r="AL254" i="58" s="1"/>
  <c r="AI110" i="47" s="1"/>
  <c r="AL46" i="58"/>
  <c r="AL52" i="58" s="1"/>
  <c r="AL210" i="58" s="1"/>
  <c r="AJ258" i="58"/>
  <c r="AG118" i="47" s="1"/>
  <c r="P49" i="57"/>
  <c r="P50" i="5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M45" i="58"/>
  <c r="AK223" i="58"/>
  <c r="AK261" i="58" s="1"/>
  <c r="AH122" i="47" s="1"/>
  <c r="AK226" i="58"/>
  <c r="AK264" i="58" s="1"/>
  <c r="AH119" i="47" s="1"/>
  <c r="AK222" i="58"/>
  <c r="AK260" i="58" s="1"/>
  <c r="AH121" i="47" s="1"/>
  <c r="AP23" i="58"/>
  <c r="AK228" i="58"/>
  <c r="AK266" i="58" s="1"/>
  <c r="AH123" i="47" s="1"/>
  <c r="AO31" i="58"/>
  <c r="AO34" i="58" s="1"/>
  <c r="K49" i="57"/>
  <c r="K50" i="57" s="1"/>
  <c r="K110" i="57" s="1"/>
  <c r="J51" i="57"/>
  <c r="U123" i="56"/>
  <c r="T144" i="56" s="1"/>
  <c r="Q99" i="47" s="1"/>
  <c r="AH76" i="56"/>
  <c r="AI76" i="56"/>
  <c r="AD123" i="56"/>
  <c r="AC144" i="56" s="1"/>
  <c r="AD178" i="56"/>
  <c r="AE178" i="56" s="1"/>
  <c r="AF178" i="56" s="1"/>
  <c r="AG178" i="56" s="1"/>
  <c r="AH178" i="56" s="1"/>
  <c r="AI178" i="56" s="1"/>
  <c r="AJ178" i="56" s="1"/>
  <c r="AK178" i="56" s="1"/>
  <c r="AL178" i="56" s="1"/>
  <c r="N129" i="57"/>
  <c r="N155" i="57" s="1"/>
  <c r="N167" i="57" s="1"/>
  <c r="N127" i="57"/>
  <c r="N154" i="57" s="1"/>
  <c r="N166" i="57" s="1"/>
  <c r="T166" i="57" s="1"/>
  <c r="T154" i="57" s="1"/>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249" i="57"/>
  <c r="AB256" i="57" s="1"/>
  <c r="H248" i="57"/>
  <c r="AB255" i="57" s="1"/>
  <c r="T111" i="56"/>
  <c r="S132" i="56" s="1"/>
  <c r="P87" i="47" s="1"/>
  <c r="H250" i="57"/>
  <c r="AB257" i="57" s="1"/>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Y87" i="47"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AD177" i="56"/>
  <c r="AE177" i="56" s="1"/>
  <c r="AF177" i="56" s="1"/>
  <c r="AG177" i="56" s="1"/>
  <c r="AH177" i="56" s="1"/>
  <c r="AI177" i="56" s="1"/>
  <c r="AJ177" i="56" s="1"/>
  <c r="AK177" i="56" s="1"/>
  <c r="AL177" i="56" s="1"/>
  <c r="S122" i="56"/>
  <c r="R143" i="56" s="1"/>
  <c r="Q122" i="56"/>
  <c r="Q118" i="56"/>
  <c r="P139" i="56" s="1"/>
  <c r="M94" i="47" s="1"/>
  <c r="S118" i="56"/>
  <c r="R139" i="56" s="1"/>
  <c r="O94" i="47" s="1"/>
  <c r="Q115" i="56"/>
  <c r="P136" i="56" s="1"/>
  <c r="M91" i="47" s="1"/>
  <c r="S115" i="56"/>
  <c r="R136" i="56" s="1"/>
  <c r="O91" i="47" s="1"/>
  <c r="Q116" i="56"/>
  <c r="P137" i="56" s="1"/>
  <c r="M92" i="47" s="1"/>
  <c r="S116" i="56"/>
  <c r="R137" i="56" s="1"/>
  <c r="O92" i="47" s="1"/>
  <c r="Q114" i="56"/>
  <c r="P135" i="56" s="1"/>
  <c r="M90" i="47" s="1"/>
  <c r="S114" i="56"/>
  <c r="R135" i="56" s="1"/>
  <c r="O90" i="47" s="1"/>
  <c r="Q113" i="56"/>
  <c r="P134" i="56" s="1"/>
  <c r="M89" i="47" s="1"/>
  <c r="S113" i="56"/>
  <c r="R134" i="56" s="1"/>
  <c r="O89" i="47" s="1"/>
  <c r="Q120" i="56"/>
  <c r="P141" i="56" s="1"/>
  <c r="M96" i="47" s="1"/>
  <c r="S120" i="56"/>
  <c r="R141" i="56" s="1"/>
  <c r="O96" i="47" s="1"/>
  <c r="AM123" i="56"/>
  <c r="AL144" i="56" s="1"/>
  <c r="Q119" i="56"/>
  <c r="P140" i="56" s="1"/>
  <c r="M95" i="47" s="1"/>
  <c r="S119" i="56"/>
  <c r="R140" i="56" s="1"/>
  <c r="O95" i="47" s="1"/>
  <c r="S121" i="56"/>
  <c r="R142" i="56" s="1"/>
  <c r="Q121" i="56"/>
  <c r="P142" i="56" s="1"/>
  <c r="M97" i="47" s="1"/>
  <c r="Q112" i="56"/>
  <c r="P133" i="56" s="1"/>
  <c r="M88" i="47" s="1"/>
  <c r="S112" i="56"/>
  <c r="R133" i="56" s="1"/>
  <c r="O88" i="47" s="1"/>
  <c r="Q117" i="56"/>
  <c r="P138" i="56" s="1"/>
  <c r="M93" i="47" s="1"/>
  <c r="S117" i="56"/>
  <c r="R138" i="56" s="1"/>
  <c r="O93" i="47" s="1"/>
  <c r="R215" i="57"/>
  <c r="O102" i="47" s="1"/>
  <c r="S201" i="57"/>
  <c r="R216" i="57"/>
  <c r="O101" i="47" s="1"/>
  <c r="S202" i="57"/>
  <c r="G186" i="57"/>
  <c r="G112" i="57"/>
  <c r="O201" i="57"/>
  <c r="N215" i="57"/>
  <c r="K102" i="47" s="1"/>
  <c r="P201" i="57"/>
  <c r="Q201" i="57" s="1"/>
  <c r="R201" i="57" s="1"/>
  <c r="U128" i="57"/>
  <c r="N216" i="57"/>
  <c r="K101" i="47" s="1"/>
  <c r="O202" i="57"/>
  <c r="P202" i="57"/>
  <c r="Q202" i="57" s="1"/>
  <c r="R202" i="57" s="1"/>
  <c r="U129" i="57"/>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G251" i="57"/>
  <c r="R258" i="57" s="1"/>
  <c r="U127" i="57"/>
  <c r="I89" i="56"/>
  <c r="H252" i="57"/>
  <c r="AB259" i="57" s="1"/>
  <c r="H251" i="57"/>
  <c r="G253" i="57"/>
  <c r="R260" i="57" s="1"/>
  <c r="G252" i="57"/>
  <c r="N259" i="57" s="1"/>
  <c r="O259" i="57" s="1"/>
  <c r="P259" i="57" s="1"/>
  <c r="Q259" i="57" s="1"/>
  <c r="P129" i="57"/>
  <c r="P128" i="57"/>
  <c r="P156" i="57" s="1"/>
  <c r="P168" i="57" s="1"/>
  <c r="P57" i="57"/>
  <c r="Q49" i="57"/>
  <c r="P127" i="57"/>
  <c r="P154" i="57" s="1"/>
  <c r="P166" i="57" s="1"/>
  <c r="T57" i="57"/>
  <c r="T50" i="57"/>
  <c r="K98" i="56"/>
  <c r="W127" i="57"/>
  <c r="T129" i="57"/>
  <c r="AC121" i="56"/>
  <c r="AB142" i="56" s="1"/>
  <c r="Y97" i="47" s="1"/>
  <c r="R127" i="47"/>
  <c r="V28" i="55"/>
  <c r="K95" i="56"/>
  <c r="P92" i="56"/>
  <c r="P76" i="56"/>
  <c r="Q43" i="56"/>
  <c r="O101" i="56"/>
  <c r="O85" i="56"/>
  <c r="H168" i="57"/>
  <c r="H193" i="57"/>
  <c r="W129" i="57"/>
  <c r="T128" i="57"/>
  <c r="K100" i="56"/>
  <c r="O127" i="57"/>
  <c r="O154" i="57" s="1"/>
  <c r="O166" i="57" s="1"/>
  <c r="O97" i="56"/>
  <c r="O81" i="56"/>
  <c r="AC119" i="56"/>
  <c r="AB140" i="56" s="1"/>
  <c r="Y95" i="47" s="1"/>
  <c r="K87" i="57"/>
  <c r="K90" i="57" s="1"/>
  <c r="K125" i="57" s="1"/>
  <c r="K109" i="57"/>
  <c r="R256" i="57"/>
  <c r="N256" i="57"/>
  <c r="O256" i="57" s="1"/>
  <c r="P256" i="57" s="1"/>
  <c r="Q256" i="57" s="1"/>
  <c r="T127" i="57"/>
  <c r="U50" i="57"/>
  <c r="U57" i="57"/>
  <c r="N50" i="57"/>
  <c r="N57" i="57"/>
  <c r="K94" i="56"/>
  <c r="O128" i="57"/>
  <c r="O156" i="57" s="1"/>
  <c r="O168" i="57" s="1"/>
  <c r="O79" i="56"/>
  <c r="O95" i="56"/>
  <c r="T31" i="55"/>
  <c r="P129" i="47"/>
  <c r="N258" i="57"/>
  <c r="O258" i="57" s="1"/>
  <c r="O82" i="56"/>
  <c r="O98" i="56"/>
  <c r="K46" i="56"/>
  <c r="AM172" i="56" s="1"/>
  <c r="K47" i="56"/>
  <c r="L48" i="56"/>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O57" i="57"/>
  <c r="O50" i="57"/>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AC115" i="56"/>
  <c r="AB136" i="56" s="1"/>
  <c r="Y91" i="47" s="1"/>
  <c r="O96" i="56"/>
  <c r="O80" i="56"/>
  <c r="J93" i="56"/>
  <c r="V49" i="57"/>
  <c r="W49" i="57" s="1"/>
  <c r="I251" i="57"/>
  <c r="AL258" i="57" s="1"/>
  <c r="AC118" i="56"/>
  <c r="AB139" i="56" s="1"/>
  <c r="Y94" i="47" s="1"/>
  <c r="AC116" i="56"/>
  <c r="AB137" i="56" s="1"/>
  <c r="Y92" i="47" s="1"/>
  <c r="V128" i="57"/>
  <c r="L51" i="56"/>
  <c r="AN173" i="56" s="1"/>
  <c r="L59" i="56"/>
  <c r="L52" i="56"/>
  <c r="AN174" i="56" s="1"/>
  <c r="L53" i="56"/>
  <c r="AO175" i="56" s="1"/>
  <c r="AP175" i="56" s="1"/>
  <c r="AQ175" i="56" s="1"/>
  <c r="L56" i="56"/>
  <c r="AN178" i="56" s="1"/>
  <c r="L58" i="56"/>
  <c r="AN180" i="56" s="1"/>
  <c r="AO180" i="56" s="1"/>
  <c r="AP180" i="56" s="1"/>
  <c r="AQ180" i="56" s="1"/>
  <c r="L54" i="56"/>
  <c r="AO176" i="56" s="1"/>
  <c r="AP176" i="56" s="1"/>
  <c r="AQ176" i="56" s="1"/>
  <c r="L57" i="56"/>
  <c r="AN179" i="56" s="1"/>
  <c r="AO179" i="56" s="1"/>
  <c r="AP179" i="56" s="1"/>
  <c r="AQ179" i="56" s="1"/>
  <c r="L55" i="56"/>
  <c r="AO177" i="56" s="1"/>
  <c r="AP177" i="56" s="1"/>
  <c r="AQ177" i="56" s="1"/>
  <c r="T36" i="55"/>
  <c r="P133" i="47"/>
  <c r="O93" i="56"/>
  <c r="O77" i="56"/>
  <c r="O94" i="56"/>
  <c r="O78" i="56"/>
  <c r="J103" i="56"/>
  <c r="AC122" i="56" s="1"/>
  <c r="AB143" i="56" s="1"/>
  <c r="Y98" i="47" s="1"/>
  <c r="J87" i="56"/>
  <c r="P135" i="47"/>
  <c r="T27" i="55"/>
  <c r="K92" i="56"/>
  <c r="L43" i="56"/>
  <c r="AO171" i="56" s="1"/>
  <c r="AP171" i="56" s="1"/>
  <c r="AQ171" i="56" s="1"/>
  <c r="I252" i="57"/>
  <c r="AL259" i="57" s="1"/>
  <c r="U32" i="55"/>
  <c r="Q131" i="47"/>
  <c r="V129" i="57"/>
  <c r="U33" i="55"/>
  <c r="Q130" i="47"/>
  <c r="K102" i="56"/>
  <c r="AM121" i="56" s="1"/>
  <c r="AL142" i="56" s="1"/>
  <c r="AI97" i="47" s="1"/>
  <c r="K86" i="56"/>
  <c r="AJ77" i="56" s="1"/>
  <c r="AC114" i="56"/>
  <c r="AB135" i="56" s="1"/>
  <c r="Y90" i="47" s="1"/>
  <c r="J111" i="57"/>
  <c r="O83" i="56"/>
  <c r="O99" i="56"/>
  <c r="AC120" i="56"/>
  <c r="AB141" i="56" s="1"/>
  <c r="Y96" i="47" s="1"/>
  <c r="K88" i="56"/>
  <c r="Q88" i="56"/>
  <c r="W88" i="56" s="1"/>
  <c r="L104" i="56"/>
  <c r="V127" i="57"/>
  <c r="K97" i="56"/>
  <c r="O84" i="56"/>
  <c r="O100" i="56"/>
  <c r="AC113" i="56"/>
  <c r="AB134" i="56" s="1"/>
  <c r="Y89" i="47" s="1"/>
  <c r="Q127" i="57"/>
  <c r="Q154" i="57" s="1"/>
  <c r="Q166" i="57" s="1"/>
  <c r="P53" i="56"/>
  <c r="P58" i="56"/>
  <c r="P54" i="56"/>
  <c r="P56" i="56"/>
  <c r="P55" i="56"/>
  <c r="P52" i="56"/>
  <c r="P59" i="56"/>
  <c r="P86" i="56" s="1"/>
  <c r="AC77" i="56" s="1"/>
  <c r="P51" i="56"/>
  <c r="P57" i="56"/>
  <c r="Q60" i="56"/>
  <c r="U34" i="55"/>
  <c r="Q128" i="47"/>
  <c r="N128" i="57"/>
  <c r="N156" i="57" s="1"/>
  <c r="N168" i="57" s="1"/>
  <c r="T168" i="57" s="1"/>
  <c r="T156" i="57" s="1"/>
  <c r="U46" i="56"/>
  <c r="U47" i="56"/>
  <c r="U87" i="56" s="1"/>
  <c r="V48" i="56"/>
  <c r="K99" i="56"/>
  <c r="AC117" i="56"/>
  <c r="AB138" i="56" s="1"/>
  <c r="Y93" i="47" s="1"/>
  <c r="Q129" i="57"/>
  <c r="U51" i="56"/>
  <c r="U52" i="56"/>
  <c r="U79" i="56" s="1"/>
  <c r="U56" i="56"/>
  <c r="U54" i="56"/>
  <c r="U58" i="56"/>
  <c r="U55" i="56"/>
  <c r="U57" i="56"/>
  <c r="U53" i="56"/>
  <c r="U59" i="56"/>
  <c r="U86" i="56" s="1"/>
  <c r="V60" i="56"/>
  <c r="K96" i="56"/>
  <c r="H190" i="57"/>
  <c r="H165" i="57"/>
  <c r="N257" i="57"/>
  <c r="O257" i="57" s="1"/>
  <c r="P257" i="57" s="1"/>
  <c r="Q257" i="57" s="1"/>
  <c r="R257" i="57"/>
  <c r="O129" i="57"/>
  <c r="Q128" i="57"/>
  <c r="Q156" i="57" s="1"/>
  <c r="Q168" i="57" s="1"/>
  <c r="U37" i="55"/>
  <c r="Q134" i="47"/>
  <c r="H253" i="57"/>
  <c r="U76" i="56"/>
  <c r="U92" i="56"/>
  <c r="V43" i="56"/>
  <c r="K101" i="56"/>
  <c r="N260" i="57"/>
  <c r="O260" i="57" s="1"/>
  <c r="W128" i="57"/>
  <c r="AF7" i="47"/>
  <c r="AJ26" i="35"/>
  <c r="AJ24" i="35"/>
  <c r="AF9" i="47"/>
  <c r="AK25" i="35"/>
  <c r="AG6" i="47"/>
  <c r="AJ22" i="35"/>
  <c r="AF5" i="47"/>
  <c r="AF8" i="47"/>
  <c r="AJ23" i="35"/>
  <c r="AM46" i="58" l="1"/>
  <c r="AM52" i="58" s="1"/>
  <c r="AM44" i="58"/>
  <c r="AM50" i="58" s="1"/>
  <c r="AM192" i="58" s="1"/>
  <c r="AL205" i="58"/>
  <c r="AL190" i="58"/>
  <c r="AL186" i="58"/>
  <c r="AL187" i="58"/>
  <c r="AL193" i="58"/>
  <c r="AL189" i="58"/>
  <c r="AL200" i="58"/>
  <c r="AL204" i="58"/>
  <c r="AL198" i="58"/>
  <c r="AL202" i="58"/>
  <c r="AL197" i="58"/>
  <c r="AM51" i="58"/>
  <c r="AM197" i="58" s="1"/>
  <c r="AL181" i="58"/>
  <c r="AL240" i="58" s="1"/>
  <c r="AL255" i="58" s="1"/>
  <c r="AI116" i="47" s="1"/>
  <c r="AL201" i="58"/>
  <c r="AL188" i="58"/>
  <c r="AL199" i="58"/>
  <c r="AM183" i="56"/>
  <c r="AI99" i="47"/>
  <c r="S182" i="56"/>
  <c r="O98" i="47"/>
  <c r="AD183" i="56"/>
  <c r="Z99" i="47"/>
  <c r="AL209" i="58"/>
  <c r="AL213" i="58"/>
  <c r="AL182" i="58"/>
  <c r="AL241" i="58" s="1"/>
  <c r="AL256" i="58" s="1"/>
  <c r="AI114" i="47" s="1"/>
  <c r="S181" i="56"/>
  <c r="O97" i="47"/>
  <c r="AL192" i="58"/>
  <c r="AL175" i="58"/>
  <c r="AL234" i="58" s="1"/>
  <c r="AL249" i="58" s="1"/>
  <c r="AI111" i="47" s="1"/>
  <c r="AL191" i="58"/>
  <c r="V123" i="56"/>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M49" i="58"/>
  <c r="AM174" i="58" s="1"/>
  <c r="AM233" i="58" s="1"/>
  <c r="AL53" i="58"/>
  <c r="AL212" i="58"/>
  <c r="AL214" i="58"/>
  <c r="AL226" i="58" s="1"/>
  <c r="AL264" i="58" s="1"/>
  <c r="AI119" i="47" s="1"/>
  <c r="AL215" i="58"/>
  <c r="AL211" i="58"/>
  <c r="AL216" i="58"/>
  <c r="AL208" i="58"/>
  <c r="AN163" i="58"/>
  <c r="AN167" i="58"/>
  <c r="AN168" i="58"/>
  <c r="AN170" i="58"/>
  <c r="AN162" i="58"/>
  <c r="AN165" i="58"/>
  <c r="AN169" i="58"/>
  <c r="AN164" i="58"/>
  <c r="AN166" i="58"/>
  <c r="AN36" i="58"/>
  <c r="AN41" i="58" s="1"/>
  <c r="AM190" i="58"/>
  <c r="AM187" i="58"/>
  <c r="AM189" i="58"/>
  <c r="AO35" i="58"/>
  <c r="AO156" i="58"/>
  <c r="AO155" i="58"/>
  <c r="AO159" i="58"/>
  <c r="AO153" i="58"/>
  <c r="AO151" i="58"/>
  <c r="AO154" i="58"/>
  <c r="AO152" i="58"/>
  <c r="AO158" i="58"/>
  <c r="AO157" i="58"/>
  <c r="AM203" i="58"/>
  <c r="AP24" i="58"/>
  <c r="AK245" i="58"/>
  <c r="AK258" i="58"/>
  <c r="AH118" i="47" s="1"/>
  <c r="AQ23" i="58"/>
  <c r="AP31" i="58"/>
  <c r="AP34" i="58" s="1"/>
  <c r="K51" i="57"/>
  <c r="T120" i="56"/>
  <c r="S141" i="56" s="1"/>
  <c r="P96" i="47" s="1"/>
  <c r="AB76" i="56"/>
  <c r="AB79" i="56" s="1"/>
  <c r="AB80" i="56" s="1"/>
  <c r="T117" i="56"/>
  <c r="S138" i="56" s="1"/>
  <c r="P93" i="47" s="1"/>
  <c r="AE123" i="56"/>
  <c r="AD144" i="56" s="1"/>
  <c r="AN123" i="56"/>
  <c r="AO123" i="56" s="1"/>
  <c r="AP123" i="56" s="1"/>
  <c r="AQ123" i="56" s="1"/>
  <c r="AR123" i="56" s="1"/>
  <c r="AM144" i="56" s="1"/>
  <c r="T113" i="56"/>
  <c r="S134" i="56" s="1"/>
  <c r="P89" i="47" s="1"/>
  <c r="T118" i="56"/>
  <c r="S139" i="56" s="1"/>
  <c r="P94" i="47" s="1"/>
  <c r="AN176" i="56"/>
  <c r="AM113" i="56"/>
  <c r="AL134" i="56" s="1"/>
  <c r="AI89" i="47" s="1"/>
  <c r="K78" i="56"/>
  <c r="AM118" i="56"/>
  <c r="AL139" i="56" s="1"/>
  <c r="AI94" i="47" s="1"/>
  <c r="K83" i="56"/>
  <c r="AM119" i="56"/>
  <c r="AL140" i="56" s="1"/>
  <c r="AI95" i="47" s="1"/>
  <c r="K84" i="56"/>
  <c r="AM115" i="56"/>
  <c r="AL136" i="56" s="1"/>
  <c r="AI91" i="47" s="1"/>
  <c r="K80" i="56"/>
  <c r="AM117" i="56"/>
  <c r="AL138" i="56" s="1"/>
  <c r="AI93" i="47" s="1"/>
  <c r="K82" i="56"/>
  <c r="AM120" i="56"/>
  <c r="AL141" i="56" s="1"/>
  <c r="AI96" i="47" s="1"/>
  <c r="K85" i="56"/>
  <c r="AM114" i="56"/>
  <c r="AL135" i="56" s="1"/>
  <c r="AI90" i="47" s="1"/>
  <c r="K79" i="56"/>
  <c r="AM116" i="56"/>
  <c r="AL137" i="56" s="1"/>
  <c r="AI92" i="47" s="1"/>
  <c r="K81" i="56"/>
  <c r="AM111" i="56"/>
  <c r="AL132" i="56" s="1"/>
  <c r="AI87" i="47" s="1"/>
  <c r="K76" i="56"/>
  <c r="AC112" i="56"/>
  <c r="AB133" i="56" s="1"/>
  <c r="Y88" i="47" s="1"/>
  <c r="J77" i="56"/>
  <c r="J89" i="56" s="1"/>
  <c r="AD172" i="56"/>
  <c r="AE172" i="56" s="1"/>
  <c r="AF172" i="56" s="1"/>
  <c r="AG172" i="56" s="1"/>
  <c r="AH172" i="56" s="1"/>
  <c r="AI172" i="56" s="1"/>
  <c r="AJ172" i="56" s="1"/>
  <c r="AK172" i="56" s="1"/>
  <c r="AL172" i="56" s="1"/>
  <c r="AO178" i="56"/>
  <c r="AP178" i="56" s="1"/>
  <c r="AQ178" i="56" s="1"/>
  <c r="AN175" i="56"/>
  <c r="N161" i="57"/>
  <c r="T161" i="57" s="1"/>
  <c r="T149" i="57" s="1"/>
  <c r="S255" i="57"/>
  <c r="T255" i="57" s="1"/>
  <c r="U255" i="57" s="1"/>
  <c r="V255" i="57" s="1"/>
  <c r="W255" i="57" s="1"/>
  <c r="X255" i="57" s="1"/>
  <c r="Y255" i="57" s="1"/>
  <c r="Z255" i="57" s="1"/>
  <c r="AA255" i="57" s="1"/>
  <c r="S256" i="57"/>
  <c r="T256" i="57" s="1"/>
  <c r="U256" i="57" s="1"/>
  <c r="V256" i="57" s="1"/>
  <c r="W256" i="57" s="1"/>
  <c r="X256" i="57" s="1"/>
  <c r="Y256" i="57" s="1"/>
  <c r="Z256" i="57" s="1"/>
  <c r="AA256" i="57" s="1"/>
  <c r="S257" i="57"/>
  <c r="T257" i="57" s="1"/>
  <c r="U257" i="57" s="1"/>
  <c r="V257" i="57" s="1"/>
  <c r="W257" i="57" s="1"/>
  <c r="X257" i="57" s="1"/>
  <c r="Y257" i="57" s="1"/>
  <c r="Z257" i="57" s="1"/>
  <c r="AA257" i="57" s="1"/>
  <c r="P260" i="57"/>
  <c r="Q260" i="57" s="1"/>
  <c r="T115" i="56"/>
  <c r="S136" i="56" s="1"/>
  <c r="P91" i="47" s="1"/>
  <c r="U111" i="56"/>
  <c r="T132" i="56" s="1"/>
  <c r="Q87" i="47" s="1"/>
  <c r="AO174" i="56"/>
  <c r="AP174" i="56" s="1"/>
  <c r="AQ174" i="56" s="1"/>
  <c r="R120" i="56"/>
  <c r="Q141" i="56" s="1"/>
  <c r="N96" i="47" s="1"/>
  <c r="T114" i="56"/>
  <c r="S135" i="56" s="1"/>
  <c r="P90" i="47" s="1"/>
  <c r="P258" i="57"/>
  <c r="Q258" i="57" s="1"/>
  <c r="R117" i="56"/>
  <c r="Q138" i="56" s="1"/>
  <c r="N93" i="47" s="1"/>
  <c r="AN171" i="56"/>
  <c r="R119" i="56"/>
  <c r="Q140" i="56" s="1"/>
  <c r="N95" i="47" s="1"/>
  <c r="AN177" i="56"/>
  <c r="R118" i="56"/>
  <c r="Q139" i="56" s="1"/>
  <c r="N94" i="47" s="1"/>
  <c r="T116" i="56"/>
  <c r="S137" i="56" s="1"/>
  <c r="P92" i="47" s="1"/>
  <c r="AE48" i="29"/>
  <c r="AB84" i="47" s="1"/>
  <c r="T119" i="56"/>
  <c r="S140" i="56" s="1"/>
  <c r="P95" i="47" s="1"/>
  <c r="AE50" i="29"/>
  <c r="AB86" i="47" s="1"/>
  <c r="AO173" i="56"/>
  <c r="AP173" i="56" s="1"/>
  <c r="AQ173" i="56" s="1"/>
  <c r="T121" i="56"/>
  <c r="S142" i="56" s="1"/>
  <c r="R121" i="56"/>
  <c r="Q142" i="56" s="1"/>
  <c r="N97" i="47" s="1"/>
  <c r="AC108" i="47"/>
  <c r="AG51" i="29"/>
  <c r="AA85" i="47"/>
  <c r="AE49" i="29"/>
  <c r="AD111" i="56"/>
  <c r="AC132" i="56" s="1"/>
  <c r="Z87" i="47" s="1"/>
  <c r="R116" i="56"/>
  <c r="Q137" i="56" s="1"/>
  <c r="N92" i="47" s="1"/>
  <c r="T112" i="56"/>
  <c r="S133" i="56" s="1"/>
  <c r="P88" i="47" s="1"/>
  <c r="R115" i="56"/>
  <c r="Q136" i="56" s="1"/>
  <c r="N91" i="47" s="1"/>
  <c r="R112" i="56"/>
  <c r="Q133" i="56" s="1"/>
  <c r="N88" i="47" s="1"/>
  <c r="R113" i="56"/>
  <c r="Q134" i="56" s="1"/>
  <c r="N89" i="47" s="1"/>
  <c r="T122" i="56"/>
  <c r="S143" i="56" s="1"/>
  <c r="Q181" i="56"/>
  <c r="R122" i="56"/>
  <c r="Q143" i="56" s="1"/>
  <c r="N98" i="47" s="1"/>
  <c r="P143" i="56"/>
  <c r="M98" i="47" s="1"/>
  <c r="R114" i="56"/>
  <c r="Q135" i="56" s="1"/>
  <c r="N90" i="47" s="1"/>
  <c r="AD119" i="56"/>
  <c r="AC140" i="56" s="1"/>
  <c r="Z95" i="47" s="1"/>
  <c r="AD121" i="56"/>
  <c r="AC142" i="56" s="1"/>
  <c r="Z97" i="47" s="1"/>
  <c r="R233" i="57"/>
  <c r="P233" i="57"/>
  <c r="Q233" i="57" s="1"/>
  <c r="R232" i="57"/>
  <c r="P232" i="57"/>
  <c r="Q232" i="57" s="1"/>
  <c r="P218" i="57"/>
  <c r="P219" i="57"/>
  <c r="P221" i="57"/>
  <c r="R235" i="57"/>
  <c r="P235" i="57"/>
  <c r="Q235" i="57" s="1"/>
  <c r="S258" i="57"/>
  <c r="T258" i="57" s="1"/>
  <c r="U258" i="57" s="1"/>
  <c r="V258" i="57" s="1"/>
  <c r="W258" i="57" s="1"/>
  <c r="X258" i="57" s="1"/>
  <c r="Y258" i="57" s="1"/>
  <c r="Z258" i="57" s="1"/>
  <c r="AA258" i="57" s="1"/>
  <c r="Q204" i="57"/>
  <c r="R204" i="57" s="1"/>
  <c r="R218" i="57"/>
  <c r="O106" i="47" s="1"/>
  <c r="S204" i="57"/>
  <c r="S207" i="57"/>
  <c r="R221" i="57"/>
  <c r="O105" i="47" s="1"/>
  <c r="Q207" i="57"/>
  <c r="R207" i="57" s="1"/>
  <c r="O216" i="57"/>
  <c r="L101" i="47" s="1"/>
  <c r="N214" i="57"/>
  <c r="K100" i="47" s="1"/>
  <c r="O200" i="57"/>
  <c r="P200" i="57" s="1"/>
  <c r="Q200" i="57" s="1"/>
  <c r="R200" i="57" s="1"/>
  <c r="O214" i="57"/>
  <c r="L100" i="47" s="1"/>
  <c r="R219" i="57"/>
  <c r="O103" i="47" s="1"/>
  <c r="S205" i="57"/>
  <c r="Q205" i="57"/>
  <c r="R205" i="57" s="1"/>
  <c r="AB258" i="57"/>
  <c r="AC258" i="57" s="1"/>
  <c r="AD258" i="57" s="1"/>
  <c r="AE258" i="57" s="1"/>
  <c r="AF258" i="57" s="1"/>
  <c r="AG258" i="57" s="1"/>
  <c r="AH258" i="57" s="1"/>
  <c r="AI258" i="57" s="1"/>
  <c r="AJ258" i="57" s="1"/>
  <c r="AK258" i="57" s="1"/>
  <c r="S200" i="57"/>
  <c r="R214" i="57"/>
  <c r="O100" i="47" s="1"/>
  <c r="O215" i="57"/>
  <c r="L102" i="47" s="1"/>
  <c r="AD120" i="56"/>
  <c r="AC141" i="56" s="1"/>
  <c r="Z96" i="47" s="1"/>
  <c r="R259" i="57"/>
  <c r="S259" i="57" s="1"/>
  <c r="T259" i="57" s="1"/>
  <c r="U259" i="57" s="1"/>
  <c r="V259" i="57" s="1"/>
  <c r="W259" i="57" s="1"/>
  <c r="X259" i="57" s="1"/>
  <c r="Y259" i="57" s="1"/>
  <c r="Z259" i="57" s="1"/>
  <c r="AA259" i="57" s="1"/>
  <c r="P153" i="57"/>
  <c r="P165" i="57" s="1"/>
  <c r="O89" i="56"/>
  <c r="AD113" i="56"/>
  <c r="AC134" i="56" s="1"/>
  <c r="Z89" i="47" s="1"/>
  <c r="N51" i="57"/>
  <c r="N110" i="57"/>
  <c r="N111" i="57" s="1"/>
  <c r="N149" i="57" s="1"/>
  <c r="Q92" i="56"/>
  <c r="Q76" i="56"/>
  <c r="R43" i="56"/>
  <c r="K129" i="57"/>
  <c r="K253" i="57" s="1"/>
  <c r="U183" i="56"/>
  <c r="U80" i="56"/>
  <c r="U96" i="56"/>
  <c r="Q153" i="57"/>
  <c r="Q165" i="57" s="1"/>
  <c r="Q53" i="56"/>
  <c r="Q55" i="56"/>
  <c r="Q54" i="56"/>
  <c r="Q57" i="56"/>
  <c r="Q59" i="56"/>
  <c r="Q86" i="56" s="1"/>
  <c r="AD77" i="56" s="1"/>
  <c r="Q51" i="56"/>
  <c r="Q58" i="56"/>
  <c r="Q56" i="56"/>
  <c r="Q52" i="56"/>
  <c r="R60" i="56"/>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Q129" i="47"/>
  <c r="U31" i="55"/>
  <c r="AD114" i="56"/>
  <c r="V92" i="56"/>
  <c r="V76" i="56"/>
  <c r="W43" i="56"/>
  <c r="U84" i="56"/>
  <c r="U100" i="56"/>
  <c r="U98" i="56"/>
  <c r="U82" i="56"/>
  <c r="P78" i="56"/>
  <c r="P94" i="56"/>
  <c r="U36" i="55"/>
  <c r="Q133" i="47"/>
  <c r="U58" i="57"/>
  <c r="U59" i="57" s="1"/>
  <c r="U60" i="57" s="1"/>
  <c r="AD11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U77" i="56"/>
  <c r="U93" i="56"/>
  <c r="AL260" i="57"/>
  <c r="R88" i="56"/>
  <c r="X88" i="56" s="1"/>
  <c r="L88" i="56"/>
  <c r="L98" i="56"/>
  <c r="V50" i="57"/>
  <c r="V57" i="57"/>
  <c r="J57" i="57" s="1"/>
  <c r="U51" i="57"/>
  <c r="U110" i="57"/>
  <c r="U111" i="57" s="1"/>
  <c r="AD116" i="56"/>
  <c r="AC181" i="56"/>
  <c r="P100" i="56"/>
  <c r="P84" i="56"/>
  <c r="U81" i="56"/>
  <c r="U97" i="56"/>
  <c r="P79" i="56"/>
  <c r="P95" i="56"/>
  <c r="R131" i="47"/>
  <c r="V32" i="55"/>
  <c r="U27" i="55"/>
  <c r="Q135" i="47"/>
  <c r="L100" i="56"/>
  <c r="V37" i="55"/>
  <c r="R134" i="47"/>
  <c r="U99" i="56"/>
  <c r="U83" i="56"/>
  <c r="P82" i="56"/>
  <c r="P98" i="56"/>
  <c r="L97" i="56"/>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3" i="57"/>
  <c r="O165" i="57" s="1"/>
  <c r="U95" i="56"/>
  <c r="P83" i="56"/>
  <c r="P99" i="56"/>
  <c r="L101" i="56"/>
  <c r="L85" i="56" s="1"/>
  <c r="AD115" i="56"/>
  <c r="AC259" i="57"/>
  <c r="AD259" i="57" s="1"/>
  <c r="AE259" i="57" s="1"/>
  <c r="AF259" i="57" s="1"/>
  <c r="AG259" i="57" s="1"/>
  <c r="AH259" i="57" s="1"/>
  <c r="AI259" i="57" s="1"/>
  <c r="AJ259" i="57" s="1"/>
  <c r="AK259" i="57" s="1"/>
  <c r="AC182" i="56"/>
  <c r="W28" i="55"/>
  <c r="S127" i="47"/>
  <c r="L92" i="56"/>
  <c r="U101" i="56"/>
  <c r="U85" i="56"/>
  <c r="U94" i="56"/>
  <c r="U78" i="56"/>
  <c r="P97" i="56"/>
  <c r="P81" i="56"/>
  <c r="AD117" i="56"/>
  <c r="L99" i="56"/>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R128" i="47"/>
  <c r="V34" i="55"/>
  <c r="P85" i="56"/>
  <c r="P101" i="56"/>
  <c r="L96" i="56"/>
  <c r="Q46" i="56"/>
  <c r="Q47" i="56"/>
  <c r="Q87" i="56" s="1"/>
  <c r="R48" i="56"/>
  <c r="O51" i="57"/>
  <c r="O110" i="57"/>
  <c r="O111" i="57" s="1"/>
  <c r="O149" i="57" s="1"/>
  <c r="L46" i="56"/>
  <c r="AN172" i="56" s="1"/>
  <c r="L47" i="56"/>
  <c r="AM181" i="56"/>
  <c r="N153" i="57"/>
  <c r="N165" i="57" s="1"/>
  <c r="T165" i="57" s="1"/>
  <c r="T153" i="57" s="1"/>
  <c r="Q57" i="57"/>
  <c r="Q50" i="57"/>
  <c r="V46" i="56"/>
  <c r="V47" i="56"/>
  <c r="V87" i="56" s="1"/>
  <c r="W48" i="56"/>
  <c r="I250" i="57"/>
  <c r="AL257" i="57" s="1"/>
  <c r="I249" i="57"/>
  <c r="I248" i="57"/>
  <c r="P80" i="56"/>
  <c r="P96" i="56"/>
  <c r="L95" i="56"/>
  <c r="P77" i="56"/>
  <c r="P93" i="56"/>
  <c r="I57" i="57"/>
  <c r="O163" i="57"/>
  <c r="O162" i="57"/>
  <c r="O58" i="57"/>
  <c r="O161" i="57"/>
  <c r="K87" i="56"/>
  <c r="K103" i="56"/>
  <c r="AD122" i="56" s="1"/>
  <c r="AC143" i="56" s="1"/>
  <c r="Z98" i="47" s="1"/>
  <c r="T51" i="57"/>
  <c r="T110" i="57"/>
  <c r="T111" i="57" s="1"/>
  <c r="P110" i="57"/>
  <c r="P111" i="57" s="1"/>
  <c r="P51" i="57"/>
  <c r="U144" i="56"/>
  <c r="R99" i="47" s="1"/>
  <c r="W123" i="56"/>
  <c r="V53" i="56"/>
  <c r="V57" i="56"/>
  <c r="V55" i="56"/>
  <c r="V59" i="56"/>
  <c r="V86" i="56" s="1"/>
  <c r="V51" i="56"/>
  <c r="V56" i="56"/>
  <c r="V54" i="56"/>
  <c r="V58" i="56"/>
  <c r="V52" i="56"/>
  <c r="W60" i="56"/>
  <c r="L102" i="56"/>
  <c r="AN121" i="56" s="1"/>
  <c r="AO121" i="56" s="1"/>
  <c r="AP121" i="56" s="1"/>
  <c r="AQ121" i="56" s="1"/>
  <c r="AR121" i="56" s="1"/>
  <c r="AM142" i="56" s="1"/>
  <c r="AJ97" i="47" s="1"/>
  <c r="L86" i="56"/>
  <c r="AK77" i="56" s="1"/>
  <c r="K93" i="56"/>
  <c r="H57" i="57"/>
  <c r="G57" i="57"/>
  <c r="N163" i="57"/>
  <c r="T163" i="57" s="1"/>
  <c r="T151" i="57" s="1"/>
  <c r="N162" i="57"/>
  <c r="N58" i="57"/>
  <c r="K111" i="57"/>
  <c r="T58" i="57"/>
  <c r="T59" i="57" s="1"/>
  <c r="T60" i="57" s="1"/>
  <c r="P58" i="57"/>
  <c r="P61" i="57" s="1"/>
  <c r="P161" i="57"/>
  <c r="P162" i="57"/>
  <c r="P163" i="57"/>
  <c r="AG9" i="47"/>
  <c r="AK24" i="35"/>
  <c r="AH6" i="47"/>
  <c r="AL25" i="35"/>
  <c r="AK26" i="35"/>
  <c r="AG7" i="47"/>
  <c r="AK23" i="35"/>
  <c r="AG8" i="47"/>
  <c r="AK22" i="35"/>
  <c r="AG5" i="47"/>
  <c r="AM204" i="58" l="1"/>
  <c r="AM188" i="58"/>
  <c r="AM200" i="58"/>
  <c r="AM191" i="58"/>
  <c r="AM198" i="58"/>
  <c r="AM199" i="58"/>
  <c r="AM201" i="58"/>
  <c r="AM202" i="58"/>
  <c r="AM194" i="58"/>
  <c r="AM205" i="58"/>
  <c r="AM186" i="58"/>
  <c r="AM193" i="58"/>
  <c r="AL228" i="58"/>
  <c r="AL266" i="58" s="1"/>
  <c r="AI123" i="47" s="1"/>
  <c r="AL223" i="58"/>
  <c r="AL261" i="58" s="1"/>
  <c r="AI122" i="47" s="1"/>
  <c r="AL222" i="58"/>
  <c r="AL260" i="58" s="1"/>
  <c r="AI121" i="47" s="1"/>
  <c r="AM182" i="58"/>
  <c r="AM241" i="58" s="1"/>
  <c r="AM175" i="58"/>
  <c r="AM234" i="58" s="1"/>
  <c r="AM177" i="58"/>
  <c r="AM236" i="58" s="1"/>
  <c r="AM216" i="58"/>
  <c r="AM211" i="58"/>
  <c r="AM215" i="58"/>
  <c r="AM208" i="58"/>
  <c r="AM213" i="58"/>
  <c r="AM225" i="58" s="1"/>
  <c r="AM212" i="58"/>
  <c r="AM224" i="58" s="1"/>
  <c r="AM210" i="58"/>
  <c r="AM222" i="58" s="1"/>
  <c r="AM214" i="58"/>
  <c r="AM226" i="58" s="1"/>
  <c r="AM209" i="58"/>
  <c r="AM221" i="58" s="1"/>
  <c r="AL221" i="58"/>
  <c r="AL259" i="58" s="1"/>
  <c r="AI120" i="47" s="1"/>
  <c r="AM178" i="58"/>
  <c r="AM237" i="58" s="1"/>
  <c r="AM176" i="58"/>
  <c r="AM235" i="58" s="1"/>
  <c r="AM181" i="58"/>
  <c r="AM240" i="58" s="1"/>
  <c r="AL227" i="58"/>
  <c r="AL265" i="58" s="1"/>
  <c r="AI125" i="47" s="1"/>
  <c r="AL224" i="58"/>
  <c r="AL262" i="58" s="1"/>
  <c r="AI124" i="47" s="1"/>
  <c r="AL220" i="58"/>
  <c r="AL258" i="58" s="1"/>
  <c r="AI118" i="47" s="1"/>
  <c r="AM53" i="58"/>
  <c r="AM180" i="58"/>
  <c r="AM239" i="58" s="1"/>
  <c r="AM179" i="58"/>
  <c r="AM238" i="58" s="1"/>
  <c r="AL225" i="58"/>
  <c r="AL263" i="58" s="1"/>
  <c r="AI126" i="47" s="1"/>
  <c r="Q221" i="57"/>
  <c r="N105" i="47" s="1"/>
  <c r="M105" i="47"/>
  <c r="Q219" i="57"/>
  <c r="N103" i="47" s="1"/>
  <c r="M103" i="47"/>
  <c r="T182" i="56"/>
  <c r="P98" i="47"/>
  <c r="T181" i="56"/>
  <c r="P97" i="47"/>
  <c r="Q218" i="57"/>
  <c r="N106" i="47" s="1"/>
  <c r="M106" i="47"/>
  <c r="AN183" i="56"/>
  <c r="AJ99" i="47"/>
  <c r="AE183" i="56"/>
  <c r="AA99" i="47"/>
  <c r="U120" i="56"/>
  <c r="T141" i="56" s="1"/>
  <c r="Q96" i="47" s="1"/>
  <c r="U117" i="56"/>
  <c r="T138" i="56" s="1"/>
  <c r="Q93" i="47" s="1"/>
  <c r="AF123" i="56"/>
  <c r="AE144" i="56" s="1"/>
  <c r="AB99" i="47" s="1"/>
  <c r="AS123" i="56"/>
  <c r="AT123" i="56" s="1"/>
  <c r="AU123" i="56" s="1"/>
  <c r="AV123" i="56" s="1"/>
  <c r="AW123" i="56" s="1"/>
  <c r="AX123" i="56" s="1"/>
  <c r="AO144" i="56" s="1"/>
  <c r="AL99" i="47" s="1"/>
  <c r="U113" i="56"/>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M228" i="58"/>
  <c r="AP35" i="58"/>
  <c r="AP155" i="58"/>
  <c r="AP159" i="58"/>
  <c r="AP156" i="58"/>
  <c r="AP157" i="58"/>
  <c r="AP152" i="58"/>
  <c r="AP151" i="58"/>
  <c r="AP153" i="58"/>
  <c r="AP154" i="58"/>
  <c r="AP158" i="58"/>
  <c r="AQ24" i="58"/>
  <c r="AM227" i="58"/>
  <c r="AM223" i="58"/>
  <c r="U118" i="56"/>
  <c r="T139" i="56" s="1"/>
  <c r="Q94" i="47" s="1"/>
  <c r="U114" i="56"/>
  <c r="T135" i="56" s="1"/>
  <c r="Q90" i="47" s="1"/>
  <c r="AJ76" i="56"/>
  <c r="AE111" i="56"/>
  <c r="AD132" i="56" s="1"/>
  <c r="AA87" i="47" s="1"/>
  <c r="AN120" i="56"/>
  <c r="AO120" i="56" s="1"/>
  <c r="AP120" i="56" s="1"/>
  <c r="AQ120" i="56" s="1"/>
  <c r="AR120" i="56" s="1"/>
  <c r="AM141" i="56" s="1"/>
  <c r="AJ96" i="47" s="1"/>
  <c r="AN118" i="56"/>
  <c r="AO118" i="56" s="1"/>
  <c r="AP118" i="56" s="1"/>
  <c r="AQ118" i="56" s="1"/>
  <c r="AR118" i="56" s="1"/>
  <c r="AM139" i="56" s="1"/>
  <c r="AJ94" i="47" s="1"/>
  <c r="L83" i="56"/>
  <c r="AN117" i="56"/>
  <c r="AO117" i="56" s="1"/>
  <c r="AP117" i="56" s="1"/>
  <c r="AQ117" i="56" s="1"/>
  <c r="AR117" i="56" s="1"/>
  <c r="AM138" i="56" s="1"/>
  <c r="AJ93" i="47" s="1"/>
  <c r="L82" i="56"/>
  <c r="AN116" i="56"/>
  <c r="AO116" i="56" s="1"/>
  <c r="AP116" i="56" s="1"/>
  <c r="AQ116" i="56" s="1"/>
  <c r="AR116" i="56" s="1"/>
  <c r="AM137" i="56" s="1"/>
  <c r="AJ92" i="47" s="1"/>
  <c r="L81" i="56"/>
  <c r="AN114" i="56"/>
  <c r="AO114" i="56" s="1"/>
  <c r="AP114" i="56" s="1"/>
  <c r="AQ114" i="56" s="1"/>
  <c r="AR114" i="56" s="1"/>
  <c r="AM135" i="56" s="1"/>
  <c r="AJ90" i="47" s="1"/>
  <c r="L79" i="56"/>
  <c r="AD112" i="56"/>
  <c r="AC133" i="56" s="1"/>
  <c r="Z88" i="47" s="1"/>
  <c r="K77" i="56"/>
  <c r="K89" i="56" s="1"/>
  <c r="AN113" i="56"/>
  <c r="AO113" i="56" s="1"/>
  <c r="AP113" i="56" s="1"/>
  <c r="AQ113" i="56" s="1"/>
  <c r="AR113" i="56" s="1"/>
  <c r="AM134" i="56" s="1"/>
  <c r="AJ89" i="47" s="1"/>
  <c r="L78" i="56"/>
  <c r="AN119" i="56"/>
  <c r="AO119" i="56" s="1"/>
  <c r="AP119" i="56" s="1"/>
  <c r="AQ119" i="56" s="1"/>
  <c r="AR119" i="56" s="1"/>
  <c r="AM140" i="56" s="1"/>
  <c r="AJ95" i="47" s="1"/>
  <c r="L84" i="56"/>
  <c r="AN111" i="56"/>
  <c r="AO111" i="56" s="1"/>
  <c r="AP111" i="56" s="1"/>
  <c r="AQ111" i="56" s="1"/>
  <c r="AR111" i="56" s="1"/>
  <c r="AM132" i="56" s="1"/>
  <c r="AJ87" i="47" s="1"/>
  <c r="L76" i="56"/>
  <c r="AN115" i="56"/>
  <c r="AO115" i="56" s="1"/>
  <c r="AP115" i="56" s="1"/>
  <c r="AQ115" i="56" s="1"/>
  <c r="AR115" i="56" s="1"/>
  <c r="AM136" i="56" s="1"/>
  <c r="AJ91" i="47" s="1"/>
  <c r="L80" i="56"/>
  <c r="V162" i="57" a="1"/>
  <c r="V162" i="57" s="1"/>
  <c r="U163" i="57" a="1"/>
  <c r="U163" i="57" s="1"/>
  <c r="V161" i="57" a="1"/>
  <c r="V161" i="57" s="1"/>
  <c r="V149" i="57" s="1"/>
  <c r="U161" i="57" a="1"/>
  <c r="U161" i="57" s="1"/>
  <c r="V163" i="57" a="1"/>
  <c r="V163" i="57" s="1"/>
  <c r="U162" i="57" a="1"/>
  <c r="U162" i="57" s="1"/>
  <c r="AD181" i="56"/>
  <c r="AE121" i="56"/>
  <c r="AD142" i="56" s="1"/>
  <c r="AA97" i="47" s="1"/>
  <c r="V111" i="56"/>
  <c r="U132" i="56" s="1"/>
  <c r="R87" i="47" s="1"/>
  <c r="U116" i="56"/>
  <c r="T137" i="56" s="1"/>
  <c r="Q92" i="47" s="1"/>
  <c r="U115" i="56"/>
  <c r="T136" i="56" s="1"/>
  <c r="Q91" i="47" s="1"/>
  <c r="T162" i="57"/>
  <c r="AF48" i="29"/>
  <c r="AG48" i="29" s="1"/>
  <c r="U122" i="56"/>
  <c r="T143" i="56" s="1"/>
  <c r="Q98" i="47" s="1"/>
  <c r="V120" i="56"/>
  <c r="W120" i="56" s="1"/>
  <c r="AE113" i="56"/>
  <c r="AD134" i="56" s="1"/>
  <c r="AA89" i="47" s="1"/>
  <c r="R181" i="56"/>
  <c r="U119" i="56"/>
  <c r="T140" i="56" s="1"/>
  <c r="Q95" i="47" s="1"/>
  <c r="AO172" i="56"/>
  <c r="AP172" i="56" s="1"/>
  <c r="AQ172" i="56" s="1"/>
  <c r="AF50" i="29"/>
  <c r="AC86" i="47" s="1"/>
  <c r="U121" i="56"/>
  <c r="T142" i="56" s="1"/>
  <c r="Q97" i="47" s="1"/>
  <c r="U112" i="56"/>
  <c r="T133" i="56" s="1"/>
  <c r="Q88" i="47" s="1"/>
  <c r="AD108" i="47"/>
  <c r="AH51" i="29"/>
  <c r="AB85" i="47"/>
  <c r="AF49" i="29"/>
  <c r="AM112" i="56"/>
  <c r="AL133" i="56" s="1"/>
  <c r="AI88" i="47" s="1"/>
  <c r="AM122" i="56"/>
  <c r="AL143" i="56" s="1"/>
  <c r="Q182" i="56"/>
  <c r="R182" i="56"/>
  <c r="AE119" i="56"/>
  <c r="AD140" i="56" s="1"/>
  <c r="AA95" i="47" s="1"/>
  <c r="P216" i="57"/>
  <c r="M101" i="47" s="1"/>
  <c r="P215" i="57"/>
  <c r="M102" i="47" s="1"/>
  <c r="P214" i="57"/>
  <c r="M100" i="47" s="1"/>
  <c r="AE120" i="56"/>
  <c r="AF120" i="56" s="1"/>
  <c r="U89" i="56"/>
  <c r="AC76" i="56"/>
  <c r="AC79" i="56" s="1"/>
  <c r="AC80" i="56" s="1"/>
  <c r="X28" i="55"/>
  <c r="T127" i="47"/>
  <c r="AN181" i="56"/>
  <c r="R92" i="56"/>
  <c r="R76" i="56"/>
  <c r="H58" i="57"/>
  <c r="G58" i="57"/>
  <c r="N59" i="57"/>
  <c r="V79" i="56"/>
  <c r="V95" i="56"/>
  <c r="S128" i="47"/>
  <c r="W34" i="55"/>
  <c r="AC138" i="56"/>
  <c r="Z93" i="47" s="1"/>
  <c r="AE117" i="56"/>
  <c r="V27" i="55"/>
  <c r="R135" i="47"/>
  <c r="AC257" i="57"/>
  <c r="AD257" i="57" s="1"/>
  <c r="AE257" i="57" s="1"/>
  <c r="AF257" i="57" s="1"/>
  <c r="AG257" i="57" s="1"/>
  <c r="AH257" i="57" s="1"/>
  <c r="AI257" i="57" s="1"/>
  <c r="AJ257" i="57" s="1"/>
  <c r="AK257" i="57" s="1"/>
  <c r="Q96" i="56"/>
  <c r="Q80" i="56"/>
  <c r="W52" i="56"/>
  <c r="W55" i="56"/>
  <c r="W59" i="56"/>
  <c r="W86" i="56" s="1"/>
  <c r="W51" i="56"/>
  <c r="W57" i="56"/>
  <c r="W56" i="56"/>
  <c r="W54" i="56"/>
  <c r="W53" i="56"/>
  <c r="W58" i="56"/>
  <c r="X60" i="56"/>
  <c r="W32" i="55"/>
  <c r="S131" i="47"/>
  <c r="R57" i="56"/>
  <c r="R55" i="56"/>
  <c r="R59" i="56"/>
  <c r="R86" i="56" s="1"/>
  <c r="AE77" i="56" s="1"/>
  <c r="R51" i="56"/>
  <c r="R53" i="56"/>
  <c r="R52" i="56"/>
  <c r="R56" i="56"/>
  <c r="R54" i="56"/>
  <c r="R58" i="56"/>
  <c r="K250" i="57"/>
  <c r="K248" i="57"/>
  <c r="J248" i="57"/>
  <c r="K249" i="57"/>
  <c r="J249" i="57"/>
  <c r="I58" i="57"/>
  <c r="O59" i="57"/>
  <c r="V85" i="56"/>
  <c r="V101" i="56"/>
  <c r="P59" i="57"/>
  <c r="V97" i="56"/>
  <c r="V81" i="56"/>
  <c r="O61" i="57"/>
  <c r="W46" i="56"/>
  <c r="W47" i="56"/>
  <c r="W87" i="56" s="1"/>
  <c r="X48" i="56"/>
  <c r="R46" i="56"/>
  <c r="R47" i="56"/>
  <c r="R87" i="56" s="1"/>
  <c r="Q95" i="56"/>
  <c r="Q79" i="56"/>
  <c r="J251" i="57"/>
  <c r="K251" i="57"/>
  <c r="K252" i="57"/>
  <c r="J252" i="57"/>
  <c r="AC135" i="56"/>
  <c r="Z90" i="47" s="1"/>
  <c r="AE114" i="56"/>
  <c r="V83" i="56"/>
  <c r="V99" i="56"/>
  <c r="W37" i="55"/>
  <c r="S134" i="47"/>
  <c r="Q83" i="56"/>
  <c r="Q99" i="56"/>
  <c r="O151" i="57"/>
  <c r="O150" i="57"/>
  <c r="J250" i="57"/>
  <c r="I45" i="57"/>
  <c r="J45" i="57"/>
  <c r="N61" i="57"/>
  <c r="V78" i="56"/>
  <c r="V94" i="56"/>
  <c r="V77" i="56"/>
  <c r="V93" i="56"/>
  <c r="Q77" i="56"/>
  <c r="Q93" i="56"/>
  <c r="V58" i="57"/>
  <c r="V59" i="57" s="1"/>
  <c r="V60" i="57" s="1"/>
  <c r="V31" i="55"/>
  <c r="R129" i="47"/>
  <c r="Q101" i="56"/>
  <c r="Q85" i="56"/>
  <c r="J253" i="57"/>
  <c r="N151" i="57"/>
  <c r="N150" i="57"/>
  <c r="P151" i="57"/>
  <c r="P149" i="57"/>
  <c r="P150" i="57"/>
  <c r="G45" i="57"/>
  <c r="G161" i="57"/>
  <c r="G163" i="57"/>
  <c r="G162" i="57"/>
  <c r="P89" i="56"/>
  <c r="AC136" i="56"/>
  <c r="Z91" i="47" s="1"/>
  <c r="AE115" i="56"/>
  <c r="W33" i="55"/>
  <c r="S130" i="47"/>
  <c r="V110" i="57"/>
  <c r="V111" i="57" s="1"/>
  <c r="V51" i="57"/>
  <c r="U61" i="57"/>
  <c r="W76" i="56"/>
  <c r="W92" i="56"/>
  <c r="X43" i="56"/>
  <c r="Q94" i="56"/>
  <c r="Q78" i="56"/>
  <c r="AC137" i="56"/>
  <c r="Z92" i="47" s="1"/>
  <c r="AE116" i="56"/>
  <c r="AD182" i="56"/>
  <c r="AC255" i="57"/>
  <c r="AD255" i="57" s="1"/>
  <c r="AE255" i="57" s="1"/>
  <c r="AF255" i="57" s="1"/>
  <c r="AG255" i="57" s="1"/>
  <c r="AH255" i="57" s="1"/>
  <c r="AI255" i="57" s="1"/>
  <c r="AJ255" i="57" s="1"/>
  <c r="AK255" i="57" s="1"/>
  <c r="AL255" i="57"/>
  <c r="V100" i="56"/>
  <c r="V84" i="56"/>
  <c r="V144" i="56"/>
  <c r="S99" i="47" s="1"/>
  <c r="X123" i="56"/>
  <c r="AL256" i="57"/>
  <c r="AC256" i="57"/>
  <c r="AD256" i="57" s="1"/>
  <c r="AE256" i="57" s="1"/>
  <c r="AF256" i="57" s="1"/>
  <c r="AG256" i="57" s="1"/>
  <c r="AH256" i="57" s="1"/>
  <c r="AI256" i="57" s="1"/>
  <c r="AJ256" i="57" s="1"/>
  <c r="AK256" i="57" s="1"/>
  <c r="Q51" i="57"/>
  <c r="Q110" i="57"/>
  <c r="Q111" i="57" s="1"/>
  <c r="Q149" i="57" s="1"/>
  <c r="W51" i="57"/>
  <c r="W110" i="57"/>
  <c r="W111" i="57" s="1"/>
  <c r="T134" i="56"/>
  <c r="Q89" i="47" s="1"/>
  <c r="V113" i="56"/>
  <c r="Q84" i="56"/>
  <c r="Q100" i="56"/>
  <c r="AC139" i="56"/>
  <c r="Z94" i="47" s="1"/>
  <c r="AE118" i="56"/>
  <c r="V36" i="55"/>
  <c r="R133" i="47"/>
  <c r="H45" i="57"/>
  <c r="H162" i="57"/>
  <c r="H161" i="57"/>
  <c r="H163" i="57"/>
  <c r="V82" i="56"/>
  <c r="V98" i="56"/>
  <c r="V96" i="56"/>
  <c r="V80" i="56"/>
  <c r="V183" i="56"/>
  <c r="K57" i="57"/>
  <c r="Q161" i="57"/>
  <c r="Q58" i="57"/>
  <c r="Q61" i="57" s="1"/>
  <c r="Q162" i="57"/>
  <c r="Q163" i="57"/>
  <c r="L87" i="56"/>
  <c r="L103" i="56"/>
  <c r="W58" i="57"/>
  <c r="W59" i="57" s="1"/>
  <c r="W60" i="57" s="1"/>
  <c r="AE122" i="56"/>
  <c r="Q97" i="56"/>
  <c r="Q81" i="56"/>
  <c r="T61" i="57"/>
  <c r="L93" i="56"/>
  <c r="AH79" i="56"/>
  <c r="AH80" i="56" s="1"/>
  <c r="AS121" i="56"/>
  <c r="AT121" i="56" s="1"/>
  <c r="AU121" i="56" s="1"/>
  <c r="AV121" i="56" s="1"/>
  <c r="AW121" i="56" s="1"/>
  <c r="AN142" i="56" s="1"/>
  <c r="AK97" i="47" s="1"/>
  <c r="Q98" i="56"/>
  <c r="Q82" i="56"/>
  <c r="AL22" i="35"/>
  <c r="AH5" i="47"/>
  <c r="AH8" i="47"/>
  <c r="AL23" i="35"/>
  <c r="AI6" i="47"/>
  <c r="AM25" i="35"/>
  <c r="AH9" i="47"/>
  <c r="AL24" i="35"/>
  <c r="AL26" i="35"/>
  <c r="AH7" i="47"/>
  <c r="AM220" i="58" l="1"/>
  <c r="V117" i="56"/>
  <c r="U138" i="56" s="1"/>
  <c r="R93" i="47" s="1"/>
  <c r="AL245" i="58"/>
  <c r="AY123" i="56"/>
  <c r="AP144" i="56" s="1"/>
  <c r="AM99" i="47" s="1"/>
  <c r="AG123" i="56"/>
  <c r="AF144" i="56" s="1"/>
  <c r="AC99" i="47" s="1"/>
  <c r="AF183" i="56"/>
  <c r="AM182" i="56"/>
  <c r="AI98" i="47"/>
  <c r="V114" i="56"/>
  <c r="AN144" i="56"/>
  <c r="AM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I162" i="57"/>
  <c r="AB229" i="57" s="1"/>
  <c r="U150" i="57"/>
  <c r="I150" i="57" s="1"/>
  <c r="I187" i="57" s="1"/>
  <c r="AB215" i="57" s="1"/>
  <c r="Y102" i="47" s="1"/>
  <c r="J163" i="57"/>
  <c r="AL230" i="57" s="1"/>
  <c r="V151" i="57"/>
  <c r="J151" i="57" s="1"/>
  <c r="J188" i="57" s="1"/>
  <c r="I161" i="57"/>
  <c r="AB228" i="57" s="1"/>
  <c r="U149" i="57"/>
  <c r="I149" i="57" s="1"/>
  <c r="I186" i="57" s="1"/>
  <c r="I163" i="57"/>
  <c r="AB230" i="57" s="1"/>
  <c r="U151" i="57"/>
  <c r="I151" i="57" s="1"/>
  <c r="I188" i="57" s="1"/>
  <c r="AC202" i="57" s="1"/>
  <c r="J162" i="57"/>
  <c r="AL229" i="57" s="1"/>
  <c r="V150" i="57"/>
  <c r="J150" i="57" s="1"/>
  <c r="J187" i="57" s="1"/>
  <c r="T183" i="57"/>
  <c r="T150" i="57"/>
  <c r="V183" i="57"/>
  <c r="J161" i="57"/>
  <c r="AL228" i="57" s="1"/>
  <c r="U183" i="57"/>
  <c r="V116" i="56"/>
  <c r="W116" i="56" s="1"/>
  <c r="AE112" i="56"/>
  <c r="AD133" i="56" s="1"/>
  <c r="AA88" i="47" s="1"/>
  <c r="V118" i="56"/>
  <c r="AH123" i="56"/>
  <c r="AI123" i="56" s="1"/>
  <c r="AF111" i="56"/>
  <c r="AG111" i="56" s="1"/>
  <c r="AC84" i="47"/>
  <c r="AK76" i="56"/>
  <c r="AS120" i="56"/>
  <c r="AT120" i="56" s="1"/>
  <c r="AU120" i="56" s="1"/>
  <c r="AV120" i="56" s="1"/>
  <c r="AW120" i="56" s="1"/>
  <c r="AX120" i="56" s="1"/>
  <c r="AY120" i="56" s="1"/>
  <c r="AP141" i="56" s="1"/>
  <c r="AM96" i="47" s="1"/>
  <c r="AS118" i="56"/>
  <c r="AT118" i="56" s="1"/>
  <c r="AU118" i="56" s="1"/>
  <c r="AV118" i="56" s="1"/>
  <c r="AW118" i="56" s="1"/>
  <c r="AX118" i="56" s="1"/>
  <c r="AO139" i="56" s="1"/>
  <c r="AL94" i="47" s="1"/>
  <c r="AF121" i="56"/>
  <c r="AE142" i="56" s="1"/>
  <c r="AB97" i="47" s="1"/>
  <c r="AF113" i="56"/>
  <c r="AE134" i="56" s="1"/>
  <c r="AB89" i="47" s="1"/>
  <c r="AS116" i="56"/>
  <c r="AT116" i="56" s="1"/>
  <c r="AU116" i="56" s="1"/>
  <c r="AV116" i="56" s="1"/>
  <c r="AW116" i="56" s="1"/>
  <c r="AN137" i="56" s="1"/>
  <c r="AK92" i="47" s="1"/>
  <c r="AS114" i="56"/>
  <c r="AT114" i="56" s="1"/>
  <c r="AU114" i="56" s="1"/>
  <c r="AV114" i="56" s="1"/>
  <c r="AW114" i="56" s="1"/>
  <c r="AX114" i="56" s="1"/>
  <c r="AY114" i="56" s="1"/>
  <c r="AP135" i="56" s="1"/>
  <c r="AM90" i="47" s="1"/>
  <c r="AD141" i="56"/>
  <c r="AA96" i="47" s="1"/>
  <c r="AS119" i="56"/>
  <c r="AT119" i="56" s="1"/>
  <c r="AU119" i="56" s="1"/>
  <c r="AV119" i="56" s="1"/>
  <c r="AW119" i="56" s="1"/>
  <c r="AN140" i="56" s="1"/>
  <c r="AK95" i="47" s="1"/>
  <c r="AS117" i="56"/>
  <c r="AT117" i="56" s="1"/>
  <c r="AU117" i="56" s="1"/>
  <c r="AV117" i="56" s="1"/>
  <c r="AW117" i="56" s="1"/>
  <c r="AN138" i="56" s="1"/>
  <c r="AK93" i="47" s="1"/>
  <c r="AS111" i="56"/>
  <c r="AT111" i="56" s="1"/>
  <c r="AU111" i="56" s="1"/>
  <c r="AV111" i="56" s="1"/>
  <c r="AW111" i="56" s="1"/>
  <c r="AX111" i="56" s="1"/>
  <c r="AO132" i="56" s="1"/>
  <c r="AL87" i="47" s="1"/>
  <c r="AS113" i="56"/>
  <c r="AT113" i="56" s="1"/>
  <c r="AU113" i="56" s="1"/>
  <c r="AV113" i="56" s="1"/>
  <c r="AW113" i="56" s="1"/>
  <c r="AX113" i="56" s="1"/>
  <c r="AY113" i="56" s="1"/>
  <c r="AP134" i="56" s="1"/>
  <c r="AM89" i="47" s="1"/>
  <c r="AS115" i="56"/>
  <c r="AT115" i="56" s="1"/>
  <c r="AU115" i="56" s="1"/>
  <c r="AV115" i="56" s="1"/>
  <c r="AW115" i="56" s="1"/>
  <c r="AX115" i="56" s="1"/>
  <c r="AO136" i="56" s="1"/>
  <c r="AL91" i="47" s="1"/>
  <c r="AN112" i="56"/>
  <c r="AO112" i="56" s="1"/>
  <c r="AP112" i="56" s="1"/>
  <c r="AQ112" i="56" s="1"/>
  <c r="AR112" i="56" s="1"/>
  <c r="AM133" i="56" s="1"/>
  <c r="AJ88" i="47" s="1"/>
  <c r="L77" i="56"/>
  <c r="L89" i="56" s="1"/>
  <c r="L90" i="56" s="1"/>
  <c r="AN122" i="56"/>
  <c r="AO122" i="56" s="1"/>
  <c r="AP122" i="56" s="1"/>
  <c r="AQ122" i="56" s="1"/>
  <c r="AR122" i="56" s="1"/>
  <c r="AM143" i="56" s="1"/>
  <c r="W162" i="57" a="1"/>
  <c r="W162" i="57" s="1"/>
  <c r="W111" i="56"/>
  <c r="V132" i="56" s="1"/>
  <c r="S87" i="47" s="1"/>
  <c r="W161" i="57" a="1"/>
  <c r="W161" i="57" s="1"/>
  <c r="U141" i="56"/>
  <c r="R96" i="47" s="1"/>
  <c r="W163" i="57" a="1"/>
  <c r="W163" i="57" s="1"/>
  <c r="V115" i="56"/>
  <c r="AF119" i="56"/>
  <c r="AE140" i="56" s="1"/>
  <c r="AB95" i="47" s="1"/>
  <c r="V121" i="56"/>
  <c r="U142" i="56" s="1"/>
  <c r="R97" i="47" s="1"/>
  <c r="V122" i="56"/>
  <c r="U143" i="56" s="1"/>
  <c r="R98" i="47" s="1"/>
  <c r="I61" i="57"/>
  <c r="J58" i="57"/>
  <c r="AG50" i="29"/>
  <c r="AD86" i="47" s="1"/>
  <c r="V112" i="56"/>
  <c r="V119" i="56"/>
  <c r="W119" i="56" s="1"/>
  <c r="U181" i="56"/>
  <c r="AE108" i="47"/>
  <c r="AI51" i="29"/>
  <c r="AD84" i="47"/>
  <c r="AH48" i="29"/>
  <c r="AC85" i="47"/>
  <c r="AG49" i="29"/>
  <c r="W117" i="56"/>
  <c r="V138" i="56" s="1"/>
  <c r="S93" i="47" s="1"/>
  <c r="AX121" i="56"/>
  <c r="AO142" i="56" s="1"/>
  <c r="AL97" i="47" s="1"/>
  <c r="Q215" i="57"/>
  <c r="N102" i="47" s="1"/>
  <c r="Q216" i="57"/>
  <c r="N101" i="47" s="1"/>
  <c r="Q214" i="57"/>
  <c r="N100" i="47" s="1"/>
  <c r="AM256" i="57"/>
  <c r="AN256" i="57" s="1"/>
  <c r="AO256" i="57" s="1"/>
  <c r="AP256" i="57" s="1"/>
  <c r="AQ256" i="57" s="1"/>
  <c r="AR256" i="57" s="1"/>
  <c r="AS256" i="57" s="1"/>
  <c r="AT256" i="57" s="1"/>
  <c r="AU256" i="57" s="1"/>
  <c r="V61" i="57"/>
  <c r="J61" i="57" s="1"/>
  <c r="AM255" i="57"/>
  <c r="AN255" i="57" s="1"/>
  <c r="AO255" i="57" s="1"/>
  <c r="AP255" i="57" s="1"/>
  <c r="AQ255" i="57" s="1"/>
  <c r="AR255" i="57" s="1"/>
  <c r="AS255" i="57" s="1"/>
  <c r="AT255" i="57" s="1"/>
  <c r="AU255" i="57" s="1"/>
  <c r="V89" i="56"/>
  <c r="Q89" i="56"/>
  <c r="W79" i="56"/>
  <c r="W95" i="56"/>
  <c r="W27" i="55"/>
  <c r="S135" i="47"/>
  <c r="AF115" i="56"/>
  <c r="AD136" i="56"/>
  <c r="AA91" i="47" s="1"/>
  <c r="N60" i="57"/>
  <c r="H59" i="57"/>
  <c r="G59" i="57"/>
  <c r="W144" i="56"/>
  <c r="T99" i="47" s="1"/>
  <c r="Y123" i="56"/>
  <c r="N230" i="57"/>
  <c r="O230" i="57" s="1"/>
  <c r="P230" i="57" s="1"/>
  <c r="Q230" i="57" s="1"/>
  <c r="R230" i="57"/>
  <c r="AG183" i="56"/>
  <c r="N229" i="57"/>
  <c r="O229" i="57" s="1"/>
  <c r="P229" i="57" s="1"/>
  <c r="Q229" i="57" s="1"/>
  <c r="R229" i="57"/>
  <c r="W183" i="56"/>
  <c r="N228" i="57"/>
  <c r="O228" i="57" s="1"/>
  <c r="P228" i="57" s="1"/>
  <c r="Q228" i="57" s="1"/>
  <c r="G169" i="57"/>
  <c r="G172" i="57" s="1"/>
  <c r="R228" i="57"/>
  <c r="X37" i="55"/>
  <c r="T134" i="47"/>
  <c r="R77" i="56"/>
  <c r="R93" i="56"/>
  <c r="R101" i="56"/>
  <c r="R85" i="56"/>
  <c r="X32" i="55"/>
  <c r="T131" i="47"/>
  <c r="AO181" i="56"/>
  <c r="W61" i="57"/>
  <c r="K61" i="57" s="1"/>
  <c r="K58" i="57"/>
  <c r="Q59" i="57"/>
  <c r="AF116" i="56"/>
  <c r="AD137" i="56"/>
  <c r="AA92" i="47" s="1"/>
  <c r="W31" i="55"/>
  <c r="S129" i="47"/>
  <c r="P60" i="57"/>
  <c r="J60" i="57" s="1"/>
  <c r="J59" i="57"/>
  <c r="R81" i="56"/>
  <c r="R97" i="56"/>
  <c r="X57" i="56"/>
  <c r="X53" i="56"/>
  <c r="X55" i="56"/>
  <c r="X56" i="56"/>
  <c r="X54" i="56"/>
  <c r="X58" i="56"/>
  <c r="X52" i="56"/>
  <c r="X59" i="56"/>
  <c r="X86" i="56" s="1"/>
  <c r="X51" i="56"/>
  <c r="AE141" i="56"/>
  <c r="AB96" i="47" s="1"/>
  <c r="AG120" i="56"/>
  <c r="J149" i="57"/>
  <c r="J186" i="57" s="1"/>
  <c r="AE181" i="56"/>
  <c r="AD135" i="56"/>
  <c r="AA90" i="47" s="1"/>
  <c r="AF114" i="56"/>
  <c r="AP183" i="56"/>
  <c r="X46" i="56"/>
  <c r="X47" i="56"/>
  <c r="X87" i="56" s="1"/>
  <c r="O60" i="57"/>
  <c r="I60" i="57" s="1"/>
  <c r="I59" i="57"/>
  <c r="R99" i="56"/>
  <c r="R83" i="56"/>
  <c r="U182" i="56"/>
  <c r="W101" i="56"/>
  <c r="W85" i="56"/>
  <c r="U134" i="56"/>
  <c r="R89" i="47" s="1"/>
  <c r="W113" i="56"/>
  <c r="AI79" i="56"/>
  <c r="AI80" i="56" s="1"/>
  <c r="R95" i="56"/>
  <c r="R79" i="56"/>
  <c r="W80" i="56"/>
  <c r="W96" i="56"/>
  <c r="AD138" i="56"/>
  <c r="AA93" i="47" s="1"/>
  <c r="AF117" i="56"/>
  <c r="AD143" i="56"/>
  <c r="AA98" i="47" s="1"/>
  <c r="AF122" i="56"/>
  <c r="K45" i="57"/>
  <c r="W36" i="55"/>
  <c r="S133" i="47"/>
  <c r="W77" i="56"/>
  <c r="W93" i="56"/>
  <c r="AV256" i="57"/>
  <c r="AW256" i="57" s="1"/>
  <c r="AX256" i="57" s="1"/>
  <c r="AY256" i="57" s="1"/>
  <c r="AZ256" i="57" s="1"/>
  <c r="BA256" i="57" s="1"/>
  <c r="BB256" i="57" s="1"/>
  <c r="BC256" i="57" s="1"/>
  <c r="BD256" i="57" s="1"/>
  <c r="R80" i="56"/>
  <c r="R96" i="56"/>
  <c r="W81" i="56"/>
  <c r="W97" i="56"/>
  <c r="Y28" i="55"/>
  <c r="U127" i="47"/>
  <c r="AD139" i="56"/>
  <c r="AA94" i="47" s="1"/>
  <c r="AF118" i="56"/>
  <c r="Q151" i="57"/>
  <c r="Q150" i="57"/>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R78" i="56"/>
  <c r="R94" i="56"/>
  <c r="W99" i="56"/>
  <c r="W83" i="56"/>
  <c r="U135" i="56"/>
  <c r="R90" i="47" s="1"/>
  <c r="W114" i="56"/>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D76" i="56"/>
  <c r="AD79" i="56" s="1"/>
  <c r="AD80" i="56" s="1"/>
  <c r="R82" i="56"/>
  <c r="R98" i="56"/>
  <c r="W94" i="56"/>
  <c r="W78" i="56"/>
  <c r="X34" i="55"/>
  <c r="T128" i="47"/>
  <c r="X33" i="55"/>
  <c r="T130" i="47"/>
  <c r="R84" i="56"/>
  <c r="R100" i="56"/>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S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W98" i="56"/>
  <c r="W82" i="56"/>
  <c r="AM24" i="35"/>
  <c r="AI9" i="47"/>
  <c r="AI7" i="47"/>
  <c r="AM26" i="35"/>
  <c r="AN25" i="35"/>
  <c r="AJ6" i="47"/>
  <c r="AM23" i="35"/>
  <c r="AI8" i="47"/>
  <c r="AM22" i="35"/>
  <c r="AI5" i="47"/>
  <c r="AQ183" i="56" l="1"/>
  <c r="U137" i="56"/>
  <c r="R92" i="47" s="1"/>
  <c r="AN182" i="56"/>
  <c r="AJ98" i="47"/>
  <c r="AO183" i="56"/>
  <c r="AK99" i="47"/>
  <c r="AC228" i="57"/>
  <c r="AD228" i="57" s="1"/>
  <c r="AE228" i="57" s="1"/>
  <c r="AF228" i="57" s="1"/>
  <c r="AG228" i="57" s="1"/>
  <c r="AH228" i="57" s="1"/>
  <c r="AI228" i="57" s="1"/>
  <c r="AJ228" i="57" s="1"/>
  <c r="AK228" i="57" s="1"/>
  <c r="AF112" i="56"/>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S229" i="57"/>
  <c r="T229" i="57" s="1"/>
  <c r="U229" i="57" s="1"/>
  <c r="V229" i="57" s="1"/>
  <c r="W229" i="57" s="1"/>
  <c r="X229" i="57" s="1"/>
  <c r="Y229" i="57" s="1"/>
  <c r="Z229" i="57" s="1"/>
  <c r="AA229" i="57" s="1"/>
  <c r="AC230" i="57"/>
  <c r="AD230" i="57" s="1"/>
  <c r="AE230" i="57" s="1"/>
  <c r="AF230" i="57" s="1"/>
  <c r="AG230" i="57" s="1"/>
  <c r="AH230" i="57" s="1"/>
  <c r="AI230" i="57" s="1"/>
  <c r="AJ230" i="57" s="1"/>
  <c r="AK230" i="57" s="1"/>
  <c r="S228" i="57"/>
  <c r="T228" i="57" s="1"/>
  <c r="U228" i="57" s="1"/>
  <c r="V228" i="57" s="1"/>
  <c r="W228" i="57" s="1"/>
  <c r="X228" i="57" s="1"/>
  <c r="Y228" i="57" s="1"/>
  <c r="Z228" i="57" s="1"/>
  <c r="AA228" i="57" s="1"/>
  <c r="S230" i="57"/>
  <c r="T230" i="57" s="1"/>
  <c r="U230" i="57" s="1"/>
  <c r="V230" i="57" s="1"/>
  <c r="W230" i="57" s="1"/>
  <c r="X230" i="57" s="1"/>
  <c r="Y230" i="57" s="1"/>
  <c r="Z230" i="57" s="1"/>
  <c r="AA230" i="57" s="1"/>
  <c r="W122" i="56"/>
  <c r="V143" i="56" s="1"/>
  <c r="S98" i="47" s="1"/>
  <c r="AC229" i="57"/>
  <c r="AD229" i="57" s="1"/>
  <c r="AE229" i="57" s="1"/>
  <c r="AF229" i="57" s="1"/>
  <c r="AG229" i="57" s="1"/>
  <c r="AH229" i="57" s="1"/>
  <c r="AI229" i="57" s="1"/>
  <c r="AJ229" i="57" s="1"/>
  <c r="AK229" i="57" s="1"/>
  <c r="K163" i="57"/>
  <c r="AV230" i="57" s="1"/>
  <c r="AW230" i="57" s="1"/>
  <c r="AX230" i="57" s="1"/>
  <c r="W151" i="57"/>
  <c r="K151" i="57" s="1"/>
  <c r="K188" i="57" s="1"/>
  <c r="K161" i="57"/>
  <c r="W149" i="57"/>
  <c r="K149" i="57" s="1"/>
  <c r="K186" i="57" s="1"/>
  <c r="K162" i="57"/>
  <c r="AM229" i="57" s="1"/>
  <c r="AN229" i="57" s="1"/>
  <c r="AO229" i="57" s="1"/>
  <c r="AP229" i="57" s="1"/>
  <c r="AQ229" i="57" s="1"/>
  <c r="AR229" i="57" s="1"/>
  <c r="AS229" i="57" s="1"/>
  <c r="AT229" i="57" s="1"/>
  <c r="AU229" i="57" s="1"/>
  <c r="AV229" i="57" s="1"/>
  <c r="AW229" i="57" s="1"/>
  <c r="AX229" i="57" s="1"/>
  <c r="W150" i="57"/>
  <c r="K150" i="57" s="1"/>
  <c r="K187" i="57" s="1"/>
  <c r="AE132" i="56"/>
  <c r="AB87" i="47" s="1"/>
  <c r="AG144" i="56"/>
  <c r="AD99" i="47" s="1"/>
  <c r="S216" i="57"/>
  <c r="W183" i="57"/>
  <c r="AO141" i="56"/>
  <c r="AL96" i="47" s="1"/>
  <c r="X117" i="56"/>
  <c r="W138" i="56" s="1"/>
  <c r="T93" i="47" s="1"/>
  <c r="AN139" i="56"/>
  <c r="AK94" i="47" s="1"/>
  <c r="AY118" i="56"/>
  <c r="AP139" i="56" s="1"/>
  <c r="AM94" i="47" s="1"/>
  <c r="AG113" i="56"/>
  <c r="AH113" i="56" s="1"/>
  <c r="AG121" i="56"/>
  <c r="AF142" i="56" s="1"/>
  <c r="AC97" i="47" s="1"/>
  <c r="U139" i="56"/>
  <c r="R94" i="47" s="1"/>
  <c r="W118" i="56"/>
  <c r="AO135" i="56"/>
  <c r="AL90" i="47" s="1"/>
  <c r="U140" i="56"/>
  <c r="R95" i="47" s="1"/>
  <c r="V181" i="56"/>
  <c r="AN141" i="56"/>
  <c r="AK96" i="47" s="1"/>
  <c r="AO134" i="56"/>
  <c r="AL89" i="47" s="1"/>
  <c r="AY111" i="56"/>
  <c r="AP132" i="56" s="1"/>
  <c r="AM87" i="47" s="1"/>
  <c r="AY115" i="56"/>
  <c r="AP136" i="56" s="1"/>
  <c r="AM91" i="47" s="1"/>
  <c r="AX119" i="56"/>
  <c r="AO140" i="56" s="1"/>
  <c r="AL95" i="47" s="1"/>
  <c r="AN135" i="56"/>
  <c r="AK90" i="47" s="1"/>
  <c r="AN134" i="56"/>
  <c r="AK89" i="47" s="1"/>
  <c r="T201" i="57"/>
  <c r="U201" i="57" s="1"/>
  <c r="V201" i="57" s="1"/>
  <c r="W201" i="57" s="1"/>
  <c r="X201" i="57" s="1"/>
  <c r="Y201" i="57" s="1"/>
  <c r="Z201" i="57" s="1"/>
  <c r="AA201" i="57" s="1"/>
  <c r="AB201" i="57" s="1"/>
  <c r="S215" i="57"/>
  <c r="AS112" i="56"/>
  <c r="AT112" i="56" s="1"/>
  <c r="AU112" i="56" s="1"/>
  <c r="AV112" i="56" s="1"/>
  <c r="AW112" i="56" s="1"/>
  <c r="AN133" i="56" s="1"/>
  <c r="AK88" i="47" s="1"/>
  <c r="AX116" i="56"/>
  <c r="AN136" i="56"/>
  <c r="AK91" i="47" s="1"/>
  <c r="AC201" i="57"/>
  <c r="AD201" i="57" s="1"/>
  <c r="AE201" i="57" s="1"/>
  <c r="AF201" i="57" s="1"/>
  <c r="AG201" i="57" s="1"/>
  <c r="AH201" i="57" s="1"/>
  <c r="AI201" i="57" s="1"/>
  <c r="AJ201" i="57" s="1"/>
  <c r="AK201" i="57" s="1"/>
  <c r="AL201" i="57" s="1"/>
  <c r="X111" i="56"/>
  <c r="W132" i="56" s="1"/>
  <c r="T87" i="47" s="1"/>
  <c r="AS122" i="56"/>
  <c r="AT122" i="56" s="1"/>
  <c r="AU122" i="56" s="1"/>
  <c r="AV122" i="56" s="1"/>
  <c r="AW122" i="56" s="1"/>
  <c r="AX122" i="56" s="1"/>
  <c r="AO143" i="56" s="1"/>
  <c r="AL98" i="47" s="1"/>
  <c r="AX117" i="56"/>
  <c r="AO138" i="56" s="1"/>
  <c r="AL93" i="47" s="1"/>
  <c r="AN132" i="56"/>
  <c r="AK87" i="47" s="1"/>
  <c r="AG119" i="56"/>
  <c r="AH119" i="56" s="1"/>
  <c r="W121" i="56"/>
  <c r="V142" i="56" s="1"/>
  <c r="AB216" i="57"/>
  <c r="Y101" i="47" s="1"/>
  <c r="T202" i="57"/>
  <c r="U202" i="57" s="1"/>
  <c r="V202" i="57" s="1"/>
  <c r="W202" i="57" s="1"/>
  <c r="X202" i="57" s="1"/>
  <c r="Y202" i="57" s="1"/>
  <c r="Z202" i="57" s="1"/>
  <c r="AA202" i="57" s="1"/>
  <c r="AB202" i="57" s="1"/>
  <c r="U136" i="56"/>
  <c r="R91" i="47" s="1"/>
  <c r="W115" i="56"/>
  <c r="AY121" i="56"/>
  <c r="AP142" i="56" s="1"/>
  <c r="AM97" i="47" s="1"/>
  <c r="AL215" i="57"/>
  <c r="AI102" i="47" s="1"/>
  <c r="AC215" i="57"/>
  <c r="Z102" i="47" s="1"/>
  <c r="AM201" i="57"/>
  <c r="AM200" i="57"/>
  <c r="AL214" i="57"/>
  <c r="AI100" i="47" s="1"/>
  <c r="AM202" i="57"/>
  <c r="AD202" i="57"/>
  <c r="AE202" i="57" s="1"/>
  <c r="AF202" i="57" s="1"/>
  <c r="AG202" i="57" s="1"/>
  <c r="AH202" i="57" s="1"/>
  <c r="AI202" i="57" s="1"/>
  <c r="AJ202" i="57" s="1"/>
  <c r="AK202" i="57" s="1"/>
  <c r="AL202" i="57" s="1"/>
  <c r="AL216" i="57"/>
  <c r="AI101" i="47" s="1"/>
  <c r="AC200" i="57"/>
  <c r="AD200" i="57" s="1"/>
  <c r="AE200" i="57" s="1"/>
  <c r="AF200" i="57" s="1"/>
  <c r="AG200" i="57" s="1"/>
  <c r="AH200" i="57" s="1"/>
  <c r="AI200" i="57" s="1"/>
  <c r="AJ200" i="57" s="1"/>
  <c r="AK200" i="57" s="1"/>
  <c r="AL200" i="57" s="1"/>
  <c r="AB214" i="57"/>
  <c r="Y100" i="47" s="1"/>
  <c r="T200" i="57"/>
  <c r="U200" i="57" s="1"/>
  <c r="V200" i="57" s="1"/>
  <c r="W200" i="57" s="1"/>
  <c r="X200" i="57" s="1"/>
  <c r="Y200" i="57" s="1"/>
  <c r="Z200" i="57" s="1"/>
  <c r="AA200" i="57" s="1"/>
  <c r="AB200" i="57" s="1"/>
  <c r="S214" i="57"/>
  <c r="P100" i="47" s="1"/>
  <c r="AH50" i="29"/>
  <c r="AI50" i="29" s="1"/>
  <c r="U133" i="56"/>
  <c r="R88" i="47" s="1"/>
  <c r="W112" i="56"/>
  <c r="AF108" i="47"/>
  <c r="AJ51" i="29"/>
  <c r="AI108" i="47"/>
  <c r="AD85" i="47"/>
  <c r="AH49" i="29"/>
  <c r="AE84" i="47"/>
  <c r="AI48" i="29"/>
  <c r="AM228" i="57"/>
  <c r="AN228" i="57" s="1"/>
  <c r="AO228" i="57" s="1"/>
  <c r="AP228" i="57" s="1"/>
  <c r="AQ228" i="57" s="1"/>
  <c r="AR228" i="57" s="1"/>
  <c r="AS228" i="57" s="1"/>
  <c r="AT228" i="57" s="1"/>
  <c r="AU228" i="57" s="1"/>
  <c r="AV228" i="57" s="1"/>
  <c r="AW228" i="57" s="1"/>
  <c r="AX228" i="57" s="1"/>
  <c r="W89" i="56"/>
  <c r="V140" i="56"/>
  <c r="S95" i="47" s="1"/>
  <c r="X119" i="56"/>
  <c r="W141" i="56"/>
  <c r="T96" i="47" s="1"/>
  <c r="Y120" i="56"/>
  <c r="AE76" i="56"/>
  <c r="AE79" i="56" s="1"/>
  <c r="AE80" i="56" s="1"/>
  <c r="AE182" i="56"/>
  <c r="AH144" i="56"/>
  <c r="AE99" i="47" s="1"/>
  <c r="AJ123" i="56"/>
  <c r="X80" i="56"/>
  <c r="X96" i="56"/>
  <c r="X31" i="55"/>
  <c r="T129" i="47"/>
  <c r="Y33" i="55"/>
  <c r="U130" i="47"/>
  <c r="AJ79" i="56"/>
  <c r="AJ80" i="56" s="1"/>
  <c r="V134" i="56"/>
  <c r="S89" i="47" s="1"/>
  <c r="X113" i="56"/>
  <c r="X100" i="56"/>
  <c r="X84" i="56"/>
  <c r="AE137" i="56"/>
  <c r="AB92" i="47" s="1"/>
  <c r="AG116" i="56"/>
  <c r="AF132" i="56"/>
  <c r="AC87" i="47" s="1"/>
  <c r="AH111" i="56"/>
  <c r="V137" i="56"/>
  <c r="S92" i="47" s="1"/>
  <c r="X116" i="56"/>
  <c r="AF181" i="56"/>
  <c r="V182" i="56"/>
  <c r="G173" i="57"/>
  <c r="G176" i="57"/>
  <c r="G177" i="57"/>
  <c r="G179" i="57"/>
  <c r="G178" i="57"/>
  <c r="G175" i="57"/>
  <c r="V135" i="56"/>
  <c r="S90" i="47" s="1"/>
  <c r="X114" i="56"/>
  <c r="Z28" i="55"/>
  <c r="V127" i="47"/>
  <c r="T135" i="47"/>
  <c r="X27" i="55"/>
  <c r="X77" i="56"/>
  <c r="X93" i="56"/>
  <c r="X94" i="56"/>
  <c r="X78" i="56"/>
  <c r="X144" i="56"/>
  <c r="U99" i="47" s="1"/>
  <c r="Z123" i="56"/>
  <c r="H60" i="57"/>
  <c r="G60" i="57"/>
  <c r="X36" i="55"/>
  <c r="T133" i="47"/>
  <c r="X183" i="56"/>
  <c r="R89" i="56"/>
  <c r="X95" i="56"/>
  <c r="X79" i="56"/>
  <c r="Q60" i="57"/>
  <c r="K60" i="57" s="1"/>
  <c r="K59" i="57"/>
  <c r="Y32" i="55"/>
  <c r="U131" i="47"/>
  <c r="Y37" i="55"/>
  <c r="U134" i="47"/>
  <c r="AE135" i="56"/>
  <c r="AB90" i="47" s="1"/>
  <c r="AG114" i="56"/>
  <c r="AF141" i="56"/>
  <c r="AC96" i="47" s="1"/>
  <c r="AH120" i="56"/>
  <c r="X85" i="56"/>
  <c r="X101" i="56"/>
  <c r="G174" i="57"/>
  <c r="X97" i="56"/>
  <c r="X81" i="56"/>
  <c r="AE133" i="56"/>
  <c r="AB88" i="47" s="1"/>
  <c r="AG112" i="56"/>
  <c r="AE136" i="56"/>
  <c r="AB91" i="47" s="1"/>
  <c r="AG115" i="56"/>
  <c r="Y34" i="55"/>
  <c r="U128" i="47"/>
  <c r="X83" i="56"/>
  <c r="X99" i="56"/>
  <c r="AE139" i="56"/>
  <c r="AB94" i="47" s="1"/>
  <c r="AG118" i="56"/>
  <c r="AE143" i="56"/>
  <c r="AB98" i="47" s="1"/>
  <c r="AG122" i="56"/>
  <c r="AE138" i="56"/>
  <c r="AB93" i="47" s="1"/>
  <c r="AG117" i="56"/>
  <c r="X98" i="56"/>
  <c r="X82" i="56"/>
  <c r="AP181" i="56"/>
  <c r="AN26" i="35"/>
  <c r="AJ7" i="47"/>
  <c r="AJ5" i="47"/>
  <c r="AN22" i="35"/>
  <c r="AN24" i="35"/>
  <c r="AJ9" i="47"/>
  <c r="AO25" i="35"/>
  <c r="AK6" i="47"/>
  <c r="AN23" i="35"/>
  <c r="AJ8" i="47"/>
  <c r="T216" i="57" l="1"/>
  <c r="Q101" i="47" s="1"/>
  <c r="P101" i="47"/>
  <c r="T215" i="57"/>
  <c r="P102" i="47"/>
  <c r="W181" i="56"/>
  <c r="S97" i="47"/>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X122" i="56"/>
  <c r="Y122" i="56" s="1"/>
  <c r="AF134" i="56"/>
  <c r="AC89" i="47" s="1"/>
  <c r="G181" i="57"/>
  <c r="G182" i="57" s="1"/>
  <c r="AN200" i="57"/>
  <c r="AO200" i="57" s="1"/>
  <c r="AP200" i="57" s="1"/>
  <c r="AQ200" i="57" s="1"/>
  <c r="AM230" i="57"/>
  <c r="AN230" i="57" s="1"/>
  <c r="AO230" i="57" s="1"/>
  <c r="AP230" i="57" s="1"/>
  <c r="AQ230" i="57" s="1"/>
  <c r="AR230" i="57" s="1"/>
  <c r="AS230" i="57" s="1"/>
  <c r="AT230" i="57" s="1"/>
  <c r="AU230" i="57" s="1"/>
  <c r="AH183" i="56"/>
  <c r="Y117" i="56"/>
  <c r="X138" i="56" s="1"/>
  <c r="U93" i="47" s="1"/>
  <c r="AH121" i="56"/>
  <c r="AI121" i="56" s="1"/>
  <c r="AY122" i="56"/>
  <c r="AP143" i="56" s="1"/>
  <c r="AM98" i="47" s="1"/>
  <c r="X118" i="56"/>
  <c r="V139" i="56"/>
  <c r="S94" i="47" s="1"/>
  <c r="AN202" i="57"/>
  <c r="AO202" i="57" s="1"/>
  <c r="AP202" i="57" s="1"/>
  <c r="AQ202" i="57" s="1"/>
  <c r="Y111" i="56"/>
  <c r="X132" i="56" s="1"/>
  <c r="U87" i="47" s="1"/>
  <c r="AY119" i="56"/>
  <c r="AP140" i="56" s="1"/>
  <c r="AM95" i="47" s="1"/>
  <c r="X121" i="56"/>
  <c r="AF140" i="56"/>
  <c r="AC95" i="47" s="1"/>
  <c r="AX112" i="56"/>
  <c r="AY112" i="56" s="1"/>
  <c r="AP133" i="56" s="1"/>
  <c r="AM88" i="47" s="1"/>
  <c r="AQ181" i="56"/>
  <c r="AY117" i="56"/>
  <c r="AP138" i="56" s="1"/>
  <c r="AM93" i="47" s="1"/>
  <c r="AY116" i="56"/>
  <c r="AP137" i="56" s="1"/>
  <c r="AM92" i="47" s="1"/>
  <c r="AO137" i="56"/>
  <c r="AL92" i="47" s="1"/>
  <c r="AN201" i="57"/>
  <c r="AO201" i="57" s="1"/>
  <c r="AP201" i="57" s="1"/>
  <c r="AQ201" i="57" s="1"/>
  <c r="AC216" i="57"/>
  <c r="AN143" i="56"/>
  <c r="AE86" i="47"/>
  <c r="V136" i="56"/>
  <c r="S91" i="47" s="1"/>
  <c r="X115" i="56"/>
  <c r="AC214" i="57"/>
  <c r="AD215" i="57"/>
  <c r="AA102" i="47" s="1"/>
  <c r="T214" i="57"/>
  <c r="Q100" i="47" s="1"/>
  <c r="V133" i="56"/>
  <c r="S88" i="47" s="1"/>
  <c r="X112" i="56"/>
  <c r="AG108" i="47"/>
  <c r="AK51" i="29"/>
  <c r="AH108" i="47" s="1"/>
  <c r="AF84" i="47"/>
  <c r="AJ48" i="29"/>
  <c r="AE85" i="47"/>
  <c r="AI49" i="29"/>
  <c r="AF86" i="47"/>
  <c r="AJ50" i="29"/>
  <c r="X89" i="56"/>
  <c r="Z32" i="55"/>
  <c r="V131" i="47"/>
  <c r="Y144" i="56"/>
  <c r="V99" i="47" s="1"/>
  <c r="AA123" i="56"/>
  <c r="Y183" i="56"/>
  <c r="AG132" i="56"/>
  <c r="AD87" i="47" s="1"/>
  <c r="AI111" i="56"/>
  <c r="AG140" i="56"/>
  <c r="AD95" i="47" s="1"/>
  <c r="AI119" i="56"/>
  <c r="Z33" i="55"/>
  <c r="V130" i="47"/>
  <c r="W137" i="56"/>
  <c r="T92" i="47" s="1"/>
  <c r="Y116" i="56"/>
  <c r="AG181" i="56"/>
  <c r="W140" i="56"/>
  <c r="T95" i="47" s="1"/>
  <c r="Y119" i="56"/>
  <c r="AF138" i="56"/>
  <c r="AC93" i="47" s="1"/>
  <c r="AH117" i="56"/>
  <c r="AP182" i="56"/>
  <c r="AK79" i="56"/>
  <c r="AK80" i="56" s="1"/>
  <c r="Y27" i="55"/>
  <c r="U135" i="47"/>
  <c r="W134" i="56"/>
  <c r="T89" i="47" s="1"/>
  <c r="Y113" i="56"/>
  <c r="AF143" i="56"/>
  <c r="AC98" i="47" s="1"/>
  <c r="AH122" i="56"/>
  <c r="V128" i="47"/>
  <c r="Z34" i="55"/>
  <c r="AG134" i="56"/>
  <c r="AD89" i="47" s="1"/>
  <c r="AI113" i="56"/>
  <c r="AF137" i="56"/>
  <c r="AC92" i="47" s="1"/>
  <c r="AH116" i="56"/>
  <c r="W135" i="56"/>
  <c r="T90" i="47" s="1"/>
  <c r="Y114" i="56"/>
  <c r="AF182" i="56"/>
  <c r="Y36" i="55"/>
  <c r="U133" i="47"/>
  <c r="Y31" i="55"/>
  <c r="U129" i="47"/>
  <c r="AG141" i="56"/>
  <c r="AD96" i="47" s="1"/>
  <c r="AI120" i="56"/>
  <c r="AF139" i="56"/>
  <c r="AC94" i="47" s="1"/>
  <c r="AH118" i="56"/>
  <c r="AA28" i="55"/>
  <c r="W127" i="47"/>
  <c r="AF133" i="56"/>
  <c r="AC88" i="47" s="1"/>
  <c r="AH112" i="56"/>
  <c r="AF136" i="56"/>
  <c r="AC91" i="47" s="1"/>
  <c r="AH115" i="56"/>
  <c r="AF135" i="56"/>
  <c r="AC90" i="47" s="1"/>
  <c r="AH114" i="56"/>
  <c r="W182" i="56"/>
  <c r="X141" i="56"/>
  <c r="U96" i="47" s="1"/>
  <c r="Z120" i="56"/>
  <c r="AI183" i="56"/>
  <c r="V134" i="47"/>
  <c r="Z37" i="55"/>
  <c r="AI144" i="56"/>
  <c r="AF99" i="47" s="1"/>
  <c r="AK123" i="56"/>
  <c r="AO23" i="35"/>
  <c r="AK8" i="47"/>
  <c r="AP25" i="35"/>
  <c r="AM6" i="47" s="1"/>
  <c r="AL6" i="47"/>
  <c r="AK5" i="47"/>
  <c r="AO22" i="35"/>
  <c r="AK9" i="47"/>
  <c r="AO24" i="35"/>
  <c r="AO26" i="35"/>
  <c r="AK7" i="47"/>
  <c r="U216" i="57" l="1"/>
  <c r="R101" i="47" s="1"/>
  <c r="AD214" i="57"/>
  <c r="AA100" i="47" s="1"/>
  <c r="Z100" i="47"/>
  <c r="AO182" i="56"/>
  <c r="AK98" i="47"/>
  <c r="AD216" i="57"/>
  <c r="Z101" i="47"/>
  <c r="U215" i="57"/>
  <c r="Q102" i="47"/>
  <c r="AO245" i="58"/>
  <c r="Z117" i="56"/>
  <c r="AA117" i="56" s="1"/>
  <c r="AP224" i="58"/>
  <c r="AP226" i="58"/>
  <c r="AP221" i="58"/>
  <c r="AP220" i="58"/>
  <c r="AP223" i="58"/>
  <c r="AU24" i="58"/>
  <c r="AG142" i="56"/>
  <c r="AD97" i="47" s="1"/>
  <c r="W143" i="56"/>
  <c r="T98" i="47" s="1"/>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Z111" i="56"/>
  <c r="Y132" i="56" s="1"/>
  <c r="V87" i="47" s="1"/>
  <c r="AQ182" i="56"/>
  <c r="Y118" i="56"/>
  <c r="W139" i="56"/>
  <c r="T94" i="47" s="1"/>
  <c r="AO133" i="56"/>
  <c r="AL88" i="47" s="1"/>
  <c r="W142" i="56"/>
  <c r="T97" i="47" s="1"/>
  <c r="Y121" i="56"/>
  <c r="Y115" i="56"/>
  <c r="W136" i="56"/>
  <c r="T91" i="47" s="1"/>
  <c r="AE215" i="57"/>
  <c r="AB102" i="47" s="1"/>
  <c r="U214" i="57"/>
  <c r="R100" i="47" s="1"/>
  <c r="Y112" i="56"/>
  <c r="W133" i="56"/>
  <c r="T88" i="47" s="1"/>
  <c r="AG86" i="47"/>
  <c r="AK50" i="29"/>
  <c r="AH86" i="47" s="1"/>
  <c r="AF85" i="47"/>
  <c r="AJ49" i="29"/>
  <c r="AK48" i="29"/>
  <c r="AH84" i="47" s="1"/>
  <c r="AG84" i="47"/>
  <c r="AJ183" i="56"/>
  <c r="AH142" i="56"/>
  <c r="AE97" i="47" s="1"/>
  <c r="AJ121" i="56"/>
  <c r="X143" i="56"/>
  <c r="U98" i="47" s="1"/>
  <c r="Z122" i="56"/>
  <c r="Z36" i="55"/>
  <c r="V133" i="47"/>
  <c r="AG138" i="56"/>
  <c r="AD93" i="47" s="1"/>
  <c r="AI117" i="56"/>
  <c r="AH140" i="56"/>
  <c r="AE95" i="47" s="1"/>
  <c r="AJ119" i="56"/>
  <c r="X135" i="56"/>
  <c r="U90" i="47" s="1"/>
  <c r="Z114" i="56"/>
  <c r="AH134" i="56"/>
  <c r="AE89" i="47" s="1"/>
  <c r="AJ113" i="56"/>
  <c r="AA37" i="55"/>
  <c r="W134" i="47"/>
  <c r="X137" i="56"/>
  <c r="U92" i="47" s="1"/>
  <c r="Z116" i="56"/>
  <c r="V129" i="47"/>
  <c r="Z31" i="55"/>
  <c r="X140" i="56"/>
  <c r="U95" i="47" s="1"/>
  <c r="Z119" i="56"/>
  <c r="Z144" i="56"/>
  <c r="W99" i="47" s="1"/>
  <c r="AB123" i="56"/>
  <c r="AA144" i="56" s="1"/>
  <c r="X99" i="47" s="1"/>
  <c r="AA34" i="55"/>
  <c r="W128" i="47"/>
  <c r="Z183" i="56"/>
  <c r="AJ144" i="56"/>
  <c r="AG99" i="47" s="1"/>
  <c r="AL123" i="56"/>
  <c r="AK144" i="56" s="1"/>
  <c r="AH99" i="47" s="1"/>
  <c r="V135" i="47"/>
  <c r="Z27" i="55"/>
  <c r="AH132" i="56"/>
  <c r="AE87" i="47" s="1"/>
  <c r="AJ111" i="56"/>
  <c r="AG139" i="56"/>
  <c r="AD94" i="47" s="1"/>
  <c r="AI118" i="56"/>
  <c r="AG137" i="56"/>
  <c r="AD92" i="47" s="1"/>
  <c r="AI116" i="56"/>
  <c r="AG143" i="56"/>
  <c r="AD98" i="47" s="1"/>
  <c r="AI122" i="56"/>
  <c r="AA32" i="55"/>
  <c r="W131" i="47"/>
  <c r="X127" i="47"/>
  <c r="AB28" i="55"/>
  <c r="AG182" i="56"/>
  <c r="AG135" i="56"/>
  <c r="AD90" i="47" s="1"/>
  <c r="AI114" i="56"/>
  <c r="AG136" i="56"/>
  <c r="AD91" i="47" s="1"/>
  <c r="AI115" i="56"/>
  <c r="AG133" i="56"/>
  <c r="AD88" i="47" s="1"/>
  <c r="AI112" i="56"/>
  <c r="AH141" i="56"/>
  <c r="AE96" i="47" s="1"/>
  <c r="AJ120" i="56"/>
  <c r="X134" i="56"/>
  <c r="U89" i="47" s="1"/>
  <c r="Z113" i="56"/>
  <c r="Y141" i="56"/>
  <c r="V96" i="47" s="1"/>
  <c r="AA120" i="56"/>
  <c r="AA33" i="55"/>
  <c r="W130" i="47"/>
  <c r="AL7" i="47"/>
  <c r="AP26" i="35"/>
  <c r="AM7" i="47" s="1"/>
  <c r="AP24" i="35"/>
  <c r="AM9" i="47" s="1"/>
  <c r="AL9" i="47"/>
  <c r="AP22" i="35"/>
  <c r="AM5" i="47" s="1"/>
  <c r="AL5" i="47"/>
  <c r="AP23" i="35"/>
  <c r="AM8" i="47" s="1"/>
  <c r="AL8" i="47"/>
  <c r="AH181" i="56" l="1"/>
  <c r="AE214" i="57"/>
  <c r="AB100" i="47" s="1"/>
  <c r="V216" i="57"/>
  <c r="W216" i="57" s="1"/>
  <c r="T101" i="47" s="1"/>
  <c r="Y138" i="56"/>
  <c r="V93" i="47" s="1"/>
  <c r="R102" i="47"/>
  <c r="V215" i="57"/>
  <c r="AE216" i="57"/>
  <c r="AA101" i="47"/>
  <c r="X182" i="56"/>
  <c r="AP245" i="58"/>
  <c r="AA111" i="56"/>
  <c r="Z132" i="56" s="1"/>
  <c r="W87" i="47" s="1"/>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X139" i="56"/>
  <c r="U94" i="47" s="1"/>
  <c r="Z118" i="56"/>
  <c r="X142" i="56"/>
  <c r="U97" i="47" s="1"/>
  <c r="Z121" i="56"/>
  <c r="X181" i="56"/>
  <c r="X136" i="56"/>
  <c r="U91" i="47" s="1"/>
  <c r="Z115" i="56"/>
  <c r="AF215" i="57"/>
  <c r="AC102" i="47" s="1"/>
  <c r="V214" i="57"/>
  <c r="S100" i="47" s="1"/>
  <c r="Z112" i="56"/>
  <c r="X133" i="56"/>
  <c r="U88" i="47" s="1"/>
  <c r="AK49" i="29"/>
  <c r="AH85" i="47" s="1"/>
  <c r="AG85" i="47"/>
  <c r="AB33" i="55"/>
  <c r="X130" i="47"/>
  <c r="AA183" i="56"/>
  <c r="AB37" i="55"/>
  <c r="X134" i="47"/>
  <c r="AH136" i="56"/>
  <c r="AE91" i="47" s="1"/>
  <c r="AJ115" i="56"/>
  <c r="AH143" i="56"/>
  <c r="AE98" i="47" s="1"/>
  <c r="AJ122" i="56"/>
  <c r="AA27" i="55"/>
  <c r="W135" i="47"/>
  <c r="AA31" i="55"/>
  <c r="W129" i="47"/>
  <c r="AI140" i="56"/>
  <c r="AF95" i="47" s="1"/>
  <c r="AK119" i="56"/>
  <c r="AH182" i="56"/>
  <c r="AB34" i="55"/>
  <c r="X128" i="47"/>
  <c r="Z141" i="56"/>
  <c r="W96" i="47" s="1"/>
  <c r="AB120" i="56"/>
  <c r="AA141" i="56" s="1"/>
  <c r="X96" i="47" s="1"/>
  <c r="AH137" i="56"/>
  <c r="AE92" i="47" s="1"/>
  <c r="AJ116" i="56"/>
  <c r="AB183" i="56"/>
  <c r="AI141" i="56"/>
  <c r="AF96" i="47" s="1"/>
  <c r="AK120" i="56"/>
  <c r="AH135" i="56"/>
  <c r="AE90" i="47" s="1"/>
  <c r="AJ114" i="56"/>
  <c r="AI132" i="56"/>
  <c r="AF87" i="47" s="1"/>
  <c r="AK111" i="56"/>
  <c r="AL183" i="56"/>
  <c r="Y143" i="56"/>
  <c r="V98" i="47" s="1"/>
  <c r="AA122" i="56"/>
  <c r="AK183" i="56"/>
  <c r="Y182" i="56"/>
  <c r="Y134" i="56"/>
  <c r="V89" i="47" s="1"/>
  <c r="AA113" i="56"/>
  <c r="Z138" i="56"/>
  <c r="W93" i="47" s="1"/>
  <c r="AB117" i="56"/>
  <c r="AA138" i="56" s="1"/>
  <c r="X93" i="47" s="1"/>
  <c r="AI134" i="56"/>
  <c r="AF89" i="47" s="1"/>
  <c r="AK113" i="56"/>
  <c r="AH138" i="56"/>
  <c r="AE93" i="47" s="1"/>
  <c r="AJ117" i="56"/>
  <c r="AI142" i="56"/>
  <c r="AF97" i="47" s="1"/>
  <c r="AK121" i="56"/>
  <c r="AB32" i="55"/>
  <c r="X131" i="47"/>
  <c r="AI181" i="56"/>
  <c r="AH133" i="56"/>
  <c r="AE88" i="47" s="1"/>
  <c r="AJ112" i="56"/>
  <c r="AH139" i="56"/>
  <c r="AE94" i="47" s="1"/>
  <c r="AJ118" i="56"/>
  <c r="Y140" i="56"/>
  <c r="V95" i="47" s="1"/>
  <c r="AA119" i="56"/>
  <c r="Y137" i="56"/>
  <c r="V92" i="47" s="1"/>
  <c r="AA116" i="56"/>
  <c r="Y135" i="56"/>
  <c r="V90" i="47" s="1"/>
  <c r="AA114" i="56"/>
  <c r="AC28" i="55"/>
  <c r="Y127" i="47"/>
  <c r="AA36" i="55"/>
  <c r="W133" i="47"/>
  <c r="S101" i="47" l="1"/>
  <c r="AF214" i="57"/>
  <c r="AB111" i="56"/>
  <c r="AA132" i="56" s="1"/>
  <c r="X87" i="47" s="1"/>
  <c r="AB101" i="47"/>
  <c r="AF216" i="57"/>
  <c r="S102" i="47"/>
  <c r="W215" i="57"/>
  <c r="X216" i="57"/>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Y139" i="56"/>
  <c r="V94" i="47" s="1"/>
  <c r="AA118" i="56"/>
  <c r="Y142" i="56"/>
  <c r="V97" i="47" s="1"/>
  <c r="AA121" i="56"/>
  <c r="Y181" i="56"/>
  <c r="AA115" i="56"/>
  <c r="Y136" i="56"/>
  <c r="V91" i="47" s="1"/>
  <c r="AG215" i="57"/>
  <c r="W214" i="57"/>
  <c r="T100" i="47" s="1"/>
  <c r="AA112" i="56"/>
  <c r="Y133" i="56"/>
  <c r="V88" i="47" s="1"/>
  <c r="AB36" i="55"/>
  <c r="X133" i="47"/>
  <c r="AJ181" i="56"/>
  <c r="AI182" i="56"/>
  <c r="Z143" i="56"/>
  <c r="W98" i="47" s="1"/>
  <c r="AB122" i="56"/>
  <c r="AA143" i="56" s="1"/>
  <c r="X98" i="47" s="1"/>
  <c r="AI135" i="56"/>
  <c r="AF90" i="47" s="1"/>
  <c r="AK114" i="56"/>
  <c r="AI143" i="56"/>
  <c r="AF98" i="47" s="1"/>
  <c r="AK122" i="56"/>
  <c r="Z182" i="56"/>
  <c r="Z140" i="56"/>
  <c r="W95" i="47" s="1"/>
  <c r="AB119" i="56"/>
  <c r="AA140" i="56" s="1"/>
  <c r="X95" i="47" s="1"/>
  <c r="AJ141" i="56"/>
  <c r="AG96" i="47" s="1"/>
  <c r="AL120" i="56"/>
  <c r="AK141" i="56" s="1"/>
  <c r="AH96" i="47" s="1"/>
  <c r="Z135" i="56"/>
  <c r="W90" i="47" s="1"/>
  <c r="AB114" i="56"/>
  <c r="AA135" i="56" s="1"/>
  <c r="X90" i="47" s="1"/>
  <c r="AB31" i="55"/>
  <c r="X129" i="47"/>
  <c r="AC37" i="55"/>
  <c r="Y134" i="47"/>
  <c r="AI133" i="56"/>
  <c r="AF88" i="47" s="1"/>
  <c r="AK112" i="56"/>
  <c r="AJ134" i="56"/>
  <c r="AG89" i="47" s="1"/>
  <c r="AL113" i="56"/>
  <c r="AK134" i="56" s="1"/>
  <c r="AH89" i="47" s="1"/>
  <c r="AJ132" i="56"/>
  <c r="AG87" i="47" s="1"/>
  <c r="AL111" i="56"/>
  <c r="AK132" i="56" s="1"/>
  <c r="AH87" i="47" s="1"/>
  <c r="AI136" i="56"/>
  <c r="AF91" i="47" s="1"/>
  <c r="AK115" i="56"/>
  <c r="AI139" i="56"/>
  <c r="AF94" i="47" s="1"/>
  <c r="AK118" i="56"/>
  <c r="AI138" i="56"/>
  <c r="AF93" i="47" s="1"/>
  <c r="AK117" i="56"/>
  <c r="Z137" i="56"/>
  <c r="W92" i="47" s="1"/>
  <c r="AB116" i="56"/>
  <c r="AA137" i="56" s="1"/>
  <c r="X92" i="47" s="1"/>
  <c r="AC32" i="55"/>
  <c r="Y131" i="47"/>
  <c r="AB27" i="55"/>
  <c r="X135" i="47"/>
  <c r="Y130" i="47"/>
  <c r="AC33" i="55"/>
  <c r="AJ142" i="56"/>
  <c r="AG97" i="47" s="1"/>
  <c r="AL121" i="56"/>
  <c r="AK142" i="56" s="1"/>
  <c r="AH97" i="47" s="1"/>
  <c r="AI137" i="56"/>
  <c r="AF92" i="47" s="1"/>
  <c r="AK116" i="56"/>
  <c r="AJ140" i="56"/>
  <c r="AG95" i="47" s="1"/>
  <c r="AL119" i="56"/>
  <c r="AK140" i="56" s="1"/>
  <c r="AH95" i="47" s="1"/>
  <c r="Z134" i="56"/>
  <c r="W89" i="47" s="1"/>
  <c r="AB113" i="56"/>
  <c r="AA134" i="56" s="1"/>
  <c r="X89" i="47" s="1"/>
  <c r="AD28" i="55"/>
  <c r="Z127" i="47"/>
  <c r="AC34" i="55"/>
  <c r="Y128" i="47"/>
  <c r="AC100" i="47" l="1"/>
  <c r="AG214" i="57"/>
  <c r="AS221" i="58"/>
  <c r="Y216" i="57"/>
  <c r="U101" i="47"/>
  <c r="X215" i="57"/>
  <c r="T102" i="47"/>
  <c r="AH215" i="57"/>
  <c r="AE102" i="47" s="1"/>
  <c r="AD102" i="47"/>
  <c r="AC101" i="47"/>
  <c r="AG216" i="57"/>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B118" i="56"/>
  <c r="AA139" i="56" s="1"/>
  <c r="X94" i="47" s="1"/>
  <c r="Z139" i="56"/>
  <c r="W94" i="47" s="1"/>
  <c r="Z142" i="56"/>
  <c r="W97" i="47" s="1"/>
  <c r="AB121" i="56"/>
  <c r="AA142" i="56" s="1"/>
  <c r="X97" i="47" s="1"/>
  <c r="Z181" i="56"/>
  <c r="Z136" i="56"/>
  <c r="W91" i="47" s="1"/>
  <c r="AB115" i="56"/>
  <c r="AA136" i="56" s="1"/>
  <c r="X91" i="47" s="1"/>
  <c r="X214" i="57"/>
  <c r="U100" i="47" s="1"/>
  <c r="AB112" i="56"/>
  <c r="AA133" i="56" s="1"/>
  <c r="X88" i="47" s="1"/>
  <c r="Z133" i="56"/>
  <c r="W88" i="47" s="1"/>
  <c r="AD34" i="55"/>
  <c r="Z128" i="47"/>
  <c r="AD32" i="55"/>
  <c r="Z131" i="47"/>
  <c r="AC31" i="55"/>
  <c r="Y129" i="47"/>
  <c r="AJ138" i="56"/>
  <c r="AG93" i="47" s="1"/>
  <c r="AL117" i="56"/>
  <c r="AK138" i="56" s="1"/>
  <c r="AH93" i="47" s="1"/>
  <c r="AB182" i="56"/>
  <c r="AJ139" i="56"/>
  <c r="AG94" i="47" s="1"/>
  <c r="AL118" i="56"/>
  <c r="AK139" i="56" s="1"/>
  <c r="AH94" i="47" s="1"/>
  <c r="AA182" i="56"/>
  <c r="AJ136" i="56"/>
  <c r="AG91" i="47" s="1"/>
  <c r="AL115" i="56"/>
  <c r="AK136" i="56" s="1"/>
  <c r="AH91" i="47" s="1"/>
  <c r="AJ133" i="56"/>
  <c r="AG88" i="47" s="1"/>
  <c r="AL112" i="56"/>
  <c r="AK133" i="56" s="1"/>
  <c r="AH88" i="47" s="1"/>
  <c r="AJ143" i="56"/>
  <c r="AG98" i="47" s="1"/>
  <c r="AL122" i="56"/>
  <c r="AK143" i="56" s="1"/>
  <c r="AH98" i="47" s="1"/>
  <c r="AJ182" i="56"/>
  <c r="AJ137" i="56"/>
  <c r="AG92" i="47" s="1"/>
  <c r="AL116" i="56"/>
  <c r="AK137" i="56" s="1"/>
  <c r="AH92" i="47" s="1"/>
  <c r="AL181" i="56"/>
  <c r="AE28" i="55"/>
  <c r="AA127" i="47"/>
  <c r="AK181" i="56"/>
  <c r="AD33" i="55"/>
  <c r="Z130" i="47"/>
  <c r="AJ135" i="56"/>
  <c r="AG90" i="47" s="1"/>
  <c r="AL114" i="56"/>
  <c r="AK135" i="56" s="1"/>
  <c r="AH90" i="47" s="1"/>
  <c r="AC27" i="55"/>
  <c r="Y135" i="47"/>
  <c r="AD37" i="55"/>
  <c r="Z134" i="47"/>
  <c r="AC36" i="55"/>
  <c r="Y133" i="47"/>
  <c r="AI215" i="57" l="1"/>
  <c r="AF102" i="47" s="1"/>
  <c r="AD100" i="47"/>
  <c r="AH214" i="57"/>
  <c r="AH216" i="57"/>
  <c r="AD101" i="47"/>
  <c r="U102" i="47"/>
  <c r="Y215" i="57"/>
  <c r="V101" i="47"/>
  <c r="Z216" i="57"/>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B181" i="56"/>
  <c r="AA181" i="56"/>
  <c r="Y214" i="57"/>
  <c r="V100" i="47" s="1"/>
  <c r="AE37" i="55"/>
  <c r="AA134" i="47"/>
  <c r="AL182" i="56"/>
  <c r="AD27" i="55"/>
  <c r="Z135" i="47"/>
  <c r="AF28" i="55"/>
  <c r="AB127" i="47"/>
  <c r="AK182" i="56"/>
  <c r="AD31" i="55"/>
  <c r="Z129" i="47"/>
  <c r="AE33" i="55"/>
  <c r="AA130" i="47"/>
  <c r="AE32" i="55"/>
  <c r="AA131" i="47"/>
  <c r="AD36" i="55"/>
  <c r="Z133" i="47"/>
  <c r="AA128" i="47"/>
  <c r="AE34" i="55"/>
  <c r="AJ215" i="57" l="1"/>
  <c r="AG102" i="47" s="1"/>
  <c r="AE100" i="47"/>
  <c r="AI214" i="57"/>
  <c r="AA216" i="57"/>
  <c r="X101" i="47" s="1"/>
  <c r="W101" i="47"/>
  <c r="Z215" i="57"/>
  <c r="V102" i="47"/>
  <c r="AE101" i="47"/>
  <c r="AI216" i="57"/>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Z214" i="57"/>
  <c r="W100" i="47" s="1"/>
  <c r="AF32" i="55"/>
  <c r="AB131" i="47"/>
  <c r="AF34" i="55"/>
  <c r="AB128" i="47"/>
  <c r="AG28" i="55"/>
  <c r="AC127" i="47"/>
  <c r="AE27" i="55"/>
  <c r="AA135" i="47"/>
  <c r="AE31" i="55"/>
  <c r="AA129" i="47"/>
  <c r="AF33" i="55"/>
  <c r="AB130" i="47"/>
  <c r="AE36" i="55"/>
  <c r="AA133" i="47"/>
  <c r="AF37" i="55"/>
  <c r="AB134" i="47"/>
  <c r="AK215" i="57" l="1"/>
  <c r="AH102" i="47" s="1"/>
  <c r="AF100" i="47"/>
  <c r="AJ214" i="57"/>
  <c r="AF101" i="47"/>
  <c r="AJ216" i="57"/>
  <c r="W102" i="47"/>
  <c r="AA215" i="57"/>
  <c r="X102" i="47" s="1"/>
  <c r="AV220" i="58"/>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N258" i="58"/>
  <c r="AO248" i="58"/>
  <c r="AK109" i="47"/>
  <c r="AK117" i="47"/>
  <c r="AO253" i="58"/>
  <c r="AO255" i="58"/>
  <c r="AK116" i="47"/>
  <c r="AO251" i="58"/>
  <c r="AK113" i="47"/>
  <c r="AV228" i="58"/>
  <c r="AN266" i="58" s="1"/>
  <c r="AO254" i="58"/>
  <c r="AK110" i="47"/>
  <c r="AA214" i="57"/>
  <c r="X100" i="47" s="1"/>
  <c r="AF31" i="55"/>
  <c r="AB129" i="47"/>
  <c r="AG32" i="55"/>
  <c r="AC131" i="47"/>
  <c r="AD127" i="47"/>
  <c r="AH28" i="55"/>
  <c r="AF27" i="55"/>
  <c r="AB135" i="47"/>
  <c r="AC128" i="47"/>
  <c r="AG34" i="55"/>
  <c r="AF36" i="55"/>
  <c r="AB133" i="47"/>
  <c r="AG33" i="55"/>
  <c r="AC130" i="47"/>
  <c r="AC134" i="47"/>
  <c r="AG37" i="55"/>
  <c r="AG100" i="47" l="1"/>
  <c r="AK214" i="57"/>
  <c r="AH100" i="47" s="1"/>
  <c r="AK125" i="47"/>
  <c r="AK216" i="57"/>
  <c r="AH101" i="47" s="1"/>
  <c r="AG101"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L118" i="47" l="1"/>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31" i="55" l="1"/>
  <c r="AE129" i="47"/>
  <c r="AF134" i="47"/>
  <c r="AJ37" i="55"/>
  <c r="AJ34" i="55"/>
  <c r="AF128" i="47"/>
  <c r="AE135" i="47"/>
  <c r="AI27" i="55"/>
  <c r="AF131" i="47"/>
  <c r="AJ32" i="55"/>
  <c r="AK28" i="55"/>
  <c r="AG127" i="47"/>
  <c r="AE133" i="47"/>
  <c r="AI36" i="55"/>
  <c r="AF130" i="47"/>
  <c r="AJ33" i="55"/>
  <c r="AK32" i="55" l="1"/>
  <c r="AG131" i="47"/>
  <c r="AF135" i="47"/>
  <c r="AJ27" i="55"/>
  <c r="AK37" i="55"/>
  <c r="AG134" i="47"/>
  <c r="AJ36" i="55"/>
  <c r="AF133" i="47"/>
  <c r="AL28" i="55"/>
  <c r="AH127" i="47"/>
  <c r="AJ31" i="55"/>
  <c r="AF129" i="47"/>
  <c r="AK33" i="55"/>
  <c r="AG130" i="47"/>
  <c r="AG128" i="47"/>
  <c r="AK34" i="55"/>
  <c r="AG135" i="47" l="1"/>
  <c r="AK27" i="55"/>
  <c r="AM28" i="55"/>
  <c r="AI127" i="47"/>
  <c r="AK36" i="55"/>
  <c r="AG133" i="47"/>
  <c r="AL32" i="55"/>
  <c r="AH131" i="47"/>
  <c r="AL33" i="55"/>
  <c r="AH130" i="47"/>
  <c r="AK31" i="55"/>
  <c r="AG129" i="47"/>
  <c r="AL37" i="55"/>
  <c r="AH134" i="47"/>
  <c r="AH128" i="47"/>
  <c r="AL34" i="55"/>
  <c r="AM32" i="55" l="1"/>
  <c r="AI131" i="47"/>
  <c r="AL31" i="55"/>
  <c r="AH129" i="47"/>
  <c r="AL36" i="55"/>
  <c r="AH133" i="47"/>
  <c r="AH135" i="47"/>
  <c r="AL27" i="55"/>
  <c r="AI134" i="47"/>
  <c r="AM37" i="55"/>
  <c r="AI130" i="47"/>
  <c r="AM33" i="55"/>
  <c r="AN28" i="55"/>
  <c r="AJ127" i="47"/>
  <c r="AM34" i="55"/>
  <c r="AI128" i="47"/>
  <c r="AI129" i="47" l="1"/>
  <c r="AM31" i="55"/>
  <c r="AN32" i="55"/>
  <c r="AJ131" i="47"/>
  <c r="AO28" i="55"/>
  <c r="AK127" i="47"/>
  <c r="AN37" i="55"/>
  <c r="AJ134" i="47"/>
  <c r="AI135" i="47"/>
  <c r="AM27" i="55"/>
  <c r="AN34" i="55"/>
  <c r="AJ128" i="47"/>
  <c r="AN33" i="55"/>
  <c r="AJ130" i="47"/>
  <c r="AM36" i="55"/>
  <c r="AI133" i="47"/>
  <c r="AJ129" i="47" l="1"/>
  <c r="AN31" i="55"/>
  <c r="AK128" i="47"/>
  <c r="AO34" i="55"/>
  <c r="AP28" i="55"/>
  <c r="AM127" i="47" s="1"/>
  <c r="AL127" i="47"/>
  <c r="AJ135" i="47"/>
  <c r="AN27" i="55"/>
  <c r="AO32" i="55"/>
  <c r="AK131" i="47"/>
  <c r="AJ133" i="47"/>
  <c r="AN36" i="55"/>
  <c r="AO33" i="55"/>
  <c r="AK130" i="47"/>
  <c r="AO37" i="55"/>
  <c r="AK134" i="47"/>
  <c r="AO27" i="55" l="1"/>
  <c r="AK135" i="47"/>
  <c r="AO36" i="55"/>
  <c r="AK133" i="47"/>
  <c r="AP37" i="55"/>
  <c r="AM134" i="47" s="1"/>
  <c r="AL134" i="47"/>
  <c r="AK129" i="47"/>
  <c r="AO31" i="55"/>
  <c r="AP33" i="55"/>
  <c r="AM130" i="47" s="1"/>
  <c r="AL130" i="47"/>
  <c r="AP32" i="55"/>
  <c r="AM131" i="47" s="1"/>
  <c r="AL131" i="47"/>
  <c r="AP34" i="55"/>
  <c r="AM128" i="47" s="1"/>
  <c r="AL128" i="47"/>
  <c r="AP31" i="55" l="1"/>
  <c r="AM129" i="47" s="1"/>
  <c r="AL129" i="47"/>
  <c r="AP27" i="55"/>
  <c r="AM135" i="47" s="1"/>
  <c r="AL135" i="47"/>
  <c r="AL133" i="47"/>
  <c r="AP36" i="55"/>
  <c r="AM133" i="47" s="1"/>
  <c r="AN216" i="57" l="1"/>
  <c r="AK101" i="47" s="1"/>
  <c r="AN214" i="57"/>
  <c r="AK100" i="47" s="1"/>
  <c r="AN215" i="57"/>
  <c r="AO215" i="57" l="1"/>
  <c r="AL102" i="47" s="1"/>
  <c r="AK102" i="47"/>
  <c r="AO216" i="57"/>
  <c r="AL101" i="47" s="1"/>
  <c r="AM216" i="57"/>
  <c r="AJ101" i="47" s="1"/>
  <c r="AM214" i="57"/>
  <c r="AJ100" i="47" s="1"/>
  <c r="AM215" i="57"/>
  <c r="AJ102" i="47" s="1"/>
  <c r="AO214" i="57"/>
  <c r="AL100" i="47" s="1"/>
  <c r="AP215" i="57" l="1"/>
  <c r="AM102" i="47" s="1"/>
  <c r="AP216" i="57"/>
  <c r="AM101" i="47" s="1"/>
  <c r="AP214" i="57"/>
  <c r="AM100" i="47" s="1"/>
  <c r="AN48" i="29" l="1"/>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N152" i="57" l="1"/>
  <c r="N164" i="57" s="1"/>
  <c r="T139" i="57"/>
  <c r="H139" i="57" s="1"/>
  <c r="H155" i="57" s="1"/>
  <c r="T164" i="57" l="1"/>
  <c r="T152" i="57" s="1"/>
  <c r="H192" i="57"/>
  <c r="H167" i="57"/>
  <c r="T137" i="57"/>
  <c r="H137" i="57"/>
  <c r="H152" i="57" s="1"/>
  <c r="T167" i="57"/>
  <c r="T155" i="57" s="1"/>
  <c r="O139" i="57"/>
  <c r="H164" i="57" l="1"/>
  <c r="H189" i="57"/>
  <c r="O137" i="57"/>
  <c r="I139" i="57"/>
  <c r="O155" i="57"/>
  <c r="P139" i="57"/>
  <c r="Q139" i="57" s="1"/>
  <c r="P234" i="57"/>
  <c r="Q234" i="57" s="1"/>
  <c r="R234" i="57"/>
  <c r="T169" i="57"/>
  <c r="T175" i="57" s="1"/>
  <c r="S206" i="57"/>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P220" i="57"/>
  <c r="M107" i="47" s="1"/>
  <c r="Q206" i="57"/>
  <c r="R206" i="57" s="1"/>
  <c r="R220" i="57"/>
  <c r="O107" i="47" s="1"/>
  <c r="N169" i="57"/>
  <c r="O167" i="57" l="1"/>
  <c r="O152" i="57"/>
  <c r="T174" i="57"/>
  <c r="T176" i="57"/>
  <c r="T172" i="57"/>
  <c r="T179" i="57"/>
  <c r="T177" i="57"/>
  <c r="T173" i="57"/>
  <c r="P155" i="57"/>
  <c r="P137" i="57"/>
  <c r="P152" i="57" s="1"/>
  <c r="J139" i="57"/>
  <c r="T178" i="57"/>
  <c r="I137" i="57"/>
  <c r="Q220" i="57"/>
  <c r="N107" i="47" s="1"/>
  <c r="N172" i="57"/>
  <c r="N174" i="57"/>
  <c r="N179" i="57"/>
  <c r="N176" i="57"/>
  <c r="N177" i="57"/>
  <c r="N173" i="57"/>
  <c r="N175" i="57"/>
  <c r="N178" i="57"/>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S203" i="57"/>
  <c r="R217" i="57"/>
  <c r="O104" i="47" s="1"/>
  <c r="P217" i="57"/>
  <c r="M104" i="47" s="1"/>
  <c r="Q203" i="57"/>
  <c r="R203" i="57" s="1"/>
  <c r="R231" i="57"/>
  <c r="P231" i="57"/>
  <c r="Q231" i="57" s="1"/>
  <c r="H169" i="57"/>
  <c r="T181" i="57" l="1"/>
  <c r="T182" i="57" s="1"/>
  <c r="N181" i="57"/>
  <c r="N182" i="57" s="1"/>
  <c r="P164" i="57"/>
  <c r="P167" i="57"/>
  <c r="O164" i="57"/>
  <c r="Q217" i="57"/>
  <c r="N104" i="47" s="1"/>
  <c r="Q155" i="57"/>
  <c r="Q137" i="57"/>
  <c r="Q152" i="57" s="1"/>
  <c r="K139" i="57"/>
  <c r="H177" i="57"/>
  <c r="H179" i="57"/>
  <c r="H176" i="57"/>
  <c r="H172" i="57"/>
  <c r="H173" i="57"/>
  <c r="H174" i="57"/>
  <c r="H178" i="57"/>
  <c r="H175" i="57"/>
  <c r="J137" i="57"/>
  <c r="H181" i="57" l="1"/>
  <c r="H182" i="57" s="1"/>
  <c r="P169" i="57"/>
  <c r="P174" i="57" s="1"/>
  <c r="Q167" i="57"/>
  <c r="O169" i="57"/>
  <c r="Q164" i="57"/>
  <c r="K137" i="57"/>
  <c r="Q169" i="57" l="1"/>
  <c r="Q178" i="57" s="1"/>
  <c r="P179" i="57"/>
  <c r="P172" i="57"/>
  <c r="P178" i="57"/>
  <c r="P173" i="57"/>
  <c r="P176" i="57"/>
  <c r="P175" i="57"/>
  <c r="P177" i="57"/>
  <c r="O179" i="57"/>
  <c r="Y179" i="57" s="1"/>
  <c r="O172" i="57"/>
  <c r="O175" i="57"/>
  <c r="Y175" i="57" s="1"/>
  <c r="O174" i="57"/>
  <c r="O177" i="57"/>
  <c r="Y177" i="57" s="1"/>
  <c r="O178" i="57"/>
  <c r="Y178" i="57" s="1"/>
  <c r="O176" i="57"/>
  <c r="Y176" i="57" s="1"/>
  <c r="O173" i="57"/>
  <c r="Q174" i="57" l="1"/>
  <c r="Q175" i="57"/>
  <c r="Q172" i="57"/>
  <c r="Q176" i="57"/>
  <c r="Q177" i="57"/>
  <c r="Q179" i="57"/>
  <c r="Q173" i="57"/>
  <c r="O181" i="57"/>
  <c r="O182" i="57" s="1"/>
  <c r="P181" i="57"/>
  <c r="P182" i="57" s="1"/>
  <c r="Y180" i="57"/>
  <c r="AA177" i="57" s="1"/>
  <c r="Q181" i="57" l="1"/>
  <c r="Q182" i="57" s="1"/>
  <c r="AA178" i="57"/>
  <c r="AB178" i="57" s="1"/>
  <c r="AC178" i="57" s="1"/>
  <c r="AG178" i="57" s="1"/>
  <c r="AK178" i="57" s="1"/>
  <c r="AA179" i="57"/>
  <c r="AE179" i="57" s="1"/>
  <c r="AB177" i="57"/>
  <c r="AE177" i="57"/>
  <c r="AA166" i="57"/>
  <c r="AA175" i="57"/>
  <c r="AA168" i="57" l="1"/>
  <c r="AB179" i="57"/>
  <c r="AC179" i="57" s="1"/>
  <c r="AA176" i="57"/>
  <c r="AE176" i="57" s="1"/>
  <c r="AB175" i="57"/>
  <c r="AB176" i="57" s="1"/>
  <c r="AA164" i="57"/>
  <c r="AE175" i="57"/>
  <c r="AC177" i="57"/>
  <c r="AF177" i="57"/>
  <c r="AB166" i="57"/>
  <c r="AE178" i="57"/>
  <c r="AI177" i="57"/>
  <c r="AI166" i="57" s="1"/>
  <c r="AE166" i="57"/>
  <c r="U166" i="57" s="1" a="1"/>
  <c r="U166" i="57" s="1"/>
  <c r="U154" i="57" s="1"/>
  <c r="AI179" i="57"/>
  <c r="AI168" i="57" s="1"/>
  <c r="AE168" i="57"/>
  <c r="U168" i="57" s="1" a="1"/>
  <c r="U168" i="57" s="1"/>
  <c r="U156" i="57" s="1"/>
  <c r="AB168" i="57" l="1"/>
  <c r="AF179" i="57"/>
  <c r="AF168" i="57" s="1"/>
  <c r="V168" i="57" s="1" a="1"/>
  <c r="V168" i="57" s="1"/>
  <c r="V156" i="57" s="1"/>
  <c r="AA165" i="57"/>
  <c r="I168" i="57"/>
  <c r="AB235" i="57" s="1"/>
  <c r="I156" i="57"/>
  <c r="I193" i="57" s="1"/>
  <c r="I166" i="57"/>
  <c r="I154" i="57"/>
  <c r="I191" i="57" s="1"/>
  <c r="AB233" i="57"/>
  <c r="S233" i="57"/>
  <c r="T233" i="57" s="1"/>
  <c r="U233" i="57" s="1"/>
  <c r="V233" i="57" s="1"/>
  <c r="W233" i="57" s="1"/>
  <c r="X233" i="57" s="1"/>
  <c r="Y233" i="57" s="1"/>
  <c r="Z233" i="57" s="1"/>
  <c r="AA233" i="57" s="1"/>
  <c r="AG177" i="57"/>
  <c r="AC166" i="57"/>
  <c r="AI175" i="57"/>
  <c r="AI164" i="57" s="1"/>
  <c r="AE164" i="57"/>
  <c r="U164" i="57" s="1" a="1"/>
  <c r="U164" i="57" s="1"/>
  <c r="U152" i="57" s="1"/>
  <c r="AI178" i="57"/>
  <c r="AI167" i="57" s="1"/>
  <c r="AE167" i="57"/>
  <c r="AB164" i="57"/>
  <c r="AC175" i="57"/>
  <c r="AC176" i="57" s="1"/>
  <c r="AF175" i="57"/>
  <c r="AF166" i="57"/>
  <c r="V166" i="57" s="1" a="1"/>
  <c r="V166" i="57" s="1"/>
  <c r="V154" i="57" s="1"/>
  <c r="AJ177" i="57"/>
  <c r="AJ166" i="57" s="1"/>
  <c r="AC168" i="57"/>
  <c r="AG179" i="57"/>
  <c r="AE165" i="57"/>
  <c r="U165" i="57" s="1" a="1"/>
  <c r="U165" i="57" s="1"/>
  <c r="U153" i="57" s="1"/>
  <c r="AI176" i="57"/>
  <c r="AI165" i="57" s="1"/>
  <c r="AF178" i="57"/>
  <c r="AF176" i="57"/>
  <c r="AB165" i="57"/>
  <c r="AJ179" i="57" l="1"/>
  <c r="AJ168" i="57" s="1"/>
  <c r="S235" i="57"/>
  <c r="T235" i="57" s="1"/>
  <c r="U235" i="57" s="1"/>
  <c r="V235" i="57" s="1"/>
  <c r="W235" i="57" s="1"/>
  <c r="X235" i="57" s="1"/>
  <c r="Y235" i="57" s="1"/>
  <c r="Z235" i="57" s="1"/>
  <c r="AA235" i="57" s="1"/>
  <c r="AB219" i="57"/>
  <c r="Y103" i="47" s="1"/>
  <c r="AC205" i="57"/>
  <c r="S219" i="57"/>
  <c r="P103" i="47" s="1"/>
  <c r="T205" i="57"/>
  <c r="U205" i="57" s="1"/>
  <c r="V205" i="57" s="1"/>
  <c r="W205" i="57" s="1"/>
  <c r="X205" i="57" s="1"/>
  <c r="Y205" i="57" s="1"/>
  <c r="Z205" i="57" s="1"/>
  <c r="AA205" i="57" s="1"/>
  <c r="AB205" i="57" s="1"/>
  <c r="AC207" i="57"/>
  <c r="AB221" i="57"/>
  <c r="Y105" i="47" s="1"/>
  <c r="S221" i="57"/>
  <c r="P105" i="47" s="1"/>
  <c r="T207" i="57"/>
  <c r="U207" i="57" s="1"/>
  <c r="V207" i="57" s="1"/>
  <c r="W207" i="57" s="1"/>
  <c r="X207" i="57" s="1"/>
  <c r="Y207" i="57" s="1"/>
  <c r="Z207" i="57" s="1"/>
  <c r="AA207" i="57" s="1"/>
  <c r="AB207" i="57" s="1"/>
  <c r="J168" i="57"/>
  <c r="AL235" i="57" s="1"/>
  <c r="J156" i="57"/>
  <c r="J193" i="57" s="1"/>
  <c r="I164" i="57"/>
  <c r="S231" i="57" s="1"/>
  <c r="T231" i="57" s="1"/>
  <c r="U231" i="57" s="1"/>
  <c r="V231" i="57" s="1"/>
  <c r="W231" i="57" s="1"/>
  <c r="X231" i="57" s="1"/>
  <c r="Y231" i="57" s="1"/>
  <c r="Z231" i="57" s="1"/>
  <c r="AA231" i="57" s="1"/>
  <c r="I152" i="57"/>
  <c r="I189" i="57" s="1"/>
  <c r="I165" i="57"/>
  <c r="S232" i="57" s="1"/>
  <c r="T232" i="57" s="1"/>
  <c r="U232" i="57" s="1"/>
  <c r="V232" i="57" s="1"/>
  <c r="W232" i="57" s="1"/>
  <c r="X232" i="57" s="1"/>
  <c r="Y232" i="57" s="1"/>
  <c r="Z232" i="57" s="1"/>
  <c r="AA232" i="57" s="1"/>
  <c r="I153" i="57"/>
  <c r="I190" i="57" s="1"/>
  <c r="J166" i="57"/>
  <c r="AL233" i="57" s="1"/>
  <c r="J154" i="57"/>
  <c r="J191" i="57" s="1"/>
  <c r="AJ175" i="57"/>
  <c r="AJ164" i="57" s="1"/>
  <c r="AF164" i="57"/>
  <c r="V164" i="57" s="1" a="1"/>
  <c r="V164" i="57" s="1"/>
  <c r="V152" i="57" s="1"/>
  <c r="AJ176" i="57"/>
  <c r="AJ165" i="57" s="1"/>
  <c r="AF165" i="57"/>
  <c r="V165" i="57" s="1" a="1"/>
  <c r="V165" i="57" s="1"/>
  <c r="V153" i="57" s="1"/>
  <c r="AG176" i="57"/>
  <c r="AC165" i="57"/>
  <c r="AJ178" i="57"/>
  <c r="AJ167" i="57" s="1"/>
  <c r="AF167" i="57"/>
  <c r="AC164" i="57"/>
  <c r="AG175" i="57"/>
  <c r="AC167" i="57"/>
  <c r="AG168" i="57"/>
  <c r="AK179" i="57"/>
  <c r="AK168" i="57" s="1"/>
  <c r="AG166" i="57"/>
  <c r="W166" i="57" s="1" a="1"/>
  <c r="W166" i="57" s="1"/>
  <c r="W154" i="57" s="1"/>
  <c r="AK177" i="57"/>
  <c r="AK166" i="57" s="1"/>
  <c r="T221" i="57" l="1"/>
  <c r="AC235" i="57"/>
  <c r="AD235" i="57" s="1"/>
  <c r="AE235" i="57" s="1"/>
  <c r="AF235" i="57" s="1"/>
  <c r="AG235" i="57" s="1"/>
  <c r="AH235" i="57" s="1"/>
  <c r="AI235" i="57" s="1"/>
  <c r="AJ235" i="57" s="1"/>
  <c r="AK235" i="57" s="1"/>
  <c r="AB231" i="57"/>
  <c r="AB232" i="57"/>
  <c r="AC233" i="57"/>
  <c r="AD233" i="57" s="1"/>
  <c r="AE233" i="57" s="1"/>
  <c r="AF233" i="57" s="1"/>
  <c r="AG233" i="57" s="1"/>
  <c r="AH233" i="57" s="1"/>
  <c r="AI233" i="57" s="1"/>
  <c r="AJ233" i="57" s="1"/>
  <c r="AK233" i="57" s="1"/>
  <c r="W168" i="57" a="1"/>
  <c r="W168" i="57" s="1"/>
  <c r="W156" i="57" s="1"/>
  <c r="K156" i="57" s="1"/>
  <c r="K193" i="57" s="1"/>
  <c r="AM207" i="57"/>
  <c r="AL221" i="57"/>
  <c r="AI105" i="47" s="1"/>
  <c r="AC221" i="57"/>
  <c r="AD207" i="57"/>
  <c r="AE207" i="57" s="1"/>
  <c r="AF207" i="57" s="1"/>
  <c r="AG207" i="57" s="1"/>
  <c r="AH207" i="57" s="1"/>
  <c r="AI207" i="57" s="1"/>
  <c r="AJ207" i="57" s="1"/>
  <c r="AK207" i="57" s="1"/>
  <c r="AL207" i="57" s="1"/>
  <c r="S218" i="57"/>
  <c r="T204" i="57"/>
  <c r="U204" i="57" s="1"/>
  <c r="V204" i="57" s="1"/>
  <c r="W204" i="57" s="1"/>
  <c r="X204" i="57" s="1"/>
  <c r="Y204" i="57" s="1"/>
  <c r="Z204" i="57" s="1"/>
  <c r="AA204" i="57" s="1"/>
  <c r="AB204" i="57" s="1"/>
  <c r="AB218" i="57"/>
  <c r="Y106" i="47" s="1"/>
  <c r="AC204" i="57"/>
  <c r="AM205" i="57"/>
  <c r="AL219" i="57"/>
  <c r="AI103" i="47" s="1"/>
  <c r="AC219" i="57"/>
  <c r="T219" i="57"/>
  <c r="Q103" i="47" s="1"/>
  <c r="AD205" i="57"/>
  <c r="AE205" i="57" s="1"/>
  <c r="AF205" i="57" s="1"/>
  <c r="AG205" i="57" s="1"/>
  <c r="AH205" i="57" s="1"/>
  <c r="AI205" i="57" s="1"/>
  <c r="AJ205" i="57" s="1"/>
  <c r="AK205" i="57" s="1"/>
  <c r="AL205" i="57" s="1"/>
  <c r="S217" i="57"/>
  <c r="P104" i="47" s="1"/>
  <c r="AC203" i="57"/>
  <c r="T203" i="57"/>
  <c r="U203" i="57" s="1"/>
  <c r="V203" i="57" s="1"/>
  <c r="W203" i="57" s="1"/>
  <c r="X203" i="57" s="1"/>
  <c r="Y203" i="57" s="1"/>
  <c r="Z203" i="57" s="1"/>
  <c r="AA203" i="57" s="1"/>
  <c r="AB203" i="57" s="1"/>
  <c r="AB217" i="57"/>
  <c r="Y104" i="47" s="1"/>
  <c r="J165" i="57"/>
  <c r="AL232" i="57" s="1"/>
  <c r="J153" i="57"/>
  <c r="J190" i="57" s="1"/>
  <c r="K166" i="57"/>
  <c r="AM233" i="57" s="1"/>
  <c r="AN233" i="57" s="1"/>
  <c r="AO233" i="57" s="1"/>
  <c r="AP233" i="57" s="1"/>
  <c r="AQ233" i="57" s="1"/>
  <c r="AR233" i="57" s="1"/>
  <c r="AS233" i="57" s="1"/>
  <c r="AT233" i="57" s="1"/>
  <c r="AU233" i="57" s="1"/>
  <c r="AV233" i="57" s="1"/>
  <c r="AW233" i="57" s="1"/>
  <c r="AX233" i="57" s="1"/>
  <c r="K154" i="57"/>
  <c r="K191" i="57" s="1"/>
  <c r="AN219" i="57" s="1"/>
  <c r="AK103" i="47" s="1"/>
  <c r="J164" i="57"/>
  <c r="AC231" i="57" s="1"/>
  <c r="AD231" i="57" s="1"/>
  <c r="AE231" i="57" s="1"/>
  <c r="AF231" i="57" s="1"/>
  <c r="AG231" i="57" s="1"/>
  <c r="AH231" i="57" s="1"/>
  <c r="AI231" i="57" s="1"/>
  <c r="AJ231" i="57" s="1"/>
  <c r="AK231" i="57" s="1"/>
  <c r="J152" i="57"/>
  <c r="J189" i="57" s="1"/>
  <c r="AK175" i="57"/>
  <c r="AK164" i="57" s="1"/>
  <c r="AG164" i="57"/>
  <c r="W164" i="57" s="1" a="1"/>
  <c r="W164" i="57" s="1"/>
  <c r="W152" i="57" s="1"/>
  <c r="AK176" i="57"/>
  <c r="AK165" i="57" s="1"/>
  <c r="AG165" i="57"/>
  <c r="AK167" i="57"/>
  <c r="AG167" i="57"/>
  <c r="W167" i="57" l="1" a="1"/>
  <c r="W167" i="57" s="1"/>
  <c r="W155" i="57" s="1"/>
  <c r="K155" i="57" s="1"/>
  <c r="K192" i="57" s="1"/>
  <c r="AD221" i="57"/>
  <c r="Z105" i="47"/>
  <c r="AD219" i="57"/>
  <c r="AA103" i="47" s="1"/>
  <c r="Z103" i="47"/>
  <c r="T218" i="57"/>
  <c r="Q106" i="47" s="1"/>
  <c r="P106" i="47"/>
  <c r="U221" i="57"/>
  <c r="R105" i="47" s="1"/>
  <c r="Q105" i="47"/>
  <c r="K168" i="57"/>
  <c r="AV235" i="57" s="1"/>
  <c r="AW235" i="57" s="1"/>
  <c r="AX235" i="57" s="1"/>
  <c r="W165" i="57" a="1"/>
  <c r="W165" i="57" s="1"/>
  <c r="W153" i="57" s="1"/>
  <c r="K153" i="57" s="1"/>
  <c r="K190" i="57" s="1"/>
  <c r="AD204" i="57"/>
  <c r="AE204" i="57" s="1"/>
  <c r="AF204" i="57" s="1"/>
  <c r="AG204" i="57" s="1"/>
  <c r="AH204" i="57" s="1"/>
  <c r="AI204" i="57" s="1"/>
  <c r="AJ204" i="57" s="1"/>
  <c r="AK204" i="57" s="1"/>
  <c r="AL204" i="57" s="1"/>
  <c r="AC218" i="57"/>
  <c r="Z106" i="47" s="1"/>
  <c r="AC232" i="57"/>
  <c r="AD232" i="57" s="1"/>
  <c r="AE232" i="57" s="1"/>
  <c r="AF232" i="57" s="1"/>
  <c r="AG232" i="57" s="1"/>
  <c r="AH232" i="57" s="1"/>
  <c r="AI232" i="57" s="1"/>
  <c r="AJ232" i="57" s="1"/>
  <c r="AK232" i="57" s="1"/>
  <c r="AO207" i="57"/>
  <c r="AP207" i="57" s="1"/>
  <c r="AQ207" i="57" s="1"/>
  <c r="AN207" i="57"/>
  <c r="AN221" i="57"/>
  <c r="T217" i="57"/>
  <c r="Q104" i="47" s="1"/>
  <c r="AM203" i="57"/>
  <c r="AD203" i="57"/>
  <c r="AE203" i="57" s="1"/>
  <c r="AF203" i="57" s="1"/>
  <c r="AG203" i="57" s="1"/>
  <c r="AH203" i="57" s="1"/>
  <c r="AI203" i="57" s="1"/>
  <c r="AJ203" i="57" s="1"/>
  <c r="AK203" i="57" s="1"/>
  <c r="AL203" i="57" s="1"/>
  <c r="AC217" i="57"/>
  <c r="Z104" i="47" s="1"/>
  <c r="AL217" i="57"/>
  <c r="AI104" i="47" s="1"/>
  <c r="AM219" i="57"/>
  <c r="AJ103" i="47" s="1"/>
  <c r="AO219" i="57"/>
  <c r="AL103" i="47" s="1"/>
  <c r="AM204" i="57"/>
  <c r="AL218" i="57"/>
  <c r="AI106" i="47" s="1"/>
  <c r="AN205" i="57"/>
  <c r="AO205" i="57" s="1"/>
  <c r="AP205" i="57" s="1"/>
  <c r="AQ205" i="57" s="1"/>
  <c r="U219" i="57"/>
  <c r="K164" i="57"/>
  <c r="K152" i="57"/>
  <c r="K189" i="57" s="1"/>
  <c r="AL231" i="57"/>
  <c r="K167" i="57" l="1"/>
  <c r="AV234" i="57" s="1"/>
  <c r="AW234" i="57" s="1"/>
  <c r="AX234" i="57" s="1"/>
  <c r="U218" i="57"/>
  <c r="R106" i="47" s="1"/>
  <c r="AE219" i="57"/>
  <c r="AB103" i="47" s="1"/>
  <c r="V221" i="57"/>
  <c r="S105" i="47" s="1"/>
  <c r="V219" i="57"/>
  <c r="S103" i="47" s="1"/>
  <c r="R103" i="47"/>
  <c r="AM221" i="57"/>
  <c r="AJ105" i="47" s="1"/>
  <c r="AK105" i="47"/>
  <c r="AE221" i="57"/>
  <c r="AA105" i="47"/>
  <c r="AD218" i="57"/>
  <c r="AA106" i="47" s="1"/>
  <c r="AM235" i="57"/>
  <c r="AN235" i="57" s="1"/>
  <c r="AO235" i="57" s="1"/>
  <c r="AP235" i="57" s="1"/>
  <c r="AQ235" i="57" s="1"/>
  <c r="AR235" i="57" s="1"/>
  <c r="AS235" i="57" s="1"/>
  <c r="AT235" i="57" s="1"/>
  <c r="AU235" i="57" s="1"/>
  <c r="K165" i="57"/>
  <c r="AM232" i="57" s="1"/>
  <c r="AN232" i="57" s="1"/>
  <c r="AO232" i="57" s="1"/>
  <c r="AP232" i="57" s="1"/>
  <c r="AQ232" i="57" s="1"/>
  <c r="AR232" i="57" s="1"/>
  <c r="AS232" i="57" s="1"/>
  <c r="AT232" i="57" s="1"/>
  <c r="AU232" i="57" s="1"/>
  <c r="AV232" i="57" s="1"/>
  <c r="AW232" i="57" s="1"/>
  <c r="AX232" i="57" s="1"/>
  <c r="W169" i="57"/>
  <c r="AM231" i="57"/>
  <c r="AN231" i="57" s="1"/>
  <c r="AO231" i="57" s="1"/>
  <c r="AP231" i="57" s="1"/>
  <c r="AQ231" i="57" s="1"/>
  <c r="AR231" i="57" s="1"/>
  <c r="AS231" i="57" s="1"/>
  <c r="AT231" i="57" s="1"/>
  <c r="AU231" i="57" s="1"/>
  <c r="AN220" i="57"/>
  <c r="AO206" i="57"/>
  <c r="AP206" i="57" s="1"/>
  <c r="AQ206" i="57" s="1"/>
  <c r="AV231" i="57"/>
  <c r="AW231" i="57" s="1"/>
  <c r="AX231" i="57" s="1"/>
  <c r="AP219" i="57"/>
  <c r="AM103" i="47" s="1"/>
  <c r="AF219" i="57"/>
  <c r="AC103" i="47" s="1"/>
  <c r="AO221" i="57"/>
  <c r="AL105" i="47" s="1"/>
  <c r="V218" i="57"/>
  <c r="AN203" i="57"/>
  <c r="AN217" i="57"/>
  <c r="AK104" i="47" s="1"/>
  <c r="AO203" i="57"/>
  <c r="AP203" i="57" s="1"/>
  <c r="AQ203" i="57" s="1"/>
  <c r="AD217" i="57"/>
  <c r="AA104" i="47" s="1"/>
  <c r="AO204" i="57"/>
  <c r="AP204" i="57" s="1"/>
  <c r="AQ204" i="57" s="1"/>
  <c r="AN204" i="57"/>
  <c r="AN218" i="57"/>
  <c r="U217" i="57"/>
  <c r="R104" i="47" s="1"/>
  <c r="AA167" i="57"/>
  <c r="U167" i="57" s="1" a="1"/>
  <c r="U167" i="57" s="1"/>
  <c r="U155" i="57" s="1"/>
  <c r="AB167" i="57"/>
  <c r="V167" i="57" s="1" a="1"/>
  <c r="V167" i="57" s="1"/>
  <c r="V155" i="57" s="1"/>
  <c r="W221" i="57" l="1"/>
  <c r="W219" i="57"/>
  <c r="T103" i="47" s="1"/>
  <c r="AB105" i="47"/>
  <c r="AF221" i="57"/>
  <c r="K169" i="57"/>
  <c r="K178" i="57" s="1"/>
  <c r="AE218" i="57"/>
  <c r="W218" i="57"/>
  <c r="T106" i="47" s="1"/>
  <c r="S106" i="47"/>
  <c r="AM218" i="57"/>
  <c r="AJ106" i="47" s="1"/>
  <c r="AK106" i="47"/>
  <c r="AO220" i="57"/>
  <c r="AL107" i="47" s="1"/>
  <c r="AK107" i="47"/>
  <c r="AP221" i="57"/>
  <c r="AM105" i="47" s="1"/>
  <c r="V217" i="57"/>
  <c r="S104" i="47" s="1"/>
  <c r="AG219" i="57"/>
  <c r="AO218" i="57"/>
  <c r="AL106" i="47" s="1"/>
  <c r="AM217" i="57"/>
  <c r="AJ104" i="47" s="1"/>
  <c r="AO217" i="57"/>
  <c r="AL104" i="47" s="1"/>
  <c r="AE217" i="57"/>
  <c r="AB104" i="47" s="1"/>
  <c r="I167" i="57"/>
  <c r="AB234" i="57" s="1"/>
  <c r="I155" i="57"/>
  <c r="I192" i="57" s="1"/>
  <c r="J167" i="57"/>
  <c r="J169" i="57" s="1"/>
  <c r="J178" i="57" s="1"/>
  <c r="J155" i="57"/>
  <c r="J192" i="57" s="1"/>
  <c r="K177" i="57"/>
  <c r="V169" i="57"/>
  <c r="V176" i="57" s="1"/>
  <c r="W172" i="57"/>
  <c r="K175" i="57" l="1"/>
  <c r="X219" i="57"/>
  <c r="U103" i="47" s="1"/>
  <c r="K173" i="57"/>
  <c r="K176" i="57"/>
  <c r="K172" i="57"/>
  <c r="K179" i="57"/>
  <c r="AC234" i="57"/>
  <c r="AD234" i="57" s="1"/>
  <c r="AE234" i="57" s="1"/>
  <c r="AF234" i="57" s="1"/>
  <c r="AG234" i="57" s="1"/>
  <c r="AH234" i="57" s="1"/>
  <c r="AI234" i="57" s="1"/>
  <c r="AJ234" i="57" s="1"/>
  <c r="AK234" i="57" s="1"/>
  <c r="T105" i="47"/>
  <c r="X221" i="57"/>
  <c r="AL234" i="57"/>
  <c r="AM234" i="57" s="1"/>
  <c r="AN234" i="57" s="1"/>
  <c r="AO234" i="57" s="1"/>
  <c r="AP234" i="57" s="1"/>
  <c r="AQ234" i="57" s="1"/>
  <c r="AR234" i="57" s="1"/>
  <c r="AS234" i="57" s="1"/>
  <c r="AT234" i="57" s="1"/>
  <c r="AU234" i="57" s="1"/>
  <c r="I169" i="57"/>
  <c r="I178" i="57" s="1"/>
  <c r="S234" i="57"/>
  <c r="T234" i="57" s="1"/>
  <c r="U234" i="57" s="1"/>
  <c r="V234" i="57" s="1"/>
  <c r="W234" i="57" s="1"/>
  <c r="X234" i="57" s="1"/>
  <c r="Y234" i="57" s="1"/>
  <c r="Z234" i="57" s="1"/>
  <c r="AA234" i="57" s="1"/>
  <c r="X218" i="57"/>
  <c r="AF218" i="57"/>
  <c r="AB106" i="47"/>
  <c r="AC105" i="47"/>
  <c r="AG221" i="57"/>
  <c r="AH219" i="57"/>
  <c r="AE103" i="47" s="1"/>
  <c r="AD103" i="47"/>
  <c r="K174" i="57"/>
  <c r="AP220" i="57"/>
  <c r="AM107" i="47" s="1"/>
  <c r="AP217" i="57"/>
  <c r="AM104" i="47" s="1"/>
  <c r="W217" i="57"/>
  <c r="T104" i="47" s="1"/>
  <c r="AC206" i="57"/>
  <c r="AD206" i="57" s="1"/>
  <c r="AE206" i="57" s="1"/>
  <c r="AF206" i="57" s="1"/>
  <c r="AG206" i="57" s="1"/>
  <c r="AH206" i="57" s="1"/>
  <c r="AI206" i="57" s="1"/>
  <c r="AJ206" i="57" s="1"/>
  <c r="AK206" i="57" s="1"/>
  <c r="AL206" i="57" s="1"/>
  <c r="T206" i="57"/>
  <c r="U206" i="57" s="1"/>
  <c r="V206" i="57" s="1"/>
  <c r="W206" i="57" s="1"/>
  <c r="X206" i="57" s="1"/>
  <c r="Y206" i="57" s="1"/>
  <c r="Z206" i="57" s="1"/>
  <c r="AA206" i="57" s="1"/>
  <c r="AB206" i="57" s="1"/>
  <c r="AB220" i="57"/>
  <c r="Y107" i="47" s="1"/>
  <c r="S220" i="57"/>
  <c r="P107" i="47" s="1"/>
  <c r="AF217" i="57"/>
  <c r="AC104" i="47" s="1"/>
  <c r="Y219" i="57"/>
  <c r="V103" i="47" s="1"/>
  <c r="AM206" i="57"/>
  <c r="AN206" i="57" s="1"/>
  <c r="AL220" i="57"/>
  <c r="AI107" i="47" s="1"/>
  <c r="AP218" i="57"/>
  <c r="AM106" i="47" s="1"/>
  <c r="I173" i="57"/>
  <c r="I179" i="57"/>
  <c r="J175" i="57"/>
  <c r="J177" i="57"/>
  <c r="J179" i="57"/>
  <c r="J174" i="57"/>
  <c r="J176" i="57"/>
  <c r="J172" i="57"/>
  <c r="J173" i="57"/>
  <c r="U169" i="57"/>
  <c r="U177" i="57" s="1"/>
  <c r="W178" i="57"/>
  <c r="V173" i="57"/>
  <c r="V172" i="57"/>
  <c r="V177" i="57"/>
  <c r="V175" i="57"/>
  <c r="V174" i="57"/>
  <c r="V178" i="57"/>
  <c r="V179" i="57"/>
  <c r="W175" i="57"/>
  <c r="W173" i="57"/>
  <c r="W174" i="57"/>
  <c r="W179" i="57"/>
  <c r="W176" i="57"/>
  <c r="W177" i="57"/>
  <c r="K181" i="57" l="1"/>
  <c r="K182" i="57" s="1"/>
  <c r="I177" i="57"/>
  <c r="I174" i="57"/>
  <c r="I175" i="57"/>
  <c r="I176" i="57"/>
  <c r="I172" i="57"/>
  <c r="I181" i="57" s="1"/>
  <c r="I182" i="57" s="1"/>
  <c r="Y221" i="57"/>
  <c r="U105" i="47"/>
  <c r="AI219" i="57"/>
  <c r="AF103" i="47" s="1"/>
  <c r="AH221" i="57"/>
  <c r="AD105" i="47"/>
  <c r="AC106" i="47"/>
  <c r="AG218" i="57"/>
  <c r="Y218" i="57"/>
  <c r="U106" i="47"/>
  <c r="W181" i="57"/>
  <c r="W182" i="57" s="1"/>
  <c r="J181" i="57"/>
  <c r="J182" i="57" s="1"/>
  <c r="V181" i="57"/>
  <c r="V182" i="57" s="1"/>
  <c r="AC220" i="57"/>
  <c r="Z107" i="47" s="1"/>
  <c r="T220" i="57"/>
  <c r="Q107" i="47" s="1"/>
  <c r="X217" i="57"/>
  <c r="U104" i="47" s="1"/>
  <c r="Z219" i="57"/>
  <c r="W103" i="47" s="1"/>
  <c r="AM220" i="57"/>
  <c r="AJ107" i="47" s="1"/>
  <c r="AG217" i="57"/>
  <c r="AD104" i="47" s="1"/>
  <c r="U175" i="57"/>
  <c r="U179" i="57"/>
  <c r="U174" i="57"/>
  <c r="U178" i="57"/>
  <c r="U172" i="57"/>
  <c r="U173" i="57"/>
  <c r="U176" i="57"/>
  <c r="V105" i="47" l="1"/>
  <c r="Z221" i="57"/>
  <c r="AJ219" i="57"/>
  <c r="AG103" i="47" s="1"/>
  <c r="V106" i="47"/>
  <c r="Z218" i="57"/>
  <c r="AD106" i="47"/>
  <c r="AH218" i="57"/>
  <c r="AE105" i="47"/>
  <c r="AI221" i="57"/>
  <c r="U181" i="57"/>
  <c r="U182" i="57" s="1"/>
  <c r="U220" i="57"/>
  <c r="R107" i="47" s="1"/>
  <c r="AD220" i="57"/>
  <c r="AA107" i="47" s="1"/>
  <c r="AH217" i="57"/>
  <c r="AE104" i="47" s="1"/>
  <c r="Y217" i="57"/>
  <c r="V104" i="47" s="1"/>
  <c r="AA219" i="57"/>
  <c r="X103" i="47" s="1"/>
  <c r="W105" i="47" l="1"/>
  <c r="AA221" i="57"/>
  <c r="X105" i="47" s="1"/>
  <c r="AK219" i="57"/>
  <c r="AH103" i="47" s="1"/>
  <c r="AF105" i="47"/>
  <c r="AJ221" i="57"/>
  <c r="AE106" i="47"/>
  <c r="AI218" i="57"/>
  <c r="W106" i="47"/>
  <c r="AA218" i="57"/>
  <c r="X106" i="47" s="1"/>
  <c r="AE220" i="57"/>
  <c r="AB107" i="47" s="1"/>
  <c r="V220" i="57"/>
  <c r="S107" i="47" s="1"/>
  <c r="Z217" i="57"/>
  <c r="W104" i="47" s="1"/>
  <c r="AI217" i="57"/>
  <c r="AF104" i="47" s="1"/>
  <c r="C9" i="15"/>
  <c r="D9" i="15"/>
  <c r="AF220" i="57" l="1"/>
  <c r="AC107" i="47" s="1"/>
  <c r="AF106" i="47"/>
  <c r="AJ218" i="57"/>
  <c r="AG105" i="47"/>
  <c r="AK221" i="57"/>
  <c r="AH105" i="47" s="1"/>
  <c r="W220" i="57"/>
  <c r="T107" i="47" s="1"/>
  <c r="AA217" i="57"/>
  <c r="X104" i="47" s="1"/>
  <c r="AJ217" i="57"/>
  <c r="AG104" i="47" s="1"/>
  <c r="AG220" i="57" l="1"/>
  <c r="AD107" i="47" s="1"/>
  <c r="AG106" i="47"/>
  <c r="AK218" i="57"/>
  <c r="AH106" i="47" s="1"/>
  <c r="X220" i="57"/>
  <c r="AK217" i="57"/>
  <c r="AH104" i="47" s="1"/>
  <c r="AH220" i="57" l="1"/>
  <c r="AE107" i="47" s="1"/>
  <c r="Y220" i="57"/>
  <c r="V107" i="47" s="1"/>
  <c r="U107" i="47"/>
  <c r="AI220" i="57" l="1"/>
  <c r="AF107" i="47" s="1"/>
  <c r="Z220" i="57"/>
  <c r="W107" i="47" s="1"/>
  <c r="AJ220" i="57" l="1"/>
  <c r="AG107" i="47" s="1"/>
  <c r="AA220" i="57"/>
  <c r="X107" i="47" s="1"/>
  <c r="AK220" i="57" l="1"/>
  <c r="AH107" i="47" s="1"/>
  <c r="L133" i="55"/>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9" i="55"/>
  <c r="N18" i="47" s="1"/>
  <c r="Q142" i="55"/>
  <c r="N12" i="47" s="1"/>
  <c r="Q140" i="55"/>
  <c r="N13" i="47" s="1"/>
  <c r="Q134" i="55"/>
  <c r="N15"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R134" i="55"/>
  <c r="Y230" i="55"/>
  <c r="Z53" i="55"/>
  <c r="W91" i="55"/>
  <c r="X42" i="55"/>
  <c r="R138" i="55" l="1"/>
  <c r="O14" i="47" s="1"/>
  <c r="R136" i="55"/>
  <c r="O16" i="47" s="1"/>
  <c r="R140" i="55"/>
  <c r="O13" i="47" s="1"/>
  <c r="R151" i="55"/>
  <c r="R142" i="55"/>
  <c r="S142" i="55" s="1"/>
  <c r="P12" i="47" s="1"/>
  <c r="R139" i="55"/>
  <c r="S139" i="55" s="1"/>
  <c r="R137" i="55"/>
  <c r="S137" i="55" s="1"/>
  <c r="R144" i="55"/>
  <c r="S144" i="55" s="1"/>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O15" i="47"/>
  <c r="S134"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P11" i="47"/>
  <c r="T137"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O18" i="47"/>
  <c r="AG192" i="55"/>
  <c r="AH50" i="55"/>
  <c r="AG230" i="55"/>
  <c r="AH53" i="55"/>
  <c r="Z230" i="55"/>
  <c r="AA53" i="55"/>
  <c r="AA230" i="55" s="1"/>
  <c r="W70" i="55"/>
  <c r="X41" i="55"/>
  <c r="O20" i="47"/>
  <c r="S15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9" i="47" l="1"/>
  <c r="S138" i="55"/>
  <c r="P14" i="47" s="1"/>
  <c r="S136" i="55"/>
  <c r="P16" i="47" s="1"/>
  <c r="T142" i="55"/>
  <c r="Q12" i="47" s="1"/>
  <c r="O12" i="47"/>
  <c r="Q71" i="55"/>
  <c r="N36" i="47" s="1"/>
  <c r="S140"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20" i="47"/>
  <c r="T15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Q11" i="47"/>
  <c r="U137" i="55"/>
  <c r="AH211" i="55"/>
  <c r="AI51" i="55"/>
  <c r="P18" i="47"/>
  <c r="T139" i="55"/>
  <c r="P19" i="47"/>
  <c r="T144"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c r="T140" i="55"/>
  <c r="T138" i="55" l="1"/>
  <c r="Q14" i="47" s="1"/>
  <c r="U142" i="55"/>
  <c r="T136" i="55"/>
  <c r="Q16" i="47" s="1"/>
  <c r="T141" i="55"/>
  <c r="Q17" i="47" s="1"/>
  <c r="R71" i="55"/>
  <c r="O36" i="47" s="1"/>
  <c r="R78" i="55"/>
  <c r="O38" i="47" s="1"/>
  <c r="R77" i="55"/>
  <c r="O34" i="47" s="1"/>
  <c r="R75" i="55"/>
  <c r="O35" i="47" s="1"/>
  <c r="R79" i="55"/>
  <c r="S79" i="55" s="1"/>
  <c r="R74" i="55"/>
  <c r="R88" i="55"/>
  <c r="O40" i="47" s="1"/>
  <c r="U141" i="55"/>
  <c r="R17"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Q20" i="47"/>
  <c r="U151" i="55"/>
  <c r="AL91" i="55"/>
  <c r="AM42" i="55"/>
  <c r="AM91" i="55" s="1"/>
  <c r="Q203" i="55"/>
  <c r="Q19" i="47"/>
  <c r="U144"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R11" i="47"/>
  <c r="V137"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Q18" i="47"/>
  <c r="U139"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6" i="55" l="1"/>
  <c r="R16" i="47" s="1"/>
  <c r="U138" i="55"/>
  <c r="R14" i="47" s="1"/>
  <c r="O33" i="47"/>
  <c r="V141" i="55"/>
  <c r="S17" i="47" s="1"/>
  <c r="S71" i="55"/>
  <c r="P36" i="47" s="1"/>
  <c r="T73" i="55"/>
  <c r="Q37" i="47" s="1"/>
  <c r="O37" i="47"/>
  <c r="O41" i="47"/>
  <c r="S78" i="55"/>
  <c r="P38" i="47" s="1"/>
  <c r="S77" i="55"/>
  <c r="P34" i="47" s="1"/>
  <c r="R236" i="55"/>
  <c r="O53" i="47" s="1"/>
  <c r="V136" i="55"/>
  <c r="W136" i="55" s="1"/>
  <c r="S88" i="55"/>
  <c r="P40" i="47" s="1"/>
  <c r="S75" i="55"/>
  <c r="P35"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V138" i="55"/>
  <c r="Y86" i="55"/>
  <c r="Y85" i="55"/>
  <c r="Y84" i="55"/>
  <c r="Y80" i="55"/>
  <c r="Y83" i="55"/>
  <c r="Y82" i="55"/>
  <c r="Y87" i="55"/>
  <c r="Y90" i="55"/>
  <c r="Y89" i="55"/>
  <c r="R18" i="47"/>
  <c r="V139" i="55"/>
  <c r="N52" i="47"/>
  <c r="R234" i="55"/>
  <c r="S12" i="47"/>
  <c r="W142" i="55"/>
  <c r="N29" i="47"/>
  <c r="R198" i="55"/>
  <c r="R13" i="47"/>
  <c r="V140" i="55"/>
  <c r="N42" i="47"/>
  <c r="R156" i="55"/>
  <c r="R20" i="47"/>
  <c r="V151" i="55"/>
  <c r="N60" i="47"/>
  <c r="R238" i="55"/>
  <c r="AJ133" i="55"/>
  <c r="AK44"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S11" i="47"/>
  <c r="W137" i="55"/>
  <c r="N59" i="47"/>
  <c r="R240" i="55"/>
  <c r="N21" i="47"/>
  <c r="R194" i="55"/>
  <c r="N54" i="47"/>
  <c r="R241" i="55"/>
  <c r="AK173" i="55"/>
  <c r="AL46" i="55"/>
  <c r="AK70" i="55"/>
  <c r="AL41" i="55"/>
  <c r="N22" i="47"/>
  <c r="R196" i="55"/>
  <c r="N23" i="47"/>
  <c r="R201" i="55"/>
  <c r="N61" i="47"/>
  <c r="R243" i="55"/>
  <c r="R19" i="47"/>
  <c r="V144"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O51" i="47" l="1"/>
  <c r="S16" i="47"/>
  <c r="T71" i="55"/>
  <c r="U71" i="55" s="1"/>
  <c r="R36" i="47" s="1"/>
  <c r="S236" i="55"/>
  <c r="W141" i="55"/>
  <c r="T17" i="47" s="1"/>
  <c r="U73" i="55"/>
  <c r="R37" i="47" s="1"/>
  <c r="T75" i="55"/>
  <c r="U75" i="55" s="1"/>
  <c r="T78" i="55"/>
  <c r="Q38" i="47" s="1"/>
  <c r="S157" i="55"/>
  <c r="P48" i="47" s="1"/>
  <c r="T77" i="55"/>
  <c r="Q34" i="47" s="1"/>
  <c r="O28" i="47"/>
  <c r="O25" i="47"/>
  <c r="T88" i="55"/>
  <c r="Q40" i="47" s="1"/>
  <c r="S235" i="55"/>
  <c r="P58" i="47" s="1"/>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T11" i="47"/>
  <c r="X137" i="55"/>
  <c r="P31" i="47"/>
  <c r="T72" i="55"/>
  <c r="T16" i="47"/>
  <c r="X136" i="55"/>
  <c r="S18" i="47"/>
  <c r="W139"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S19" i="47"/>
  <c r="W144" i="55"/>
  <c r="P53" i="47"/>
  <c r="T236" i="55"/>
  <c r="AL173" i="55"/>
  <c r="AM46" i="55"/>
  <c r="AM173" i="55" s="1"/>
  <c r="AK133" i="55"/>
  <c r="AL44" i="55"/>
  <c r="S20" i="47"/>
  <c r="W151"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T157"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Q35" i="47" l="1"/>
  <c r="V71" i="55"/>
  <c r="S36" i="47" s="1"/>
  <c r="Q36" i="47"/>
  <c r="X141" i="55"/>
  <c r="U17" i="47" s="1"/>
  <c r="U88" i="55"/>
  <c r="R40" i="47" s="1"/>
  <c r="V73" i="55"/>
  <c r="S37" i="47" s="1"/>
  <c r="T235" i="55"/>
  <c r="U235" i="55" s="1"/>
  <c r="U78" i="55"/>
  <c r="R38" i="47" s="1"/>
  <c r="U77" i="55"/>
  <c r="R34" i="47" s="1"/>
  <c r="Q32" i="47"/>
  <c r="U74" i="55"/>
  <c r="T159" i="55"/>
  <c r="Q46" i="47" s="1"/>
  <c r="P47" i="47"/>
  <c r="T155" i="55"/>
  <c r="P49" i="47"/>
  <c r="T162" i="55"/>
  <c r="T233" i="55"/>
  <c r="U233" i="55" s="1"/>
  <c r="T163" i="55"/>
  <c r="P45" i="47"/>
  <c r="T161" i="55"/>
  <c r="P43" i="47"/>
  <c r="T158" i="55"/>
  <c r="S10" i="47"/>
  <c r="W135" i="55"/>
  <c r="P50" i="47"/>
  <c r="T160"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U16" i="47"/>
  <c r="Y136" i="55"/>
  <c r="Q132" i="47"/>
  <c r="U253" i="55"/>
  <c r="R35" i="47"/>
  <c r="V75" i="55"/>
  <c r="T18" i="47"/>
  <c r="X139"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Q48" i="47"/>
  <c r="U157"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U11" i="47"/>
  <c r="Y137" i="55"/>
  <c r="P42" i="47"/>
  <c r="T156" i="55"/>
  <c r="AK204" i="55"/>
  <c r="AK206" i="55"/>
  <c r="AK202" i="55"/>
  <c r="AK207" i="55"/>
  <c r="AK205" i="55"/>
  <c r="AK208" i="55"/>
  <c r="P27" i="47"/>
  <c r="T195" i="55"/>
  <c r="P23" i="47"/>
  <c r="T201" i="55"/>
  <c r="P29" i="47"/>
  <c r="T198" i="55"/>
  <c r="T19" i="47"/>
  <c r="X144"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V88" i="55" l="1"/>
  <c r="S40" i="47" s="1"/>
  <c r="W73" i="55"/>
  <c r="T37" i="47" s="1"/>
  <c r="Q58" i="47"/>
  <c r="W71" i="55"/>
  <c r="T36" i="47" s="1"/>
  <c r="V78" i="55"/>
  <c r="Y141" i="55"/>
  <c r="V77" i="55"/>
  <c r="S34" i="47" s="1"/>
  <c r="U159" i="55"/>
  <c r="R46" i="47" s="1"/>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Q22" i="47"/>
  <c r="U196" i="55"/>
  <c r="U20" i="47"/>
  <c r="Y151" i="55"/>
  <c r="Q24" i="47"/>
  <c r="U199" i="55"/>
  <c r="Q23" i="47"/>
  <c r="U201" i="55"/>
  <c r="V11" i="47"/>
  <c r="Z137"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U18" i="47"/>
  <c r="Y139" i="55"/>
  <c r="V16" i="47"/>
  <c r="Z136" i="55"/>
  <c r="Q42" i="47"/>
  <c r="U156" i="55"/>
  <c r="R39" i="47"/>
  <c r="V76" i="55"/>
  <c r="R58" i="47"/>
  <c r="V235" i="55"/>
  <c r="R25" i="47"/>
  <c r="V197" i="55"/>
  <c r="S41" i="47"/>
  <c r="W81" i="55"/>
  <c r="R57" i="47"/>
  <c r="V233" i="55"/>
  <c r="Q26" i="47"/>
  <c r="U193" i="55"/>
  <c r="R51" i="47"/>
  <c r="V165" i="55"/>
  <c r="U15" i="47"/>
  <c r="Y134" i="55"/>
  <c r="U13" i="47"/>
  <c r="Y140" i="55"/>
  <c r="Q61" i="47"/>
  <c r="U243" i="55"/>
  <c r="R31" i="47"/>
  <c r="V72" i="55"/>
  <c r="R48" i="47"/>
  <c r="V157"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W88" i="55" l="1"/>
  <c r="X88" i="55" s="1"/>
  <c r="V159" i="55"/>
  <c r="S46" i="47" s="1"/>
  <c r="X73" i="55"/>
  <c r="X71" i="55"/>
  <c r="Y71" i="55" s="1"/>
  <c r="W77" i="55"/>
  <c r="X77" i="55" s="1"/>
  <c r="U34" i="47" s="1"/>
  <c r="S32" i="47"/>
  <c r="W74" i="55"/>
  <c r="R47" i="47"/>
  <c r="V155" i="55"/>
  <c r="R49" i="47"/>
  <c r="V162" i="55"/>
  <c r="R44" i="47"/>
  <c r="V163" i="55"/>
  <c r="R45" i="47"/>
  <c r="V161" i="55"/>
  <c r="V158" i="55"/>
  <c r="R43" i="47"/>
  <c r="Y135" i="55"/>
  <c r="U10" i="47"/>
  <c r="V160" i="55"/>
  <c r="R50" i="47"/>
  <c r="W11" i="47"/>
  <c r="AA137" i="55"/>
  <c r="S28" i="47"/>
  <c r="W200" i="55"/>
  <c r="R23" i="47"/>
  <c r="V201" i="55"/>
  <c r="S55" i="47"/>
  <c r="W239" i="55"/>
  <c r="U37" i="47"/>
  <c r="Y73" i="55"/>
  <c r="S53" i="47"/>
  <c r="W236" i="55"/>
  <c r="T38" i="47"/>
  <c r="X78" i="55"/>
  <c r="V13" i="47"/>
  <c r="Z140" i="55"/>
  <c r="T41" i="47"/>
  <c r="X81" i="55"/>
  <c r="R42" i="47"/>
  <c r="V156" i="55"/>
  <c r="R27" i="47"/>
  <c r="V195" i="55"/>
  <c r="R24" i="47"/>
  <c r="V199" i="55"/>
  <c r="V20" i="47"/>
  <c r="Z151" i="55"/>
  <c r="R56" i="47"/>
  <c r="V237" i="55"/>
  <c r="R61" i="47"/>
  <c r="V243" i="55"/>
  <c r="S25" i="47"/>
  <c r="W197" i="55"/>
  <c r="T33" i="47"/>
  <c r="X79" i="55"/>
  <c r="V15" i="47"/>
  <c r="Z134" i="55"/>
  <c r="S58" i="47"/>
  <c r="W235" i="55"/>
  <c r="W16" i="47"/>
  <c r="AA136" i="55"/>
  <c r="S57" i="47"/>
  <c r="W233" i="55"/>
  <c r="S132" i="47"/>
  <c r="W253" i="55"/>
  <c r="R22" i="47"/>
  <c r="V196" i="55"/>
  <c r="R29" i="47"/>
  <c r="V198" i="55"/>
  <c r="T35" i="47"/>
  <c r="X75" i="55"/>
  <c r="R30" i="47"/>
  <c r="V203" i="55"/>
  <c r="V19" i="47"/>
  <c r="Z144" i="55"/>
  <c r="S48" i="47"/>
  <c r="W157" i="55"/>
  <c r="S39" i="47"/>
  <c r="W76" i="55"/>
  <c r="V18" i="47"/>
  <c r="Z139" i="55"/>
  <c r="V14" i="47"/>
  <c r="Z138" i="55"/>
  <c r="R52" i="47"/>
  <c r="V234" i="55"/>
  <c r="R54" i="47"/>
  <c r="V241" i="55"/>
  <c r="R21" i="47"/>
  <c r="V194" i="55"/>
  <c r="R60" i="47"/>
  <c r="V238" i="55"/>
  <c r="S51" i="47"/>
  <c r="W165" i="55"/>
  <c r="W17" i="47"/>
  <c r="AA141" i="55"/>
  <c r="R59" i="47"/>
  <c r="V240" i="55"/>
  <c r="S31" i="47"/>
  <c r="W72" i="55"/>
  <c r="R26" i="47"/>
  <c r="V193" i="55"/>
  <c r="W12" i="47"/>
  <c r="AA142" i="55"/>
  <c r="T40" i="47" l="1"/>
  <c r="W159" i="55"/>
  <c r="U36" i="47"/>
  <c r="Y77" i="55"/>
  <c r="V34" i="47" s="1"/>
  <c r="T34" i="47"/>
  <c r="T32" i="47"/>
  <c r="X74" i="55"/>
  <c r="W162" i="55"/>
  <c r="S49" i="47"/>
  <c r="W155" i="55"/>
  <c r="S47" i="47"/>
  <c r="W163" i="55"/>
  <c r="S44" i="47"/>
  <c r="S45" i="47"/>
  <c r="W161" i="55"/>
  <c r="Z135" i="55"/>
  <c r="V10" i="47"/>
  <c r="S43" i="47"/>
  <c r="W158" i="55"/>
  <c r="S50" i="47"/>
  <c r="W160" i="55"/>
  <c r="S59" i="47"/>
  <c r="W240" i="55"/>
  <c r="W18" i="47"/>
  <c r="AA139"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T46" i="47"/>
  <c r="X159" i="55"/>
  <c r="S60" i="47"/>
  <c r="W238" i="55"/>
  <c r="W14" i="47"/>
  <c r="AA138" i="55"/>
  <c r="S30" i="47"/>
  <c r="W203" i="55"/>
  <c r="X16" i="47"/>
  <c r="AB136" i="55"/>
  <c r="S61" i="47"/>
  <c r="W243" i="55"/>
  <c r="S24" i="47"/>
  <c r="W199" i="55"/>
  <c r="T53" i="47"/>
  <c r="X236" i="55"/>
  <c r="X11" i="47"/>
  <c r="AB137" i="55"/>
  <c r="S21" i="47"/>
  <c r="W194" i="55"/>
  <c r="Z77" i="55" l="1"/>
  <c r="AA77" i="55" s="1"/>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Y11" i="47"/>
  <c r="AC137" i="55"/>
  <c r="X14" i="47"/>
  <c r="AB138" i="55"/>
  <c r="V38" i="47"/>
  <c r="Z78" i="55"/>
  <c r="T23" i="47"/>
  <c r="X201" i="55"/>
  <c r="T54" i="47"/>
  <c r="X241" i="55"/>
  <c r="U39" i="47"/>
  <c r="Y76" i="55"/>
  <c r="X18" i="47"/>
  <c r="AB139" i="55"/>
  <c r="Y16" i="47"/>
  <c r="AC136" i="55"/>
  <c r="T21" i="47"/>
  <c r="X194" i="55"/>
  <c r="U53" i="47"/>
  <c r="Y236" i="55"/>
  <c r="T60" i="47"/>
  <c r="X238" i="55"/>
  <c r="W36" i="47"/>
  <c r="AA71" i="55"/>
  <c r="U31" i="47"/>
  <c r="Y72" i="55"/>
  <c r="U132" i="47"/>
  <c r="Y253" i="55"/>
  <c r="V41" i="47"/>
  <c r="Z81" i="55"/>
  <c r="T29" i="47"/>
  <c r="X198" i="55"/>
  <c r="W37" i="47"/>
  <c r="AA73" i="55"/>
  <c r="T24" i="47"/>
  <c r="X199" i="55"/>
  <c r="U46" i="47"/>
  <c r="Y159" i="55"/>
  <c r="U25" i="47"/>
  <c r="Y197" i="55"/>
  <c r="Y17" i="47"/>
  <c r="AC141" i="55"/>
  <c r="X19" i="47"/>
  <c r="AB144" i="55"/>
  <c r="U55" i="47"/>
  <c r="Y239" i="55"/>
  <c r="T27" i="47"/>
  <c r="X195" i="55"/>
  <c r="T59" i="47"/>
  <c r="X240" i="55"/>
  <c r="Y12" i="47"/>
  <c r="AC142" i="55"/>
  <c r="T30" i="47"/>
  <c r="X203" i="55"/>
  <c r="W34" i="47" l="1"/>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Z11" i="47"/>
  <c r="AD137"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Z16" i="47"/>
  <c r="AD136"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W32" i="47" l="1"/>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AA16" i="47"/>
  <c r="AE136"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AA11" i="47"/>
  <c r="AE137" i="55"/>
  <c r="Z14" i="47"/>
  <c r="AD138" i="55"/>
  <c r="X41" i="47"/>
  <c r="AB81" i="55"/>
  <c r="X33" i="47"/>
  <c r="AB79" i="55"/>
  <c r="X32" i="47" l="1"/>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AB16" i="47"/>
  <c r="AF136" i="55"/>
  <c r="X46" i="47"/>
  <c r="AB159" i="55"/>
  <c r="W61" i="47"/>
  <c r="AA243" i="55"/>
  <c r="X53" i="47"/>
  <c r="AB236" i="55"/>
  <c r="AB11" i="47"/>
  <c r="AF137"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Y32" i="47" l="1"/>
  <c r="AC74" i="55"/>
  <c r="X47" i="47"/>
  <c r="AB155" i="55"/>
  <c r="X49" i="47"/>
  <c r="AB162" i="55"/>
  <c r="X44" i="47"/>
  <c r="AB163" i="55"/>
  <c r="X45" i="47"/>
  <c r="AB161" i="55"/>
  <c r="AB158" i="55"/>
  <c r="X43" i="47"/>
  <c r="AA10" i="47"/>
  <c r="AE135" i="55"/>
  <c r="X50" i="47"/>
  <c r="AB160" i="55"/>
  <c r="AB13" i="47"/>
  <c r="AF140" i="55"/>
  <c r="Z33" i="47"/>
  <c r="AD79" i="55"/>
  <c r="X56" i="47"/>
  <c r="AB237" i="55"/>
  <c r="AC11" i="47"/>
  <c r="AG1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AC16" i="47"/>
  <c r="AG136" i="55"/>
  <c r="X30" i="47"/>
  <c r="AB203" i="55"/>
  <c r="Y57" i="47"/>
  <c r="AC233" i="55"/>
  <c r="X24" i="47"/>
  <c r="AB199" i="55"/>
  <c r="Z32" i="47" l="1"/>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D11" i="47"/>
  <c r="AH137"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AD16" i="47"/>
  <c r="AH136" i="55"/>
  <c r="Y30" i="47"/>
  <c r="AC203" i="55"/>
  <c r="Y27" i="47"/>
  <c r="AC195" i="55"/>
  <c r="Z46" i="47"/>
  <c r="AD159" i="55"/>
  <c r="AB34" i="47"/>
  <c r="AF77" i="55"/>
  <c r="AA38" i="47"/>
  <c r="AE78" i="55"/>
  <c r="Y61" i="47"/>
  <c r="AC243" i="55"/>
  <c r="Z53" i="47"/>
  <c r="AD236" i="55"/>
  <c r="AC13" i="47"/>
  <c r="AG140" i="55"/>
  <c r="AE74" i="55" l="1"/>
  <c r="AA32" i="47"/>
  <c r="Z47" i="47"/>
  <c r="AD155" i="55"/>
  <c r="Z49" i="47"/>
  <c r="AD162" i="55"/>
  <c r="Z44" i="47"/>
  <c r="AD163" i="55"/>
  <c r="Z45" i="47"/>
  <c r="AD161" i="55"/>
  <c r="Z43" i="47"/>
  <c r="AD158" i="55"/>
  <c r="AC10" i="47"/>
  <c r="AG135" i="55"/>
  <c r="Z50" i="47"/>
  <c r="AD160" i="55"/>
  <c r="AC34" i="47"/>
  <c r="AG77" i="55"/>
  <c r="AE16" i="47"/>
  <c r="AI136"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E11" i="47"/>
  <c r="AI137"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B32" i="47" l="1"/>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1" i="47"/>
  <c r="AJ137" i="55"/>
  <c r="AF12" i="47"/>
  <c r="AJ142" i="55"/>
  <c r="AA23" i="47"/>
  <c r="AE201" i="55"/>
  <c r="AC35" i="47"/>
  <c r="AG75" i="55"/>
  <c r="AA54" i="47"/>
  <c r="AE241" i="55"/>
  <c r="AF16" i="47"/>
  <c r="AJ136" i="55"/>
  <c r="AB132" i="47"/>
  <c r="AF253" i="55"/>
  <c r="AA52" i="47"/>
  <c r="AE234" i="55"/>
  <c r="AE13" i="47"/>
  <c r="AI140" i="55"/>
  <c r="AB51" i="47"/>
  <c r="AF165" i="55"/>
  <c r="AB46" i="47"/>
  <c r="AF159" i="55"/>
  <c r="AA24" i="47"/>
  <c r="AE199" i="55"/>
  <c r="AA26" i="47"/>
  <c r="AE193" i="55"/>
  <c r="AD34" i="47"/>
  <c r="AH77" i="55"/>
  <c r="AC38" i="47"/>
  <c r="AG78" i="55"/>
  <c r="AC32" i="47" l="1"/>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G16" i="47"/>
  <c r="AK136" i="55"/>
  <c r="AG11" i="47"/>
  <c r="AK137"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D32" i="47" l="1"/>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H11" i="47"/>
  <c r="AL137" i="55"/>
  <c r="AC22" i="47"/>
  <c r="AG196" i="55"/>
  <c r="AH16" i="47"/>
  <c r="AL13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E32" i="47" l="1"/>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I16" i="47"/>
  <c r="AM136"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I11" i="47"/>
  <c r="AM137"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F32" i="47" l="1"/>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J16" i="47"/>
  <c r="AN136"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J11" i="47"/>
  <c r="AN137"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G32" i="47" l="1"/>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K11" i="47"/>
  <c r="AO137"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K16" i="47"/>
  <c r="AO136" i="55"/>
  <c r="AF42" i="47"/>
  <c r="AJ156" i="55"/>
  <c r="AK12" i="47"/>
  <c r="AO142" i="55"/>
  <c r="AF29" i="47"/>
  <c r="AJ198" i="55"/>
  <c r="AH38" i="47"/>
  <c r="AL78" i="55"/>
  <c r="AH35" i="47"/>
  <c r="AL75" i="55"/>
  <c r="AG31" i="47"/>
  <c r="AK72" i="55"/>
  <c r="AG57" i="47"/>
  <c r="AK233" i="55"/>
  <c r="AH32" i="47" l="1"/>
  <c r="AL74" i="55"/>
  <c r="AG49" i="47"/>
  <c r="AK162" i="55"/>
  <c r="AG47" i="47"/>
  <c r="AK155" i="55"/>
  <c r="AG44" i="47"/>
  <c r="AK163" i="55"/>
  <c r="AG45" i="47"/>
  <c r="AK161" i="55"/>
  <c r="AJ10" i="47"/>
  <c r="AN135" i="55"/>
  <c r="AG43" i="47"/>
  <c r="AK158" i="55"/>
  <c r="AK160" i="55"/>
  <c r="AG50" i="47"/>
  <c r="AH53" i="47"/>
  <c r="AL236" i="55"/>
  <c r="AL11" i="47"/>
  <c r="AP137" i="55"/>
  <c r="AM11" i="47" s="1"/>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L16" i="47"/>
  <c r="AP136" i="55"/>
  <c r="AM16" i="47" s="1"/>
  <c r="AJ36" i="47"/>
  <c r="AN71" i="55"/>
  <c r="AI35" i="47"/>
  <c r="AM75" i="55"/>
  <c r="AG52" i="47"/>
  <c r="AK234" i="55"/>
  <c r="AI32" i="47" l="1"/>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N74" i="55" l="1"/>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105" i="32" l="1"/>
  <c r="O127" i="32"/>
  <c r="O126" i="32"/>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P126" i="32"/>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J106" i="32" l="1"/>
  <c r="O130" i="32"/>
  <c r="O134" i="32"/>
  <c r="J127" i="32"/>
  <c r="J84" i="32" s="1"/>
  <c r="J90" i="32" s="1"/>
  <c r="J134" i="32"/>
  <c r="J85" i="32" s="1"/>
  <c r="J91" i="32" s="1"/>
  <c r="O136" i="32"/>
  <c r="P136" i="32" s="1"/>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O115" i="32"/>
  <c r="J105" i="32"/>
  <c r="N105" i="32" s="1"/>
  <c r="O116" i="32"/>
  <c r="O132" i="32"/>
  <c r="P132" i="32" s="1"/>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J126" i="32"/>
  <c r="N126" i="32" s="1"/>
  <c r="O125" i="32"/>
  <c r="O117" i="32"/>
  <c r="O133" i="32"/>
  <c r="J117" i="32"/>
  <c r="L117" i="32" s="1"/>
  <c r="J133" i="32"/>
  <c r="O128" i="32"/>
  <c r="J116" i="32"/>
  <c r="O106" i="32"/>
  <c r="P106" i="32" s="1"/>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K126" i="32"/>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K127" i="32"/>
  <c r="K84" i="32" s="1"/>
  <c r="K90" i="32" s="1"/>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L127" i="32"/>
  <c r="L84" i="32" s="1"/>
  <c r="L90"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05" i="32"/>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05" i="32"/>
  <c r="N134" i="32"/>
  <c r="M134" i="32"/>
  <c r="M85" i="32" s="1"/>
  <c r="K105" i="32"/>
  <c r="M106" i="32" l="1"/>
  <c r="K106" i="32"/>
  <c r="M127" i="32"/>
  <c r="M84" i="32" s="1"/>
  <c r="N127" i="32"/>
  <c r="L126" i="32"/>
  <c r="M126" i="32"/>
  <c r="K134" i="32"/>
  <c r="K85" i="32" s="1"/>
  <c r="K91" i="32" s="1"/>
  <c r="L134" i="32"/>
  <c r="L85" i="32" s="1"/>
  <c r="L91" i="32" s="1"/>
  <c r="L106" i="32"/>
  <c r="M116" i="32"/>
  <c r="K133" i="32"/>
  <c r="N117" i="32"/>
  <c r="M117" i="32"/>
  <c r="N106" i="32"/>
  <c r="K116" i="32"/>
  <c r="N116" i="32"/>
  <c r="L116" i="32"/>
  <c r="L133" i="32"/>
  <c r="O129" i="32"/>
  <c r="P129" i="32" s="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N133" i="32"/>
  <c r="O131" i="32"/>
  <c r="P131" i="32" s="1"/>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M133" i="32"/>
  <c r="J104" i="32"/>
  <c r="L104" i="32" s="1"/>
  <c r="O135" i="32"/>
  <c r="P135" i="32" s="1"/>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O104" i="32"/>
  <c r="K117" i="32"/>
  <c r="M90" i="32"/>
  <c r="N84" i="32"/>
  <c r="O84" i="32" s="1"/>
  <c r="P84" i="32" s="1"/>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N85" i="32"/>
  <c r="O85" i="32" s="1"/>
  <c r="P85" i="32" s="1"/>
  <c r="Q85" i="32" s="1"/>
  <c r="R85" i="32" s="1"/>
  <c r="S85" i="32" s="1"/>
  <c r="T85" i="32" s="1"/>
  <c r="U85" i="32" s="1"/>
  <c r="V85" i="32" s="1"/>
  <c r="W85" i="32" s="1"/>
  <c r="X85" i="32" s="1"/>
  <c r="Y85" i="32" s="1"/>
  <c r="Z85" i="32" s="1"/>
  <c r="AA85" i="32" s="1"/>
  <c r="AB85" i="32" s="1"/>
  <c r="AC85" i="32" s="1"/>
  <c r="AD85" i="32" s="1"/>
  <c r="AE85" i="32" s="1"/>
  <c r="AF85" i="32" s="1"/>
  <c r="AG85" i="32" s="1"/>
  <c r="AH85" i="32" s="1"/>
  <c r="AI85" i="32" s="1"/>
  <c r="AJ85" i="32" s="1"/>
  <c r="AK85" i="32" s="1"/>
  <c r="AL85" i="32" s="1"/>
  <c r="AM85" i="32" s="1"/>
  <c r="AN85" i="32" s="1"/>
  <c r="AO85" i="32" s="1"/>
  <c r="AP85" i="32" s="1"/>
  <c r="AP91" i="32" s="1"/>
  <c r="AP134" i="32" s="1"/>
  <c r="M91" i="32"/>
  <c r="M104" i="32" l="1"/>
  <c r="N104" i="32"/>
  <c r="K104" i="32"/>
  <c r="N90" i="32"/>
  <c r="W91" i="32"/>
  <c r="W134" i="32" s="1"/>
  <c r="V91" i="32"/>
  <c r="V134" i="32" s="1"/>
  <c r="AL91" i="32"/>
  <c r="AL134" i="32" s="1"/>
  <c r="U91" i="32"/>
  <c r="U134" i="32" s="1"/>
  <c r="T91" i="32"/>
  <c r="T134" i="32" s="1"/>
  <c r="AI91" i="32"/>
  <c r="AI134" i="32" s="1"/>
  <c r="S91" i="32"/>
  <c r="S134" i="32" s="1"/>
  <c r="X91" i="32"/>
  <c r="X134" i="32" s="1"/>
  <c r="AJ91" i="32"/>
  <c r="AJ134" i="32" s="1"/>
  <c r="AH91" i="32"/>
  <c r="AH134" i="32" s="1"/>
  <c r="R91" i="32"/>
  <c r="R134" i="32" s="1"/>
  <c r="AG91" i="32"/>
  <c r="AG134" i="32" s="1"/>
  <c r="Q91" i="32"/>
  <c r="Q134" i="32" s="1"/>
  <c r="AF91" i="32"/>
  <c r="AF134" i="32" s="1"/>
  <c r="P91" i="32"/>
  <c r="P134" i="32" s="1"/>
  <c r="AD91" i="32"/>
  <c r="AD134" i="32" s="1"/>
  <c r="N91" i="32"/>
  <c r="Z91" i="32"/>
  <c r="Z134" i="32" s="1"/>
  <c r="AB91" i="32"/>
  <c r="AB134" i="32" s="1"/>
  <c r="AE91" i="32"/>
  <c r="AE134" i="32" s="1"/>
  <c r="AO91" i="32"/>
  <c r="AO134" i="32" s="1"/>
  <c r="AC91" i="32"/>
  <c r="AC134" i="32" s="1"/>
  <c r="O90" i="32"/>
  <c r="AN91" i="32"/>
  <c r="AN134" i="32" s="1"/>
  <c r="P90" i="32"/>
  <c r="P127" i="32"/>
  <c r="Q84" i="32"/>
  <c r="AM91" i="32"/>
  <c r="AM134" i="32" s="1"/>
  <c r="AA91" i="32"/>
  <c r="AA134" i="32" s="1"/>
  <c r="O91" i="32"/>
  <c r="AK91" i="32"/>
  <c r="AK134" i="32" s="1"/>
  <c r="Y91" i="32"/>
  <c r="Y134" i="32" s="1"/>
  <c r="R84" i="32" l="1"/>
  <c r="Q90" i="32"/>
  <c r="Q127" i="32" s="1"/>
  <c r="S84" i="32" l="1"/>
  <c r="R90" i="32"/>
  <c r="R127" i="32" s="1"/>
  <c r="T84" i="32" l="1"/>
  <c r="S90" i="32"/>
  <c r="S127" i="32" s="1"/>
  <c r="U84" i="32" l="1"/>
  <c r="T90" i="32"/>
  <c r="T127" i="32" s="1"/>
  <c r="V84" i="32" l="1"/>
  <c r="U90" i="32"/>
  <c r="U127" i="32" s="1"/>
  <c r="W84" i="32" l="1"/>
  <c r="V90" i="32"/>
  <c r="V127" i="32" s="1"/>
  <c r="X84" i="32" l="1"/>
  <c r="W90" i="32"/>
  <c r="W127" i="32" s="1"/>
  <c r="Y84" i="32" l="1"/>
  <c r="X90" i="32"/>
  <c r="X127" i="32" s="1"/>
  <c r="Z84" i="32" l="1"/>
  <c r="Y90" i="32"/>
  <c r="Y127" i="32" s="1"/>
  <c r="AA84" i="32" l="1"/>
  <c r="Z90" i="32"/>
  <c r="Z127" i="32" s="1"/>
  <c r="AB84" i="32" l="1"/>
  <c r="AA90" i="32"/>
  <c r="AA127" i="32" s="1"/>
  <c r="AC84" i="32" l="1"/>
  <c r="AB90" i="32"/>
  <c r="AB127" i="32" s="1"/>
  <c r="AD84" i="32" l="1"/>
  <c r="AC90" i="32"/>
  <c r="AC127" i="32" s="1"/>
  <c r="AE84" i="32" l="1"/>
  <c r="AD90" i="32"/>
  <c r="AD127" i="32" s="1"/>
  <c r="J132" i="32" l="1"/>
  <c r="N132" i="32" s="1"/>
  <c r="J115" i="32"/>
  <c r="M115" i="32"/>
  <c r="L115" i="32"/>
  <c r="N115" i="32"/>
  <c r="K115" i="32"/>
  <c r="K132" i="32"/>
  <c r="L132" i="32"/>
  <c r="AF84" i="32"/>
  <c r="AE90" i="32"/>
  <c r="AE127" i="32" s="1"/>
  <c r="J130" i="32" l="1"/>
  <c r="M132" i="32"/>
  <c r="J136" i="32"/>
  <c r="N136" i="32" s="1"/>
  <c r="J125" i="32"/>
  <c r="M125" i="32" s="1"/>
  <c r="J128" i="32"/>
  <c r="L128" i="32" s="1"/>
  <c r="J135" i="32"/>
  <c r="N135" i="32" s="1"/>
  <c r="M135" i="32"/>
  <c r="M130" i="32"/>
  <c r="K130" i="32"/>
  <c r="L130" i="32"/>
  <c r="N130" i="32"/>
  <c r="AG84" i="32"/>
  <c r="AF90" i="32"/>
  <c r="AF127" i="32" s="1"/>
  <c r="L125" i="32"/>
  <c r="N125" i="32"/>
  <c r="N128" i="32"/>
  <c r="K128" i="32"/>
  <c r="M128" i="32"/>
  <c r="K135" i="32" l="1"/>
  <c r="L136" i="32"/>
  <c r="M136" i="32"/>
  <c r="K136" i="32"/>
  <c r="K125" i="32"/>
  <c r="L135" i="32"/>
  <c r="AH84" i="32"/>
  <c r="AG90" i="32"/>
  <c r="AG127" i="32" s="1"/>
  <c r="AI84" i="32" l="1"/>
  <c r="AH90" i="32"/>
  <c r="AH127" i="32" s="1"/>
  <c r="AJ84" i="32" l="1"/>
  <c r="AI90" i="32"/>
  <c r="AI127" i="32" s="1"/>
  <c r="AK84" i="32" l="1"/>
  <c r="AJ90" i="32"/>
  <c r="AJ127" i="32" s="1"/>
  <c r="AL84" i="32" l="1"/>
  <c r="AK90" i="32"/>
  <c r="AK127" i="32" s="1"/>
  <c r="J131" i="32" l="1"/>
  <c r="J129" i="32"/>
  <c r="L129" i="32" s="1"/>
  <c r="L131" i="32"/>
  <c r="N131" i="32"/>
  <c r="M131" i="32"/>
  <c r="K131" i="32"/>
  <c r="N129" i="32"/>
  <c r="AM84" i="32"/>
  <c r="AL90" i="32"/>
  <c r="AL127" i="32" s="1"/>
  <c r="K129" i="32" l="1"/>
  <c r="M129" i="32"/>
  <c r="AN84" i="32"/>
  <c r="AM90" i="32"/>
  <c r="AM127" i="32" s="1"/>
  <c r="O100" i="32" l="1"/>
  <c r="P100" i="32" s="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O103" i="32"/>
  <c r="O96" i="32"/>
  <c r="L70" i="47" s="1"/>
  <c r="J103" i="32"/>
  <c r="G71" i="47" s="1"/>
  <c r="O102" i="32"/>
  <c r="P102" i="32" s="1"/>
  <c r="O118" i="32"/>
  <c r="L64" i="47" s="1"/>
  <c r="J107" i="32"/>
  <c r="G77" i="47" s="1"/>
  <c r="J118" i="32"/>
  <c r="J83" i="32" s="1"/>
  <c r="J89" i="32" s="1"/>
  <c r="O107" i="32"/>
  <c r="P107" i="32" s="1"/>
  <c r="P103" i="32"/>
  <c r="M103" i="32"/>
  <c r="J71" i="47" s="1"/>
  <c r="L71" i="47"/>
  <c r="G64" i="47"/>
  <c r="AO84" i="32"/>
  <c r="AN90" i="32"/>
  <c r="AN127" i="32" s="1"/>
  <c r="L77" i="47" l="1"/>
  <c r="N103" i="32"/>
  <c r="K71" i="47" s="1"/>
  <c r="K103" i="32"/>
  <c r="H71" i="47" s="1"/>
  <c r="P96" i="32"/>
  <c r="M70" i="47" s="1"/>
  <c r="L103" i="32"/>
  <c r="I71" i="47" s="1"/>
  <c r="O124" i="32"/>
  <c r="P124" i="32" s="1"/>
  <c r="O97" i="32"/>
  <c r="L74" i="47" s="1"/>
  <c r="L107" i="32"/>
  <c r="I77" i="47" s="1"/>
  <c r="O110" i="32"/>
  <c r="P110" i="32" s="1"/>
  <c r="J102" i="32"/>
  <c r="G72" i="47" s="1"/>
  <c r="L72" i="47"/>
  <c r="O113" i="32"/>
  <c r="P113" i="32" s="1"/>
  <c r="O123" i="32"/>
  <c r="O114" i="32"/>
  <c r="P114" i="32" s="1"/>
  <c r="N118" i="32"/>
  <c r="K64" i="47" s="1"/>
  <c r="M118" i="32"/>
  <c r="M83" i="32" s="1"/>
  <c r="M107" i="32"/>
  <c r="J77" i="47" s="1"/>
  <c r="L118" i="32"/>
  <c r="L83" i="32" s="1"/>
  <c r="L89" i="32" s="1"/>
  <c r="O121" i="32"/>
  <c r="P121" i="32" s="1"/>
  <c r="N107" i="32"/>
  <c r="K77" i="47" s="1"/>
  <c r="K118" i="32"/>
  <c r="H64" i="47" s="1"/>
  <c r="J100" i="32"/>
  <c r="K100" i="32" s="1"/>
  <c r="K107" i="32"/>
  <c r="H77" i="47" s="1"/>
  <c r="Q107" i="32"/>
  <c r="M77" i="47"/>
  <c r="P123" i="32"/>
  <c r="L66" i="47"/>
  <c r="M72" i="47"/>
  <c r="Q102" i="32"/>
  <c r="L100" i="32"/>
  <c r="AP84" i="32"/>
  <c r="AP90" i="32" s="1"/>
  <c r="AP127" i="32" s="1"/>
  <c r="AO90" i="32"/>
  <c r="AO127" i="32" s="1"/>
  <c r="Q103" i="32"/>
  <c r="M71" i="47"/>
  <c r="Q96" i="32" l="1"/>
  <c r="R96" i="32" s="1"/>
  <c r="J64" i="47"/>
  <c r="M102" i="32"/>
  <c r="J72" i="47" s="1"/>
  <c r="L102" i="32"/>
  <c r="I72" i="47" s="1"/>
  <c r="K83" i="32"/>
  <c r="K89" i="32" s="1"/>
  <c r="K102" i="32"/>
  <c r="H72" i="47" s="1"/>
  <c r="N102" i="32"/>
  <c r="K72" i="47" s="1"/>
  <c r="P97" i="32"/>
  <c r="M74" i="47" s="1"/>
  <c r="L75" i="47"/>
  <c r="L65" i="47"/>
  <c r="L78" i="47"/>
  <c r="N100" i="32"/>
  <c r="J96" i="32"/>
  <c r="O112" i="32"/>
  <c r="L80" i="47" s="1"/>
  <c r="M100" i="32"/>
  <c r="O108" i="32"/>
  <c r="J114" i="32"/>
  <c r="K114" i="32" s="1"/>
  <c r="H78" i="47" s="1"/>
  <c r="O120" i="32"/>
  <c r="J97" i="32"/>
  <c r="G74" i="47" s="1"/>
  <c r="O99" i="32"/>
  <c r="J121" i="32"/>
  <c r="G67" i="47" s="1"/>
  <c r="I64" i="47"/>
  <c r="J124" i="32"/>
  <c r="G65" i="47" s="1"/>
  <c r="J113" i="32"/>
  <c r="G79" i="47" s="1"/>
  <c r="L67" i="47"/>
  <c r="L79" i="47"/>
  <c r="O111" i="32"/>
  <c r="P111" i="32" s="1"/>
  <c r="M121" i="32"/>
  <c r="J67" i="47" s="1"/>
  <c r="L121" i="32"/>
  <c r="I67" i="47" s="1"/>
  <c r="N121" i="32"/>
  <c r="K67" i="47" s="1"/>
  <c r="N124" i="32"/>
  <c r="K65" i="47" s="1"/>
  <c r="K121" i="32"/>
  <c r="H67" i="47" s="1"/>
  <c r="Q114" i="32"/>
  <c r="M78" i="47"/>
  <c r="M124" i="32"/>
  <c r="J65" i="47" s="1"/>
  <c r="N77" i="47"/>
  <c r="R107" i="32"/>
  <c r="M67" i="47"/>
  <c r="Q121" i="32"/>
  <c r="L124" i="32"/>
  <c r="I65" i="47" s="1"/>
  <c r="G70" i="47"/>
  <c r="N96" i="32"/>
  <c r="K70" i="47" s="1"/>
  <c r="K96" i="32"/>
  <c r="H70" i="47" s="1"/>
  <c r="M96" i="32"/>
  <c r="J70" i="47" s="1"/>
  <c r="L96" i="32"/>
  <c r="I70" i="47" s="1"/>
  <c r="Q124" i="32"/>
  <c r="M65" i="47"/>
  <c r="M89" i="32"/>
  <c r="N83" i="32"/>
  <c r="O83" i="32" s="1"/>
  <c r="P83" i="32" s="1"/>
  <c r="Q83" i="32" s="1"/>
  <c r="R83" i="32" s="1"/>
  <c r="S83" i="32" s="1"/>
  <c r="T83" i="32" s="1"/>
  <c r="U83" i="32" s="1"/>
  <c r="V83" i="32" s="1"/>
  <c r="W83" i="32" s="1"/>
  <c r="X83" i="32" s="1"/>
  <c r="L82" i="47"/>
  <c r="G78" i="47"/>
  <c r="L62" i="47"/>
  <c r="P120" i="32"/>
  <c r="N71" i="47"/>
  <c r="R103" i="32"/>
  <c r="R102" i="32"/>
  <c r="N72" i="47"/>
  <c r="Q123" i="32"/>
  <c r="M66" i="47"/>
  <c r="P99" i="32"/>
  <c r="L68" i="47"/>
  <c r="M79" i="47"/>
  <c r="Q113" i="32"/>
  <c r="Q110" i="32"/>
  <c r="M75" i="47"/>
  <c r="N70" i="47" l="1"/>
  <c r="Q97" i="32"/>
  <c r="R97" i="32" s="1"/>
  <c r="P112" i="32"/>
  <c r="M80" i="47" s="1"/>
  <c r="K124" i="32"/>
  <c r="H65" i="47" s="1"/>
  <c r="J108" i="32"/>
  <c r="N108" i="32" s="1"/>
  <c r="K82" i="47" s="1"/>
  <c r="L97" i="32"/>
  <c r="I74" i="47" s="1"/>
  <c r="M97" i="32"/>
  <c r="J74" i="47" s="1"/>
  <c r="L114" i="32"/>
  <c r="I78" i="47" s="1"/>
  <c r="J111" i="32"/>
  <c r="G81" i="47" s="1"/>
  <c r="N114" i="32"/>
  <c r="K78" i="47" s="1"/>
  <c r="N113" i="32"/>
  <c r="K79" i="47" s="1"/>
  <c r="L113" i="32"/>
  <c r="I79" i="47" s="1"/>
  <c r="N97" i="32"/>
  <c r="K74" i="47" s="1"/>
  <c r="L81" i="47"/>
  <c r="K113" i="32"/>
  <c r="H79" i="47" s="1"/>
  <c r="M114" i="32"/>
  <c r="J78" i="47" s="1"/>
  <c r="M113" i="32"/>
  <c r="J79" i="47" s="1"/>
  <c r="K97" i="32"/>
  <c r="H74" i="47" s="1"/>
  <c r="J123" i="32"/>
  <c r="L111" i="32"/>
  <c r="I81" i="47" s="1"/>
  <c r="S89" i="32"/>
  <c r="S118" i="32" s="1"/>
  <c r="P64" i="47" s="1"/>
  <c r="R89" i="32"/>
  <c r="R118" i="32" s="1"/>
  <c r="O64" i="47" s="1"/>
  <c r="T89" i="32"/>
  <c r="T118" i="32" s="1"/>
  <c r="Q64" i="47" s="1"/>
  <c r="K111" i="32"/>
  <c r="H81" i="47" s="1"/>
  <c r="Q89" i="32"/>
  <c r="Q118" i="32" s="1"/>
  <c r="N64" i="47" s="1"/>
  <c r="O77" i="47"/>
  <c r="S107" i="32"/>
  <c r="N111" i="32"/>
  <c r="K81" i="47" s="1"/>
  <c r="M68" i="47"/>
  <c r="Q99" i="32"/>
  <c r="M62" i="47"/>
  <c r="Q120" i="32"/>
  <c r="N89" i="32"/>
  <c r="M111" i="32"/>
  <c r="J81" i="47" s="1"/>
  <c r="R110" i="32"/>
  <c r="N75" i="47"/>
  <c r="O89" i="32"/>
  <c r="N74" i="47"/>
  <c r="N66" i="47"/>
  <c r="R123" i="32"/>
  <c r="P89" i="32"/>
  <c r="P118" i="32" s="1"/>
  <c r="M64" i="47" s="1"/>
  <c r="M81" i="47"/>
  <c r="Q111" i="32"/>
  <c r="R113" i="32"/>
  <c r="N79" i="47"/>
  <c r="Y83" i="32"/>
  <c r="X118" i="32"/>
  <c r="U64" i="47" s="1"/>
  <c r="S102" i="32"/>
  <c r="O72" i="47"/>
  <c r="X89" i="32"/>
  <c r="O70" i="47"/>
  <c r="S96" i="32"/>
  <c r="M108" i="32"/>
  <c r="W89" i="32"/>
  <c r="W118" i="32" s="1"/>
  <c r="T64" i="47" s="1"/>
  <c r="R121" i="32"/>
  <c r="N67" i="47"/>
  <c r="S103" i="32"/>
  <c r="O71" i="47"/>
  <c r="V89" i="32"/>
  <c r="V118" i="32" s="1"/>
  <c r="S64" i="47" s="1"/>
  <c r="N65" i="47"/>
  <c r="R124" i="32"/>
  <c r="R114" i="32"/>
  <c r="N78" i="47"/>
  <c r="G66" i="47"/>
  <c r="N123" i="32"/>
  <c r="K66" i="47" s="1"/>
  <c r="K123" i="32"/>
  <c r="H66" i="47" s="1"/>
  <c r="L123" i="32"/>
  <c r="I66" i="47" s="1"/>
  <c r="M123" i="32"/>
  <c r="J66" i="47" s="1"/>
  <c r="U89" i="32"/>
  <c r="U118" i="32" s="1"/>
  <c r="R64" i="47" s="1"/>
  <c r="Q112" i="32" l="1"/>
  <c r="N80" i="47" s="1"/>
  <c r="J82" i="32"/>
  <c r="J88" i="32" s="1"/>
  <c r="G82" i="47"/>
  <c r="L108" i="32"/>
  <c r="K108" i="32"/>
  <c r="O98" i="32"/>
  <c r="J122" i="32"/>
  <c r="O119" i="32"/>
  <c r="O101" i="32"/>
  <c r="O109" i="32"/>
  <c r="P109" i="32" s="1"/>
  <c r="M82" i="32"/>
  <c r="J82" i="47"/>
  <c r="N81" i="47"/>
  <c r="R111" i="32"/>
  <c r="T96" i="32"/>
  <c r="P70" i="47"/>
  <c r="S114" i="32"/>
  <c r="O78" i="47"/>
  <c r="R120" i="32"/>
  <c r="N62" i="47"/>
  <c r="O79" i="47"/>
  <c r="S113" i="32"/>
  <c r="O65" i="47"/>
  <c r="S124" i="32"/>
  <c r="S123" i="32"/>
  <c r="O66" i="47"/>
  <c r="L73" i="47"/>
  <c r="P101" i="32"/>
  <c r="R99" i="32"/>
  <c r="N68" i="47"/>
  <c r="P119" i="32"/>
  <c r="L63" i="47"/>
  <c r="L82" i="32"/>
  <c r="L88" i="32" s="1"/>
  <c r="I82" i="47"/>
  <c r="O74" i="47"/>
  <c r="S97" i="32"/>
  <c r="H82" i="47"/>
  <c r="K82" i="32"/>
  <c r="K88" i="32" s="1"/>
  <c r="P72" i="47"/>
  <c r="T102" i="32"/>
  <c r="P77" i="47"/>
  <c r="T107" i="32"/>
  <c r="L69" i="47"/>
  <c r="O74" i="32"/>
  <c r="P98" i="32"/>
  <c r="T103" i="32"/>
  <c r="P71" i="47"/>
  <c r="Z83" i="32"/>
  <c r="Y89" i="32"/>
  <c r="Y118" i="32" s="1"/>
  <c r="V64" i="47" s="1"/>
  <c r="O75" i="47"/>
  <c r="S110" i="32"/>
  <c r="O67" i="47"/>
  <c r="S121" i="32"/>
  <c r="R112" i="32" l="1"/>
  <c r="O80" i="47" s="1"/>
  <c r="L76" i="47"/>
  <c r="J120" i="32"/>
  <c r="J110" i="32"/>
  <c r="J99" i="32"/>
  <c r="J112" i="32"/>
  <c r="G80" i="47" s="1"/>
  <c r="S99" i="32"/>
  <c r="O68" i="47"/>
  <c r="Q77" i="47"/>
  <c r="U107" i="32"/>
  <c r="T113" i="32"/>
  <c r="P79" i="47"/>
  <c r="AA83" i="32"/>
  <c r="Z89" i="32"/>
  <c r="Z118" i="32" s="1"/>
  <c r="W64" i="47" s="1"/>
  <c r="Q72" i="47"/>
  <c r="U102" i="32"/>
  <c r="G75" i="47"/>
  <c r="M110" i="32"/>
  <c r="J75" i="47" s="1"/>
  <c r="L110" i="32"/>
  <c r="I75" i="47" s="1"/>
  <c r="K110" i="32"/>
  <c r="H75" i="47" s="1"/>
  <c r="N110" i="32"/>
  <c r="K75" i="47" s="1"/>
  <c r="O62" i="47"/>
  <c r="S120" i="32"/>
  <c r="Q71" i="47"/>
  <c r="U103" i="32"/>
  <c r="Q109" i="32"/>
  <c r="M76" i="47"/>
  <c r="P78" i="47"/>
  <c r="T114" i="32"/>
  <c r="G68" i="47"/>
  <c r="L99" i="32"/>
  <c r="I68" i="47" s="1"/>
  <c r="N99" i="32"/>
  <c r="K68" i="47" s="1"/>
  <c r="K99" i="32"/>
  <c r="H68" i="47" s="1"/>
  <c r="M99" i="32"/>
  <c r="J68" i="47" s="1"/>
  <c r="Q101" i="32"/>
  <c r="M73" i="47"/>
  <c r="S112" i="32"/>
  <c r="Q70" i="47"/>
  <c r="U96" i="32"/>
  <c r="T97" i="32"/>
  <c r="P74" i="47"/>
  <c r="O81" i="47"/>
  <c r="S111" i="32"/>
  <c r="G62" i="47"/>
  <c r="M120" i="32"/>
  <c r="J62" i="47" s="1"/>
  <c r="K120" i="32"/>
  <c r="H62" i="47" s="1"/>
  <c r="L120" i="32"/>
  <c r="I62" i="47" s="1"/>
  <c r="N120" i="32"/>
  <c r="K62" i="47" s="1"/>
  <c r="T121" i="32"/>
  <c r="P67" i="47"/>
  <c r="Q98" i="32"/>
  <c r="M69" i="47"/>
  <c r="T123" i="32"/>
  <c r="P66" i="47"/>
  <c r="T124" i="32"/>
  <c r="P65" i="47"/>
  <c r="T110" i="32"/>
  <c r="P75" i="47"/>
  <c r="Q119" i="32"/>
  <c r="M63" i="47"/>
  <c r="N82" i="32"/>
  <c r="O82" i="32" s="1"/>
  <c r="P82" i="32" s="1"/>
  <c r="Q82" i="32" s="1"/>
  <c r="Q88" i="32" s="1"/>
  <c r="M88" i="32"/>
  <c r="L112" i="32" l="1"/>
  <c r="I80" i="47" s="1"/>
  <c r="K112" i="32"/>
  <c r="H80" i="47" s="1"/>
  <c r="N112" i="32"/>
  <c r="K80" i="47" s="1"/>
  <c r="M112" i="32"/>
  <c r="J80" i="47" s="1"/>
  <c r="J98" i="32"/>
  <c r="J119" i="32"/>
  <c r="J101" i="32"/>
  <c r="M101" i="32" s="1"/>
  <c r="J73" i="47" s="1"/>
  <c r="J109" i="32"/>
  <c r="G76" i="47" s="1"/>
  <c r="O88" i="32"/>
  <c r="R119" i="32"/>
  <c r="N63" i="47"/>
  <c r="U114" i="32"/>
  <c r="Q78" i="47"/>
  <c r="Q75" i="47"/>
  <c r="U110" i="32"/>
  <c r="V96" i="32"/>
  <c r="R70" i="47"/>
  <c r="V102" i="32"/>
  <c r="R72" i="47"/>
  <c r="M109" i="32"/>
  <c r="J76" i="47" s="1"/>
  <c r="N109" i="32"/>
  <c r="K76" i="47" s="1"/>
  <c r="Q65" i="47"/>
  <c r="U124" i="32"/>
  <c r="T112" i="32"/>
  <c r="P80" i="47"/>
  <c r="N76" i="47"/>
  <c r="R109" i="32"/>
  <c r="T111" i="32"/>
  <c r="P81" i="47"/>
  <c r="V103" i="32"/>
  <c r="R71" i="47"/>
  <c r="AB83" i="32"/>
  <c r="AA89" i="32"/>
  <c r="AA118" i="32" s="1"/>
  <c r="X64" i="47" s="1"/>
  <c r="N88" i="32"/>
  <c r="U123" i="32"/>
  <c r="Q66" i="47"/>
  <c r="G73" i="47"/>
  <c r="L101" i="32"/>
  <c r="I73" i="47" s="1"/>
  <c r="P88" i="32"/>
  <c r="P108" i="32" s="1"/>
  <c r="N73" i="47"/>
  <c r="R101" i="32"/>
  <c r="P62" i="47"/>
  <c r="T120" i="32"/>
  <c r="U113" i="32"/>
  <c r="Q79" i="47"/>
  <c r="U97" i="32"/>
  <c r="Q74" i="47"/>
  <c r="V107" i="32"/>
  <c r="R77" i="47"/>
  <c r="R98" i="32"/>
  <c r="N69" i="47"/>
  <c r="J81" i="32"/>
  <c r="J87" i="32" s="1"/>
  <c r="G69" i="47"/>
  <c r="J74" i="32"/>
  <c r="J77" i="32" s="1"/>
  <c r="N98" i="32"/>
  <c r="K98" i="32"/>
  <c r="L98" i="32"/>
  <c r="M98" i="32"/>
  <c r="G63" i="47"/>
  <c r="M119" i="32"/>
  <c r="J63" i="47" s="1"/>
  <c r="N119" i="32"/>
  <c r="K63" i="47" s="1"/>
  <c r="L119" i="32"/>
  <c r="I63" i="47" s="1"/>
  <c r="K119" i="32"/>
  <c r="H63" i="47" s="1"/>
  <c r="R82" i="32"/>
  <c r="Q108" i="32"/>
  <c r="N82" i="47" s="1"/>
  <c r="U121" i="32"/>
  <c r="Q67" i="47"/>
  <c r="T99" i="32"/>
  <c r="P68" i="47"/>
  <c r="K101" i="32" l="1"/>
  <c r="H73" i="47" s="1"/>
  <c r="K109" i="32"/>
  <c r="H76" i="47" s="1"/>
  <c r="N101" i="32"/>
  <c r="K73" i="47" s="1"/>
  <c r="L109" i="32"/>
  <c r="I76" i="47" s="1"/>
  <c r="Q74" i="32"/>
  <c r="M82" i="47"/>
  <c r="P74" i="32"/>
  <c r="S71" i="47"/>
  <c r="W103" i="32"/>
  <c r="O69" i="47"/>
  <c r="S98" i="32"/>
  <c r="U111" i="32"/>
  <c r="Q81" i="47"/>
  <c r="S77" i="47"/>
  <c r="W107" i="32"/>
  <c r="S109" i="32"/>
  <c r="O76" i="47"/>
  <c r="W102" i="32"/>
  <c r="S72" i="47"/>
  <c r="J69" i="47"/>
  <c r="M81" i="32"/>
  <c r="M74" i="32"/>
  <c r="L81" i="32"/>
  <c r="L87" i="32" s="1"/>
  <c r="L74" i="32"/>
  <c r="L77" i="32" s="1"/>
  <c r="I69" i="47"/>
  <c r="V97" i="32"/>
  <c r="R74" i="47"/>
  <c r="W96" i="32"/>
  <c r="S70" i="47"/>
  <c r="U99" i="32"/>
  <c r="Q68" i="47"/>
  <c r="K74" i="32"/>
  <c r="K77" i="32" s="1"/>
  <c r="H69" i="47"/>
  <c r="K81" i="32"/>
  <c r="K87" i="32" s="1"/>
  <c r="U112" i="32"/>
  <c r="Q80" i="47"/>
  <c r="V110" i="32"/>
  <c r="R75" i="47"/>
  <c r="K69" i="47"/>
  <c r="N74" i="32"/>
  <c r="V113" i="32"/>
  <c r="R79" i="47"/>
  <c r="V123" i="32"/>
  <c r="R66" i="47"/>
  <c r="R65" i="47"/>
  <c r="V124" i="32"/>
  <c r="V121" i="32"/>
  <c r="R67" i="47"/>
  <c r="U120" i="32"/>
  <c r="Q62" i="47"/>
  <c r="V114" i="32"/>
  <c r="R78" i="47"/>
  <c r="S82" i="32"/>
  <c r="R88" i="32"/>
  <c r="R108" i="32" s="1"/>
  <c r="O82" i="47" s="1"/>
  <c r="O73" i="47"/>
  <c r="S101" i="32"/>
  <c r="AC83" i="32"/>
  <c r="AB89" i="32"/>
  <c r="AB118" i="32" s="1"/>
  <c r="Y64" i="47" s="1"/>
  <c r="O63" i="47"/>
  <c r="S119" i="32"/>
  <c r="Q77" i="32" l="1"/>
  <c r="X96" i="32"/>
  <c r="T70" i="47"/>
  <c r="P76" i="47"/>
  <c r="T109" i="32"/>
  <c r="S78" i="47"/>
  <c r="W114" i="32"/>
  <c r="X107" i="32"/>
  <c r="T77" i="47"/>
  <c r="S74" i="47"/>
  <c r="W97" i="32"/>
  <c r="T119" i="32"/>
  <c r="P63" i="47"/>
  <c r="V120" i="32"/>
  <c r="R62" i="47"/>
  <c r="W110" i="32"/>
  <c r="S75" i="47"/>
  <c r="R81" i="47"/>
  <c r="V111" i="32"/>
  <c r="W121" i="32"/>
  <c r="S67" i="47"/>
  <c r="V112" i="32"/>
  <c r="R80" i="47"/>
  <c r="R74" i="32"/>
  <c r="R77" i="32" s="1"/>
  <c r="W124" i="32"/>
  <c r="S65" i="47"/>
  <c r="O77" i="32"/>
  <c r="N77" i="32"/>
  <c r="P77" i="32"/>
  <c r="M77" i="32"/>
  <c r="P69" i="47"/>
  <c r="T98" i="32"/>
  <c r="AD83" i="32"/>
  <c r="AC89" i="32"/>
  <c r="AC118" i="32" s="1"/>
  <c r="Z64" i="47" s="1"/>
  <c r="N81" i="32"/>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T101" i="32"/>
  <c r="P73" i="47"/>
  <c r="T71" i="47"/>
  <c r="X103" i="32"/>
  <c r="S66" i="47"/>
  <c r="W123" i="32"/>
  <c r="V99" i="32"/>
  <c r="R68" i="47"/>
  <c r="X102" i="32"/>
  <c r="T72" i="47"/>
  <c r="T82" i="32"/>
  <c r="S88" i="32"/>
  <c r="S108" i="32" s="1"/>
  <c r="P82" i="47" s="1"/>
  <c r="W113" i="32"/>
  <c r="S79" i="47"/>
  <c r="S74" i="32" l="1"/>
  <c r="S77" i="32" s="1"/>
  <c r="AO87" i="32"/>
  <c r="P87" i="32"/>
  <c r="X124" i="32"/>
  <c r="T65" i="47"/>
  <c r="X123" i="32"/>
  <c r="T66" i="47"/>
  <c r="W87" i="32"/>
  <c r="Z87" i="32"/>
  <c r="X97" i="32"/>
  <c r="T74" i="47"/>
  <c r="AB87" i="32"/>
  <c r="AC87" i="32"/>
  <c r="AE83" i="32"/>
  <c r="AD89" i="32"/>
  <c r="AD118" i="32" s="1"/>
  <c r="AA64" i="47" s="1"/>
  <c r="S80" i="47"/>
  <c r="W112" i="32"/>
  <c r="W99" i="32"/>
  <c r="S68" i="47"/>
  <c r="Y103" i="32"/>
  <c r="U71" i="47"/>
  <c r="AF87" i="32"/>
  <c r="AD87" i="32"/>
  <c r="AI87" i="32"/>
  <c r="AH87" i="32"/>
  <c r="X87" i="32"/>
  <c r="Q69" i="47"/>
  <c r="U98" i="32"/>
  <c r="X121" i="32"/>
  <c r="T67" i="47"/>
  <c r="Y107" i="32"/>
  <c r="U77" i="47"/>
  <c r="Q63" i="47"/>
  <c r="U119" i="32"/>
  <c r="U87" i="32"/>
  <c r="AK87" i="32"/>
  <c r="W111" i="32"/>
  <c r="S81" i="47"/>
  <c r="X114" i="32"/>
  <c r="T78" i="47"/>
  <c r="X113" i="32"/>
  <c r="T79" i="47"/>
  <c r="U101" i="32"/>
  <c r="Q73" i="47"/>
  <c r="T87" i="32"/>
  <c r="S87" i="32"/>
  <c r="AA87" i="32"/>
  <c r="V87" i="32"/>
  <c r="R87" i="32"/>
  <c r="AG87" i="32"/>
  <c r="U109" i="32"/>
  <c r="Q76" i="47"/>
  <c r="U82" i="32"/>
  <c r="T88" i="32"/>
  <c r="T108" i="32" s="1"/>
  <c r="Q82" i="47" s="1"/>
  <c r="AM87" i="32"/>
  <c r="AL87" i="32"/>
  <c r="AE87" i="32"/>
  <c r="X110" i="32"/>
  <c r="T75" i="47"/>
  <c r="AN87" i="32"/>
  <c r="N87" i="32"/>
  <c r="AJ87" i="32"/>
  <c r="Y102" i="32"/>
  <c r="U72" i="47"/>
  <c r="Y87" i="32"/>
  <c r="O87" i="32"/>
  <c r="Q87" i="32"/>
  <c r="W120" i="32"/>
  <c r="S62" i="47"/>
  <c r="Y96" i="32"/>
  <c r="U70" i="47"/>
  <c r="Z96" i="32" l="1"/>
  <c r="V70" i="47"/>
  <c r="Y110" i="32"/>
  <c r="U75" i="47"/>
  <c r="V119" i="32"/>
  <c r="R63" i="47"/>
  <c r="Y97" i="32"/>
  <c r="U74" i="47"/>
  <c r="X120" i="32"/>
  <c r="T62" i="47"/>
  <c r="R73" i="47"/>
  <c r="V101" i="32"/>
  <c r="Z107" i="32"/>
  <c r="V77" i="47"/>
  <c r="V71" i="47"/>
  <c r="Z103" i="32"/>
  <c r="V82" i="32"/>
  <c r="U88" i="32"/>
  <c r="U108" i="32" s="1"/>
  <c r="R82" i="47" s="1"/>
  <c r="U79" i="47"/>
  <c r="Y113" i="32"/>
  <c r="Y121" i="32"/>
  <c r="U67" i="47"/>
  <c r="X99" i="32"/>
  <c r="T68" i="47"/>
  <c r="U66" i="47"/>
  <c r="Y123" i="32"/>
  <c r="T74" i="32"/>
  <c r="T77" i="32" s="1"/>
  <c r="X112" i="32"/>
  <c r="T80" i="47"/>
  <c r="Z102" i="32"/>
  <c r="V72" i="47"/>
  <c r="V109" i="32"/>
  <c r="R76" i="47"/>
  <c r="Y114" i="32"/>
  <c r="U78" i="47"/>
  <c r="R69" i="47"/>
  <c r="V98" i="32"/>
  <c r="U65" i="47"/>
  <c r="Y124" i="32"/>
  <c r="X111" i="32"/>
  <c r="T81" i="47"/>
  <c r="AF83" i="32"/>
  <c r="AE89" i="32"/>
  <c r="AE118" i="32" s="1"/>
  <c r="AB64" i="47" s="1"/>
  <c r="S69" i="47" l="1"/>
  <c r="W98" i="32"/>
  <c r="AA96" i="32"/>
  <c r="W70" i="47"/>
  <c r="S73" i="47"/>
  <c r="W101" i="32"/>
  <c r="V78" i="47"/>
  <c r="Z114" i="32"/>
  <c r="Z121" i="32"/>
  <c r="V67" i="47"/>
  <c r="U62" i="47"/>
  <c r="Y120" i="32"/>
  <c r="W109" i="32"/>
  <c r="S76" i="47"/>
  <c r="Z113" i="32"/>
  <c r="V79" i="47"/>
  <c r="AG83" i="32"/>
  <c r="AF89" i="32"/>
  <c r="AF118" i="32" s="1"/>
  <c r="AC64" i="47" s="1"/>
  <c r="AA102" i="32"/>
  <c r="W72" i="47"/>
  <c r="Y111" i="32"/>
  <c r="U81" i="47"/>
  <c r="W82" i="32"/>
  <c r="V88" i="32"/>
  <c r="V108" i="32" s="1"/>
  <c r="S82" i="47" s="1"/>
  <c r="S63" i="47"/>
  <c r="W119" i="32"/>
  <c r="Z124" i="32"/>
  <c r="V65" i="47"/>
  <c r="Y112" i="32"/>
  <c r="U80" i="47"/>
  <c r="W71" i="47"/>
  <c r="AA103" i="32"/>
  <c r="V74" i="47"/>
  <c r="Z97" i="32"/>
  <c r="Z110" i="32"/>
  <c r="V75" i="47"/>
  <c r="Y99" i="32"/>
  <c r="U68" i="47"/>
  <c r="U74" i="32"/>
  <c r="U77" i="32" s="1"/>
  <c r="Z123" i="32"/>
  <c r="V66" i="47"/>
  <c r="AA107" i="32"/>
  <c r="W77" i="47"/>
  <c r="V68" i="47" l="1"/>
  <c r="Z99" i="32"/>
  <c r="X98" i="32"/>
  <c r="T69" i="47"/>
  <c r="Z120" i="32"/>
  <c r="V62" i="47"/>
  <c r="AA110" i="32"/>
  <c r="W75" i="47"/>
  <c r="X82" i="32"/>
  <c r="W88" i="32"/>
  <c r="W108" i="32" s="1"/>
  <c r="T82" i="47" s="1"/>
  <c r="T76" i="47"/>
  <c r="X109" i="32"/>
  <c r="W74" i="47"/>
  <c r="AA97" i="32"/>
  <c r="Z111" i="32"/>
  <c r="V81" i="47"/>
  <c r="AA121" i="32"/>
  <c r="W67" i="47"/>
  <c r="AB107" i="32"/>
  <c r="X77" i="47"/>
  <c r="T73" i="47"/>
  <c r="X101" i="32"/>
  <c r="Z112" i="32"/>
  <c r="V80" i="47"/>
  <c r="AH83" i="32"/>
  <c r="AG89" i="32"/>
  <c r="AG118" i="32" s="1"/>
  <c r="AD64" i="47" s="1"/>
  <c r="AB102" i="32"/>
  <c r="X72" i="47"/>
  <c r="AA123" i="32"/>
  <c r="W66" i="47"/>
  <c r="AA114" i="32"/>
  <c r="W78" i="47"/>
  <c r="W65" i="47"/>
  <c r="AA124" i="32"/>
  <c r="AA113" i="32"/>
  <c r="W79" i="47"/>
  <c r="X70" i="47"/>
  <c r="AB96" i="32"/>
  <c r="X71" i="47"/>
  <c r="AB103" i="32"/>
  <c r="T63" i="47"/>
  <c r="X119" i="32"/>
  <c r="V74" i="32"/>
  <c r="V77" i="32" s="1"/>
  <c r="AB113" i="32" l="1"/>
  <c r="X79" i="47"/>
  <c r="AA112" i="32"/>
  <c r="W80" i="47"/>
  <c r="AB124" i="32"/>
  <c r="X65" i="47"/>
  <c r="Y101" i="32"/>
  <c r="U73" i="47"/>
  <c r="Y82" i="32"/>
  <c r="X88" i="32"/>
  <c r="X108" i="32" s="1"/>
  <c r="U82" i="47" s="1"/>
  <c r="Y77" i="47"/>
  <c r="AC107" i="32"/>
  <c r="Y119" i="32"/>
  <c r="U63" i="47"/>
  <c r="X75" i="47"/>
  <c r="AB110" i="32"/>
  <c r="X66" i="47"/>
  <c r="AB123" i="32"/>
  <c r="AB121" i="32"/>
  <c r="X67" i="47"/>
  <c r="AA120" i="32"/>
  <c r="W62" i="47"/>
  <c r="Y71" i="47"/>
  <c r="AC103" i="32"/>
  <c r="W74" i="32"/>
  <c r="W77" i="32" s="1"/>
  <c r="AC102" i="32"/>
  <c r="Y72" i="47"/>
  <c r="AA111" i="32"/>
  <c r="W81" i="47"/>
  <c r="X78" i="47"/>
  <c r="AB114" i="32"/>
  <c r="Y70" i="47"/>
  <c r="AC96" i="32"/>
  <c r="AB97" i="32"/>
  <c r="X74" i="47"/>
  <c r="Y98" i="32"/>
  <c r="U69" i="47"/>
  <c r="AI83" i="32"/>
  <c r="AH89" i="32"/>
  <c r="AH118" i="32" s="1"/>
  <c r="AE64" i="47" s="1"/>
  <c r="AA99" i="32"/>
  <c r="W68" i="47"/>
  <c r="Y109" i="32"/>
  <c r="U76" i="47"/>
  <c r="Z98" i="32" l="1"/>
  <c r="V69" i="47"/>
  <c r="Z71" i="47"/>
  <c r="AD103" i="32"/>
  <c r="AD107" i="32"/>
  <c r="Z77" i="47"/>
  <c r="X62" i="47"/>
  <c r="AB120" i="32"/>
  <c r="Z82" i="32"/>
  <c r="Y88" i="32"/>
  <c r="Y108" i="32" s="1"/>
  <c r="V82" i="47" s="1"/>
  <c r="AD96" i="32"/>
  <c r="Z70" i="47"/>
  <c r="Z109" i="32"/>
  <c r="V76" i="47"/>
  <c r="AC114" i="32"/>
  <c r="Y78" i="47"/>
  <c r="AC121" i="32"/>
  <c r="Y67" i="47"/>
  <c r="V73" i="47"/>
  <c r="Z101" i="32"/>
  <c r="Y66" i="47"/>
  <c r="AC123" i="32"/>
  <c r="AB99" i="32"/>
  <c r="X68" i="47"/>
  <c r="Y65" i="47"/>
  <c r="AC124" i="32"/>
  <c r="X81" i="47"/>
  <c r="AB111" i="32"/>
  <c r="AC110" i="32"/>
  <c r="Y75" i="47"/>
  <c r="AJ83" i="32"/>
  <c r="AI89" i="32"/>
  <c r="AI118" i="32" s="1"/>
  <c r="AF64" i="47" s="1"/>
  <c r="X80" i="47"/>
  <c r="AB112" i="32"/>
  <c r="Y74" i="47"/>
  <c r="AC97" i="32"/>
  <c r="X74" i="32"/>
  <c r="X77" i="32" s="1"/>
  <c r="AD102" i="32"/>
  <c r="Z72" i="47"/>
  <c r="V63" i="47"/>
  <c r="Z119" i="32"/>
  <c r="AC113" i="32"/>
  <c r="Y79" i="47"/>
  <c r="AC99" i="32" l="1"/>
  <c r="Y68" i="47"/>
  <c r="AE96" i="32"/>
  <c r="AA70" i="47"/>
  <c r="AA82" i="32"/>
  <c r="Z88" i="32"/>
  <c r="Z108" i="32" s="1"/>
  <c r="W82" i="47" s="1"/>
  <c r="Z66" i="47"/>
  <c r="AD123" i="32"/>
  <c r="W73" i="47"/>
  <c r="AA101" i="32"/>
  <c r="Y62" i="47"/>
  <c r="AC120" i="32"/>
  <c r="AK83" i="32"/>
  <c r="AJ89" i="32"/>
  <c r="AJ118" i="32" s="1"/>
  <c r="AG64" i="47" s="1"/>
  <c r="AD113" i="32"/>
  <c r="Z79" i="47"/>
  <c r="AD97" i="32"/>
  <c r="Z74" i="47"/>
  <c r="W63" i="47"/>
  <c r="AA119" i="32"/>
  <c r="AD110" i="32"/>
  <c r="Z75" i="47"/>
  <c r="AD121" i="32"/>
  <c r="Z67" i="47"/>
  <c r="AE107" i="32"/>
  <c r="AA77" i="47"/>
  <c r="AC111" i="32"/>
  <c r="Y81" i="47"/>
  <c r="AA71" i="47"/>
  <c r="AE103" i="32"/>
  <c r="Z78" i="47"/>
  <c r="AD114" i="32"/>
  <c r="Y80" i="47"/>
  <c r="AC112" i="32"/>
  <c r="AE102" i="32"/>
  <c r="AA72" i="47"/>
  <c r="AD124" i="32"/>
  <c r="Z65" i="47"/>
  <c r="Y74" i="32"/>
  <c r="Y77" i="32" s="1"/>
  <c r="W76" i="47"/>
  <c r="AA109" i="32"/>
  <c r="AA98" i="32"/>
  <c r="W69" i="47"/>
  <c r="Z74" i="32" l="1"/>
  <c r="Z77" i="32" s="1"/>
  <c r="AD120" i="32"/>
  <c r="Z62" i="47"/>
  <c r="AB72" i="47"/>
  <c r="AF102" i="32"/>
  <c r="AE121" i="32"/>
  <c r="AA67" i="47"/>
  <c r="AD112" i="32"/>
  <c r="Z80" i="47"/>
  <c r="AB101" i="32"/>
  <c r="X73" i="47"/>
  <c r="AA75" i="47"/>
  <c r="AE110" i="32"/>
  <c r="AA78" i="47"/>
  <c r="AE114" i="32"/>
  <c r="X63" i="47"/>
  <c r="AB119" i="32"/>
  <c r="AA66" i="47"/>
  <c r="AE123" i="32"/>
  <c r="AB98" i="32"/>
  <c r="X69" i="47"/>
  <c r="AB71" i="47"/>
  <c r="AF103" i="32"/>
  <c r="AB109" i="32"/>
  <c r="X76" i="47"/>
  <c r="AE97" i="32"/>
  <c r="AA74" i="47"/>
  <c r="AB82" i="32"/>
  <c r="AA88" i="32"/>
  <c r="AA108" i="32" s="1"/>
  <c r="X82" i="47" s="1"/>
  <c r="Z81" i="47"/>
  <c r="AD111" i="32"/>
  <c r="AA79" i="47"/>
  <c r="AE113" i="32"/>
  <c r="AF96" i="32"/>
  <c r="AB70" i="47"/>
  <c r="AE124" i="32"/>
  <c r="AA65" i="47"/>
  <c r="AF107" i="32"/>
  <c r="AB77" i="47"/>
  <c r="AL83" i="32"/>
  <c r="AK89" i="32"/>
  <c r="AK118" i="32" s="1"/>
  <c r="AH64" i="47" s="1"/>
  <c r="AD99" i="32"/>
  <c r="Z68" i="47"/>
  <c r="AA74" i="32" l="1"/>
  <c r="AA77" i="32" s="1"/>
  <c r="AA62" i="47"/>
  <c r="AE120" i="32"/>
  <c r="AF124" i="32"/>
  <c r="AB65" i="47"/>
  <c r="Y76" i="47"/>
  <c r="AC109" i="32"/>
  <c r="AF110" i="32"/>
  <c r="AB75" i="47"/>
  <c r="AG103" i="32"/>
  <c r="AC71" i="47"/>
  <c r="AC70" i="47"/>
  <c r="AG96" i="32"/>
  <c r="AF113" i="32"/>
  <c r="AB79" i="47"/>
  <c r="Y73" i="47"/>
  <c r="AC101" i="32"/>
  <c r="AE111" i="32"/>
  <c r="AA81" i="47"/>
  <c r="Y69" i="47"/>
  <c r="AC98" i="32"/>
  <c r="AE112" i="32"/>
  <c r="AA80" i="47"/>
  <c r="AE99" i="32"/>
  <c r="AA68" i="47"/>
  <c r="AB66" i="47"/>
  <c r="AF123" i="32"/>
  <c r="AF121" i="32"/>
  <c r="AB67" i="47"/>
  <c r="AM83" i="32"/>
  <c r="AL89" i="32"/>
  <c r="AL118" i="32" s="1"/>
  <c r="AI64" i="47" s="1"/>
  <c r="AC82" i="32"/>
  <c r="AB88" i="32"/>
  <c r="AB108" i="32" s="1"/>
  <c r="Y82" i="47" s="1"/>
  <c r="Y63" i="47"/>
  <c r="AC119" i="32"/>
  <c r="AG102" i="32"/>
  <c r="AC72" i="47"/>
  <c r="AC77" i="47"/>
  <c r="AG107" i="32"/>
  <c r="AF97" i="32"/>
  <c r="AB74" i="47"/>
  <c r="AF114" i="32"/>
  <c r="AB78" i="47"/>
  <c r="AH102" i="32" l="1"/>
  <c r="AD72" i="47"/>
  <c r="AF99" i="32"/>
  <c r="AB68" i="47"/>
  <c r="AH96" i="32"/>
  <c r="AD70" i="47"/>
  <c r="AF112" i="32"/>
  <c r="AB80" i="47"/>
  <c r="AB74" i="32"/>
  <c r="AB77" i="32" s="1"/>
  <c r="AD71" i="47"/>
  <c r="AH103" i="32"/>
  <c r="Z69" i="47"/>
  <c r="AD98" i="32"/>
  <c r="AG110" i="32"/>
  <c r="AC75" i="47"/>
  <c r="AC78" i="47"/>
  <c r="AG114" i="32"/>
  <c r="AN83" i="32"/>
  <c r="AM89" i="32"/>
  <c r="AM118" i="32" s="1"/>
  <c r="AJ64" i="47" s="1"/>
  <c r="AD109" i="32"/>
  <c r="Z76" i="47"/>
  <c r="Z63" i="47"/>
  <c r="AD119" i="32"/>
  <c r="AB81" i="47"/>
  <c r="AF111" i="32"/>
  <c r="AD82" i="32"/>
  <c r="AC88" i="32"/>
  <c r="AC108" i="32" s="1"/>
  <c r="Z82" i="47" s="1"/>
  <c r="AC74" i="47"/>
  <c r="AG97" i="32"/>
  <c r="AG121" i="32"/>
  <c r="AC67" i="47"/>
  <c r="Z73" i="47"/>
  <c r="AD101" i="32"/>
  <c r="AH107" i="32"/>
  <c r="AD77" i="47"/>
  <c r="AC66" i="47"/>
  <c r="AG123" i="32"/>
  <c r="AG124" i="32"/>
  <c r="AC65" i="47"/>
  <c r="AB62" i="47"/>
  <c r="AF120" i="32"/>
  <c r="AG113" i="32"/>
  <c r="AC79" i="47"/>
  <c r="AE119" i="32" l="1"/>
  <c r="AA63" i="47"/>
  <c r="AE71" i="47"/>
  <c r="AI103" i="32"/>
  <c r="AA73" i="47"/>
  <c r="AE101" i="32"/>
  <c r="AE77" i="47"/>
  <c r="AI107" i="32"/>
  <c r="AA76" i="47"/>
  <c r="AE109" i="32"/>
  <c r="AH113" i="32"/>
  <c r="AD79" i="47"/>
  <c r="AH121" i="32"/>
  <c r="AD67" i="47"/>
  <c r="AO83" i="32"/>
  <c r="AN89" i="32"/>
  <c r="AN118" i="32" s="1"/>
  <c r="AK64" i="47" s="1"/>
  <c r="AG112" i="32"/>
  <c r="AC80" i="47"/>
  <c r="AG120" i="32"/>
  <c r="AC62" i="47"/>
  <c r="AD74" i="47"/>
  <c r="AH97" i="32"/>
  <c r="AH114" i="32"/>
  <c r="AD78" i="47"/>
  <c r="AE70" i="47"/>
  <c r="AI96" i="32"/>
  <c r="AA69" i="47"/>
  <c r="AE98" i="32"/>
  <c r="AH124" i="32"/>
  <c r="AD65" i="47"/>
  <c r="AE82" i="32"/>
  <c r="AD88" i="32"/>
  <c r="AD108" i="32" s="1"/>
  <c r="AA82" i="47" s="1"/>
  <c r="AH110" i="32"/>
  <c r="AD75" i="47"/>
  <c r="AG99" i="32"/>
  <c r="AC68" i="47"/>
  <c r="AH123" i="32"/>
  <c r="AD66" i="47"/>
  <c r="AG111" i="32"/>
  <c r="AC81" i="47"/>
  <c r="AC74" i="32"/>
  <c r="AC77" i="32" s="1"/>
  <c r="AE72" i="47"/>
  <c r="AI102" i="32"/>
  <c r="AH99" i="32" l="1"/>
  <c r="AD68" i="47"/>
  <c r="AI114" i="32"/>
  <c r="AE78" i="47"/>
  <c r="AE79" i="47"/>
  <c r="AI113" i="32"/>
  <c r="AI110" i="32"/>
  <c r="AE75" i="47"/>
  <c r="AI97" i="32"/>
  <c r="AE74" i="47"/>
  <c r="AB76" i="47"/>
  <c r="AF109" i="32"/>
  <c r="AF72" i="47"/>
  <c r="AJ102" i="32"/>
  <c r="AF77" i="47"/>
  <c r="AJ107" i="32"/>
  <c r="AH120" i="32"/>
  <c r="AD62" i="47"/>
  <c r="AF82" i="32"/>
  <c r="AE88" i="32"/>
  <c r="AE108" i="32" s="1"/>
  <c r="AB82" i="47" s="1"/>
  <c r="AI124" i="32"/>
  <c r="AE65" i="47"/>
  <c r="AB73" i="47"/>
  <c r="AF101" i="32"/>
  <c r="AD74" i="32"/>
  <c r="AD77" i="32" s="1"/>
  <c r="AH112" i="32"/>
  <c r="AD80" i="47"/>
  <c r="AH111" i="32"/>
  <c r="AD81" i="47"/>
  <c r="AB69" i="47"/>
  <c r="AF98" i="32"/>
  <c r="AE74" i="32"/>
  <c r="AE77" i="32" s="1"/>
  <c r="AJ103" i="32"/>
  <c r="AF71" i="47"/>
  <c r="AP83" i="32"/>
  <c r="AP89" i="32" s="1"/>
  <c r="AP118" i="32" s="1"/>
  <c r="AM64" i="47" s="1"/>
  <c r="AO89" i="32"/>
  <c r="AO118" i="32" s="1"/>
  <c r="AL64" i="47" s="1"/>
  <c r="AI123" i="32"/>
  <c r="AE66" i="47"/>
  <c r="AF70" i="47"/>
  <c r="AJ96" i="32"/>
  <c r="AE67" i="47"/>
  <c r="AI121" i="32"/>
  <c r="AB63" i="47"/>
  <c r="AF119" i="32"/>
  <c r="AC73" i="47" l="1"/>
  <c r="AG101" i="32"/>
  <c r="AC76" i="47"/>
  <c r="AG109" i="32"/>
  <c r="AK103" i="32"/>
  <c r="AG71" i="47"/>
  <c r="AJ124" i="32"/>
  <c r="AF65" i="47"/>
  <c r="AJ97" i="32"/>
  <c r="AF74" i="47"/>
  <c r="AC63" i="47"/>
  <c r="AG119" i="32"/>
  <c r="AC69" i="47"/>
  <c r="AG98" i="32"/>
  <c r="AG82" i="32"/>
  <c r="AF88" i="32"/>
  <c r="AF108" i="32" s="1"/>
  <c r="AC82" i="47" s="1"/>
  <c r="AJ110" i="32"/>
  <c r="AF75" i="47"/>
  <c r="AF67" i="47"/>
  <c r="AJ121" i="32"/>
  <c r="AJ113" i="32"/>
  <c r="AF79" i="47"/>
  <c r="AI120" i="32"/>
  <c r="AE62" i="47"/>
  <c r="AK96" i="32"/>
  <c r="AG70" i="47"/>
  <c r="AI111" i="32"/>
  <c r="AE81" i="47"/>
  <c r="AG77" i="47"/>
  <c r="AK107" i="32"/>
  <c r="AJ114" i="32"/>
  <c r="AF78" i="47"/>
  <c r="AI112" i="32"/>
  <c r="AE80" i="47"/>
  <c r="AG72" i="47"/>
  <c r="AK102" i="32"/>
  <c r="AJ123" i="32"/>
  <c r="AF66" i="47"/>
  <c r="AI99" i="32"/>
  <c r="AE68" i="47"/>
  <c r="AF62" i="47" l="1"/>
  <c r="AJ120" i="32"/>
  <c r="AD63" i="47"/>
  <c r="AH119" i="32"/>
  <c r="AG67" i="47"/>
  <c r="AK121" i="32"/>
  <c r="AK97" i="32"/>
  <c r="AG74" i="47"/>
  <c r="AK114" i="32"/>
  <c r="AG78" i="47"/>
  <c r="AH77" i="47"/>
  <c r="AL107" i="32"/>
  <c r="AK124" i="32"/>
  <c r="AG65" i="47"/>
  <c r="AK110" i="32"/>
  <c r="AG75" i="47"/>
  <c r="AH71" i="47"/>
  <c r="AL103" i="32"/>
  <c r="AJ99" i="32"/>
  <c r="AF68" i="47"/>
  <c r="AF81" i="47"/>
  <c r="AJ111" i="32"/>
  <c r="AH82" i="32"/>
  <c r="AG88" i="32"/>
  <c r="AG108" i="32" s="1"/>
  <c r="AD82" i="47" s="1"/>
  <c r="AD76" i="47"/>
  <c r="AH109" i="32"/>
  <c r="AF80" i="47"/>
  <c r="AJ112" i="32"/>
  <c r="AF74" i="32"/>
  <c r="AF77" i="32" s="1"/>
  <c r="AG79" i="47"/>
  <c r="AK113" i="32"/>
  <c r="AK123" i="32"/>
  <c r="AG66" i="47"/>
  <c r="AH70" i="47"/>
  <c r="AL96" i="32"/>
  <c r="AH98" i="32"/>
  <c r="AD69" i="47"/>
  <c r="AH101" i="32"/>
  <c r="AD73" i="47"/>
  <c r="AH72" i="47"/>
  <c r="AL102" i="32"/>
  <c r="AI98" i="32" l="1"/>
  <c r="AE69" i="47"/>
  <c r="AM107" i="32"/>
  <c r="AI77" i="47"/>
  <c r="AM96" i="32"/>
  <c r="AI70" i="47"/>
  <c r="AK111" i="32"/>
  <c r="AG81" i="47"/>
  <c r="AL114" i="32"/>
  <c r="AH78" i="47"/>
  <c r="AI82" i="32"/>
  <c r="AH88" i="32"/>
  <c r="AH108" i="32" s="1"/>
  <c r="AE82" i="47" s="1"/>
  <c r="AL123" i="32"/>
  <c r="AH66" i="47"/>
  <c r="AL113" i="32"/>
  <c r="AH79" i="47"/>
  <c r="AK99" i="32"/>
  <c r="AG68" i="47"/>
  <c r="AH74" i="47"/>
  <c r="AL97" i="32"/>
  <c r="AM102" i="32"/>
  <c r="AI72" i="47"/>
  <c r="AI71" i="47"/>
  <c r="AM103" i="32"/>
  <c r="AH67" i="47"/>
  <c r="AL121" i="32"/>
  <c r="AG80" i="47"/>
  <c r="AK112" i="32"/>
  <c r="AI119" i="32"/>
  <c r="AE63" i="47"/>
  <c r="AI101" i="32"/>
  <c r="AE73" i="47"/>
  <c r="AL110" i="32"/>
  <c r="AH75" i="47"/>
  <c r="AG74" i="32"/>
  <c r="AG77" i="32" s="1"/>
  <c r="AI109" i="32"/>
  <c r="AE76" i="47"/>
  <c r="AK120" i="32"/>
  <c r="AG62" i="47"/>
  <c r="AL124" i="32"/>
  <c r="AH65" i="47"/>
  <c r="AJ82" i="32" l="1"/>
  <c r="AI88" i="32"/>
  <c r="AI108" i="32" s="1"/>
  <c r="AF82" i="47" s="1"/>
  <c r="AM110" i="32"/>
  <c r="AI75" i="47"/>
  <c r="AN102" i="32"/>
  <c r="AJ72" i="47"/>
  <c r="AM114" i="32"/>
  <c r="AI78" i="47"/>
  <c r="AI74" i="47"/>
  <c r="AM97" i="32"/>
  <c r="AJ101" i="32"/>
  <c r="AF73" i="47"/>
  <c r="AL111" i="32"/>
  <c r="AH81" i="47"/>
  <c r="AJ119" i="32"/>
  <c r="AF63" i="47"/>
  <c r="AL99" i="32"/>
  <c r="AH68" i="47"/>
  <c r="AN96" i="32"/>
  <c r="AJ70" i="47"/>
  <c r="AI65" i="47"/>
  <c r="AM124" i="32"/>
  <c r="AH80" i="47"/>
  <c r="AL112" i="32"/>
  <c r="AI79" i="47"/>
  <c r="AM113" i="32"/>
  <c r="AN107" i="32"/>
  <c r="AJ77" i="47"/>
  <c r="AH62" i="47"/>
  <c r="AL120" i="32"/>
  <c r="AI67" i="47"/>
  <c r="AM121" i="32"/>
  <c r="AH74" i="32"/>
  <c r="AH77" i="32" s="1"/>
  <c r="AM123" i="32"/>
  <c r="AI66" i="47"/>
  <c r="AJ109" i="32"/>
  <c r="AF76" i="47"/>
  <c r="AJ71" i="47"/>
  <c r="AN103" i="32"/>
  <c r="AJ98" i="32"/>
  <c r="AF69" i="47"/>
  <c r="AI74" i="32"/>
  <c r="AI77" i="32" s="1"/>
  <c r="AG73" i="47" l="1"/>
  <c r="AK101" i="32"/>
  <c r="AG76" i="47"/>
  <c r="AK109" i="32"/>
  <c r="AM112" i="32"/>
  <c r="AI80" i="47"/>
  <c r="AN121" i="32"/>
  <c r="AJ67" i="47"/>
  <c r="AO96" i="32"/>
  <c r="AK70" i="47"/>
  <c r="AN114" i="32"/>
  <c r="AJ78" i="47"/>
  <c r="AM120" i="32"/>
  <c r="AI62" i="47"/>
  <c r="AM99" i="32"/>
  <c r="AI68" i="47"/>
  <c r="AO102" i="32"/>
  <c r="AK72" i="47"/>
  <c r="AN124" i="32"/>
  <c r="AJ65" i="47"/>
  <c r="AG69" i="47"/>
  <c r="AK98" i="32"/>
  <c r="AO103" i="32"/>
  <c r="AK71" i="47"/>
  <c r="AK77" i="47"/>
  <c r="AO107" i="32"/>
  <c r="AG63" i="47"/>
  <c r="AK119" i="32"/>
  <c r="AN110" i="32"/>
  <c r="AJ75" i="47"/>
  <c r="AN97" i="32"/>
  <c r="AJ74" i="47"/>
  <c r="AJ79" i="47"/>
  <c r="AN113" i="32"/>
  <c r="AN123" i="32"/>
  <c r="AJ66" i="47"/>
  <c r="AM111" i="32"/>
  <c r="AI81" i="47"/>
  <c r="AK82" i="32"/>
  <c r="AJ88" i="32"/>
  <c r="AJ108" i="32" s="1"/>
  <c r="AG82" i="47" s="1"/>
  <c r="AJ74" i="32" l="1"/>
  <c r="AJ77" i="32" s="1"/>
  <c r="AK79" i="47"/>
  <c r="AO113" i="32"/>
  <c r="AO114" i="32"/>
  <c r="AK78" i="47"/>
  <c r="AL98" i="32"/>
  <c r="AH69" i="47"/>
  <c r="AL70" i="47"/>
  <c r="AP96" i="32"/>
  <c r="AM70" i="47" s="1"/>
  <c r="AP103" i="32"/>
  <c r="AM71" i="47" s="1"/>
  <c r="AL71" i="47"/>
  <c r="AO97" i="32"/>
  <c r="AK74" i="47"/>
  <c r="AO123" i="32"/>
  <c r="AK66" i="47"/>
  <c r="AO124" i="32"/>
  <c r="AK65" i="47"/>
  <c r="AK75" i="47"/>
  <c r="AO110" i="32"/>
  <c r="AO121" i="32"/>
  <c r="AK67" i="47"/>
  <c r="AH63" i="47"/>
  <c r="AL119" i="32"/>
  <c r="AP102" i="32"/>
  <c r="AM72" i="47" s="1"/>
  <c r="AL72" i="47"/>
  <c r="AN112" i="32"/>
  <c r="AJ80" i="47"/>
  <c r="AL82" i="32"/>
  <c r="AK88" i="32"/>
  <c r="AK108" i="32" s="1"/>
  <c r="AH82" i="47" s="1"/>
  <c r="AL109" i="32"/>
  <c r="AH76" i="47"/>
  <c r="AL77" i="47"/>
  <c r="AP107" i="32"/>
  <c r="AM77" i="47" s="1"/>
  <c r="AN99" i="32"/>
  <c r="AJ68" i="47"/>
  <c r="AN120" i="32"/>
  <c r="AJ62" i="47"/>
  <c r="AN111" i="32"/>
  <c r="AJ81" i="47"/>
  <c r="AH73" i="47"/>
  <c r="AL101" i="32"/>
  <c r="AK62" i="47" l="1"/>
  <c r="AO120" i="32"/>
  <c r="AP97" i="32"/>
  <c r="AM74" i="47" s="1"/>
  <c r="AL74" i="47"/>
  <c r="AP121" i="32"/>
  <c r="AM67" i="47" s="1"/>
  <c r="AL67" i="47"/>
  <c r="AP110" i="32"/>
  <c r="AM75" i="47" s="1"/>
  <c r="AL75" i="47"/>
  <c r="AK74" i="32"/>
  <c r="AK77" i="32" s="1"/>
  <c r="AI76" i="47"/>
  <c r="AM109" i="32"/>
  <c r="AI73" i="47"/>
  <c r="AM101" i="32"/>
  <c r="AI69" i="47"/>
  <c r="AM98" i="32"/>
  <c r="AM82" i="32"/>
  <c r="AL88" i="32"/>
  <c r="AL108" i="32" s="1"/>
  <c r="AI82" i="47" s="1"/>
  <c r="AP124" i="32"/>
  <c r="AM65" i="47" s="1"/>
  <c r="AL65" i="47"/>
  <c r="AM119" i="32"/>
  <c r="AI63" i="47"/>
  <c r="AP114" i="32"/>
  <c r="AM78" i="47" s="1"/>
  <c r="AL78" i="47"/>
  <c r="AO99" i="32"/>
  <c r="AK68" i="47"/>
  <c r="AO111" i="32"/>
  <c r="AK81" i="47"/>
  <c r="AK80" i="47"/>
  <c r="AO112" i="32"/>
  <c r="AL66" i="47"/>
  <c r="AP123" i="32"/>
  <c r="AM66" i="47" s="1"/>
  <c r="AL79" i="47"/>
  <c r="AP113" i="32"/>
  <c r="AM79" i="47" s="1"/>
  <c r="AN119" i="32" l="1"/>
  <c r="AJ63" i="47"/>
  <c r="AN109" i="32"/>
  <c r="AJ76" i="47"/>
  <c r="AL80" i="47"/>
  <c r="AP112" i="32"/>
  <c r="AM80" i="47" s="1"/>
  <c r="AN82" i="32"/>
  <c r="AM88" i="32"/>
  <c r="AM108" i="32" s="1"/>
  <c r="AJ82" i="47" s="1"/>
  <c r="AL74" i="32"/>
  <c r="AL77" i="32" s="1"/>
  <c r="AP111" i="32"/>
  <c r="AM81" i="47" s="1"/>
  <c r="AL81" i="47"/>
  <c r="AN98" i="32"/>
  <c r="AJ69" i="47"/>
  <c r="AL62" i="47"/>
  <c r="AP120" i="32"/>
  <c r="AM62" i="47" s="1"/>
  <c r="AL68" i="47"/>
  <c r="AP99" i="32"/>
  <c r="AM68" i="47" s="1"/>
  <c r="AJ73" i="47"/>
  <c r="AN101" i="32"/>
  <c r="AK63" i="47" l="1"/>
  <c r="AO119" i="32"/>
  <c r="AO98" i="32"/>
  <c r="AK69" i="47"/>
  <c r="AO101" i="32"/>
  <c r="AK73" i="47"/>
  <c r="AO82" i="32"/>
  <c r="AN88" i="32"/>
  <c r="AN108" i="32" s="1"/>
  <c r="AK82" i="47" s="1"/>
  <c r="AK76" i="47"/>
  <c r="AO109" i="32"/>
  <c r="AM74" i="32"/>
  <c r="AM77" i="32" s="1"/>
  <c r="AP82" i="32" l="1"/>
  <c r="AP88" i="32" s="1"/>
  <c r="AP108" i="32" s="1"/>
  <c r="AM82" i="47" s="1"/>
  <c r="AO88" i="32"/>
  <c r="AO108" i="32" s="1"/>
  <c r="AL82" i="47" s="1"/>
  <c r="AL73" i="47"/>
  <c r="AP101" i="32"/>
  <c r="AM73" i="47" s="1"/>
  <c r="AN74" i="32"/>
  <c r="AN77" i="32" s="1"/>
  <c r="AL76" i="47"/>
  <c r="AP109" i="32"/>
  <c r="AM76" i="47" s="1"/>
  <c r="AP98" i="32"/>
  <c r="AL69" i="47"/>
  <c r="AP119" i="32"/>
  <c r="AM63" i="47" s="1"/>
  <c r="AL63" i="47"/>
  <c r="AO74" i="32" l="1"/>
  <c r="AO77" i="32" s="1"/>
  <c r="AM69" i="47"/>
  <c r="AP74" i="32"/>
  <c r="AP77" i="32" s="1"/>
  <c r="O122" i="32" l="1"/>
  <c r="L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M122"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G139" authorId="3" shapeId="0" xr:uid="{7C92666C-7686-4FA6-B4AB-215BA553AE55}">
      <text>
        <r>
          <rPr>
            <b/>
            <sz val="9"/>
            <color indexed="81"/>
            <rFont val="Tahoma"/>
            <family val="2"/>
          </rPr>
          <t>Fadiel:</t>
        </r>
        <r>
          <rPr>
            <sz val="9"/>
            <color indexed="81"/>
            <rFont val="Tahoma"/>
            <family val="2"/>
          </rPr>
          <t xml:space="preserve">
from GHS 2018 statssa (2019)</t>
        </r>
      </text>
    </comment>
    <comment ref="N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<sst xmlns="http://schemas.openxmlformats.org/spreadsheetml/2006/main" count="4188" uniqueCount="653">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</sst>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9">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05">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0" fontId="28" fillId="6" borderId="5" xfId="27"/>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2"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9" fontId="16" fillId="0" borderId="4" xfId="45" applyNumberFormat="1" applyFont="1" applyBorder="1"/>
    <xf numFmtId="173" fontId="0" fillId="0" borderId="0" xfId="0" applyNumberFormat="1" applyBorder="1"/>
    <xf numFmtId="0" fontId="26" fillId="0" borderId="7" xfId="21" applyAlignment="1">
      <alignment horizontal="left"/>
    </xf>
    <xf numFmtId="0" fontId="25" fillId="0" borderId="6" xfId="20" applyAlignment="1">
      <alignment horizontal="left"/>
    </xf>
    <xf numFmtId="9" fontId="16" fillId="0" borderId="0" xfId="45" applyFont="1"/>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174" fontId="28" fillId="8" borderId="8" xfId="44" applyNumberFormat="1" applyFont="1"/>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0" fontId="26" fillId="0" borderId="7"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0" fontId="39" fillId="0" borderId="3" xfId="0" applyFont="1" applyBorder="1"/>
    <xf numFmtId="0" fontId="38" fillId="0" borderId="16"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7" xfId="21" applyAlignment="1">
      <alignment horizontal="left"/>
    </xf>
    <xf numFmtId="167" fontId="2" fillId="0" borderId="0" xfId="11" applyNumberFormat="1" applyFill="1" applyBorder="1"/>
    <xf numFmtId="2" fontId="0" fillId="0" borderId="15" xfId="0" applyNumberFormat="1" applyBorder="1"/>
    <xf numFmtId="0" fontId="26" fillId="0" borderId="43" xfId="21" applyBorder="1"/>
    <xf numFmtId="0" fontId="0" fillId="0" borderId="15" xfId="0" applyFill="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59" xfId="2765" applyNumberFormat="1" applyFont="1" applyBorder="1" applyAlignment="1">
      <alignment vertical="center" wrapText="1"/>
    </xf>
    <xf numFmtId="2" fontId="16" fillId="81" borderId="0" xfId="31" applyNumberFormat="1" applyFill="1"/>
    <xf numFmtId="173" fontId="19" fillId="81" borderId="5"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5" xfId="45" applyNumberFormat="1" applyFont="1" applyBorder="1"/>
    <xf numFmtId="0" fontId="16" fillId="8" borderId="8" xfId="44"/>
    <xf numFmtId="0" fontId="28" fillId="0" borderId="5" xfId="27" applyFill="1"/>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xf numFmtId="0" fontId="0" fillId="10" borderId="0" xfId="0" applyFill="1" applyAlignment="1">
      <alignment horizontal="center"/>
    </xf>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22.876934152996679</c:v>
                </c:pt>
                <c:pt idx="3">
                  <c:v>16.278935059402933</c:v>
                </c:pt>
                <c:pt idx="4" formatCode="0.000">
                  <c:v>11.524488674982097</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24.06096742215124</c:v>
                </c:pt>
                <c:pt idx="3">
                  <c:v>28.553913135980249</c:v>
                </c:pt>
                <c:pt idx="4" formatCode="0.000">
                  <c:v>30.593228691543604</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19.018188424852077</c:v>
                </c:pt>
                <c:pt idx="3">
                  <c:v>26.542457804616809</c:v>
                </c:pt>
                <c:pt idx="4" formatCode="0.000">
                  <c:v>33.400191633474286</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7.5876733272001111</c:v>
                </c:pt>
                <c:pt idx="1">
                  <c:v>5.6223178674461423</c:v>
                </c:pt>
                <c:pt idx="2">
                  <c:v>3.4315401229495031</c:v>
                </c:pt>
                <c:pt idx="3">
                  <c:v>1.6278935059402926</c:v>
                </c:pt>
                <c:pt idx="4">
                  <c:v>0.57622443374910581</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18.576717456248545</c:v>
                </c:pt>
                <c:pt idx="1">
                  <c:v>22.489271469784576</c:v>
                </c:pt>
                <c:pt idx="2">
                  <c:v>19.445394030047176</c:v>
                </c:pt>
                <c:pt idx="3">
                  <c:v>14.65104155346264</c:v>
                </c:pt>
                <c:pt idx="4">
                  <c:v>10.948264241232991</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2.6687678599117639</c:v>
                </c:pt>
                <c:pt idx="1">
                  <c:v>1.9201285369797034</c:v>
                </c:pt>
                <c:pt idx="2">
                  <c:v>1.2030483711075632</c:v>
                </c:pt>
                <c:pt idx="3">
                  <c:v>1.4276956567990133</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13.029866610157432</c:v>
                </c:pt>
                <c:pt idx="1">
                  <c:v>17.281156832817352</c:v>
                </c:pt>
                <c:pt idx="2">
                  <c:v>22.857919051043677</c:v>
                </c:pt>
                <c:pt idx="3">
                  <c:v>27.126217479181236</c:v>
                </c:pt>
                <c:pt idx="4">
                  <c:v>30.593228691543604</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19.018188424852077</c:v>
                </c:pt>
                <c:pt idx="3">
                  <c:v>26.542457804616809</c:v>
                </c:pt>
                <c:pt idx="4">
                  <c:v>33.400191633474286</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10.675790841703828</c:v>
                </c:pt>
                <c:pt idx="1">
                  <c:v>12.639010653235388</c:v>
                </c:pt>
                <c:pt idx="2">
                  <c:v>14.602230464766947</c:v>
                </c:pt>
                <c:pt idx="3">
                  <c:v>16.565450276298506</c:v>
                </c:pt>
                <c:pt idx="4">
                  <c:v>18.528670087830069</c:v>
                </c:pt>
                <c:pt idx="5">
                  <c:v>20.491889899361627</c:v>
                </c:pt>
                <c:pt idx="6">
                  <c:v>20.526407826903512</c:v>
                </c:pt>
                <c:pt idx="7">
                  <c:v>20.748275785921976</c:v>
                </c:pt>
                <c:pt idx="8">
                  <c:v>21.673678197395017</c:v>
                </c:pt>
                <c:pt idx="9">
                  <c:v>22.22361389023532</c:v>
                </c:pt>
                <c:pt idx="10">
                  <c:v>21.817046787141521</c:v>
                </c:pt>
                <c:pt idx="11">
                  <c:v>21.437894799338004</c:v>
                </c:pt>
                <c:pt idx="12">
                  <c:v>20.981031332430554</c:v>
                </c:pt>
                <c:pt idx="13">
                  <c:v>20.486204558108621</c:v>
                </c:pt>
                <c:pt idx="14">
                  <c:v>19.962625848090529</c:v>
                </c:pt>
                <c:pt idx="15">
                  <c:v>19.405480600178386</c:v>
                </c:pt>
                <c:pt idx="16">
                  <c:v>18.843689274295329</c:v>
                </c:pt>
                <c:pt idx="17">
                  <c:v>18.242257253447526</c:v>
                </c:pt>
                <c:pt idx="18">
                  <c:v>17.63782556108902</c:v>
                </c:pt>
                <c:pt idx="19">
                  <c:v>17.059348612203461</c:v>
                </c:pt>
                <c:pt idx="20">
                  <c:v>16.494277883471508</c:v>
                </c:pt>
                <c:pt idx="21">
                  <c:v>15.9494315720478</c:v>
                </c:pt>
                <c:pt idx="22">
                  <c:v>15.421394116210863</c:v>
                </c:pt>
                <c:pt idx="23">
                  <c:v>14.931235916640659</c:v>
                </c:pt>
                <c:pt idx="24">
                  <c:v>14.464995998664817</c:v>
                </c:pt>
                <c:pt idx="25">
                  <c:v>13.960802642966632</c:v>
                </c:pt>
                <c:pt idx="26">
                  <c:v>13.468816967154979</c:v>
                </c:pt>
                <c:pt idx="27">
                  <c:v>13.003874773300755</c:v>
                </c:pt>
                <c:pt idx="28">
                  <c:v>12.550852093108565</c:v>
                </c:pt>
                <c:pt idx="29">
                  <c:v>10.514367708234561</c:v>
                </c:pt>
                <c:pt idx="30">
                  <c:v>8.8852343399980409</c:v>
                </c:pt>
                <c:pt idx="31">
                  <c:v>8.8852343399980409</c:v>
                </c:pt>
                <c:pt idx="32">
                  <c:v>8.8852343399980409</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3.9438224400908474E-2</c:v>
                </c:pt>
                <c:pt idx="7">
                  <c:v>3.9864508358088413E-2</c:v>
                </c:pt>
                <c:pt idx="8">
                  <c:v>4.1642521748087455E-2</c:v>
                </c:pt>
                <c:pt idx="9">
                  <c:v>4.2699135620480576E-2</c:v>
                </c:pt>
                <c:pt idx="10">
                  <c:v>4.1917981665972048E-2</c:v>
                </c:pt>
                <c:pt idx="11">
                  <c:v>4.1189501490427306E-2</c:v>
                </c:pt>
                <c:pt idx="12">
                  <c:v>4.0311711081096289E-2</c:v>
                </c:pt>
                <c:pt idx="13">
                  <c:v>3.9360980221130229E-2</c:v>
                </c:pt>
                <c:pt idx="14">
                  <c:v>3.8355007094640577E-2</c:v>
                </c:pt>
                <c:pt idx="15">
                  <c:v>3.7284541210090644E-2</c:v>
                </c:pt>
                <c:pt idx="16">
                  <c:v>3.6205148626473525E-2</c:v>
                </c:pt>
                <c:pt idx="17">
                  <c:v>3.5049592759119133E-2</c:v>
                </c:pt>
                <c:pt idx="18">
                  <c:v>3.3888273500568104E-2</c:v>
                </c:pt>
                <c:pt idx="19">
                  <c:v>3.2776822149055952E-2</c:v>
                </c:pt>
                <c:pt idx="20">
                  <c:v>3.1691128715015011E-2</c:v>
                </c:pt>
                <c:pt idx="21">
                  <c:v>3.0644293278676665E-2</c:v>
                </c:pt>
                <c:pt idx="22">
                  <c:v>2.9629753382022794E-2</c:v>
                </c:pt>
                <c:pt idx="23">
                  <c:v>2.8687992445106288E-2</c:v>
                </c:pt>
                <c:pt idx="24">
                  <c:v>2.7792186677976779E-2</c:v>
                </c:pt>
                <c:pt idx="25">
                  <c:v>2.682345942325421E-2</c:v>
                </c:pt>
                <c:pt idx="26">
                  <c:v>2.5878187281712647E-2</c:v>
                </c:pt>
                <c:pt idx="27">
                  <c:v>2.4984874884857688E-2</c:v>
                </c:pt>
                <c:pt idx="28">
                  <c:v>2.4114463935665523E-2</c:v>
                </c:pt>
                <c:pt idx="29">
                  <c:v>2.020168344153837E-2</c:v>
                </c:pt>
                <c:pt idx="30">
                  <c:v>1.7071563066978313E-2</c:v>
                </c:pt>
                <c:pt idx="31">
                  <c:v>1.7071563066978313E-2</c:v>
                </c:pt>
                <c:pt idx="32">
                  <c:v>1.7071563066978313E-2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13.051471558902563</c:v>
                </c:pt>
                <c:pt idx="7">
                  <c:v>13.192543653999781</c:v>
                </c:pt>
                <c:pt idx="8">
                  <c:v>13.780949738285511</c:v>
                </c:pt>
                <c:pt idx="9">
                  <c:v>14.130619788440281</c:v>
                </c:pt>
                <c:pt idx="10">
                  <c:v>13.872108945843689</c:v>
                </c:pt>
                <c:pt idx="11">
                  <c:v>13.631029677271762</c:v>
                </c:pt>
                <c:pt idx="12">
                  <c:v>13.340538491725455</c:v>
                </c:pt>
                <c:pt idx="13">
                  <c:v>13.025908790020827</c:v>
                </c:pt>
                <c:pt idx="14">
                  <c:v>12.692997512983275</c:v>
                </c:pt>
                <c:pt idx="15">
                  <c:v>12.338743353238266</c:v>
                </c:pt>
                <c:pt idx="16">
                  <c:v>11.981535040238134</c:v>
                </c:pt>
                <c:pt idx="17">
                  <c:v>11.599121664215266</c:v>
                </c:pt>
                <c:pt idx="18">
                  <c:v>11.214800982845153</c:v>
                </c:pt>
                <c:pt idx="19">
                  <c:v>10.84698331550031</c:v>
                </c:pt>
                <c:pt idx="20">
                  <c:v>10.487689833318436</c:v>
                </c:pt>
                <c:pt idx="21">
                  <c:v>10.141255805626596</c:v>
                </c:pt>
                <c:pt idx="22">
                  <c:v>9.8055094882481466</c:v>
                </c:pt>
                <c:pt idx="23">
                  <c:v>9.49384824410836</c:v>
                </c:pt>
                <c:pt idx="24">
                  <c:v>9.1973951540011303</c:v>
                </c:pt>
                <c:pt idx="25">
                  <c:v>8.876809823261592</c:v>
                </c:pt>
                <c:pt idx="26">
                  <c:v>8.563986600153493</c:v>
                </c:pt>
                <c:pt idx="27">
                  <c:v>8.2683586524485495</c:v>
                </c:pt>
                <c:pt idx="28">
                  <c:v>7.9803095853187118</c:v>
                </c:pt>
                <c:pt idx="29">
                  <c:v>6.6854352822516372</c:v>
                </c:pt>
                <c:pt idx="30">
                  <c:v>5.6495702638566669</c:v>
                </c:pt>
                <c:pt idx="31">
                  <c:v>5.6495702638566669</c:v>
                </c:pt>
                <c:pt idx="32">
                  <c:v>5.6495702638566669</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11.0704885437966</c:v>
                </c:pt>
                <c:pt idx="7">
                  <c:v>11.190148384878494</c:v>
                </c:pt>
                <c:pt idx="8">
                  <c:v>11.689244811345603</c:v>
                </c:pt>
                <c:pt idx="9">
                  <c:v>11.985841119806061</c:v>
                </c:pt>
                <c:pt idx="10">
                  <c:v>11.76656766021976</c:v>
                </c:pt>
                <c:pt idx="11">
                  <c:v>11.562079969400566</c:v>
                </c:pt>
                <c:pt idx="12">
                  <c:v>11.315680218449058</c:v>
                </c:pt>
                <c:pt idx="13">
                  <c:v>11.048805752030491</c:v>
                </c:pt>
                <c:pt idx="14">
                  <c:v>10.766424530732039</c:v>
                </c:pt>
                <c:pt idx="15">
                  <c:v>10.465939899604424</c:v>
                </c:pt>
                <c:pt idx="16">
                  <c:v>10.162949503542956</c:v>
                </c:pt>
                <c:pt idx="17">
                  <c:v>9.8385797281387397</c:v>
                </c:pt>
                <c:pt idx="18">
                  <c:v>9.5125921426737268</c:v>
                </c:pt>
                <c:pt idx="19">
                  <c:v>9.2006027049946031</c:v>
                </c:pt>
                <c:pt idx="20">
                  <c:v>8.8958436316284963</c:v>
                </c:pt>
                <c:pt idx="21">
                  <c:v>8.6019921745391397</c:v>
                </c:pt>
                <c:pt idx="22">
                  <c:v>8.317206221983108</c:v>
                </c:pt>
                <c:pt idx="23">
                  <c:v>8.0528496536663763</c:v>
                </c:pt>
                <c:pt idx="24">
                  <c:v>7.8013929100345374</c:v>
                </c:pt>
                <c:pt idx="25">
                  <c:v>7.529466773947572</c:v>
                </c:pt>
                <c:pt idx="26">
                  <c:v>7.2641245945601831</c:v>
                </c:pt>
                <c:pt idx="27">
                  <c:v>7.0133677512783015</c:v>
                </c:pt>
                <c:pt idx="28">
                  <c:v>6.7690394482727276</c:v>
                </c:pt>
                <c:pt idx="29">
                  <c:v>5.6707042089806752</c:v>
                </c:pt>
                <c:pt idx="30">
                  <c:v>4.7920652166412223</c:v>
                </c:pt>
                <c:pt idx="31">
                  <c:v>4.7920652166412223</c:v>
                </c:pt>
                <c:pt idx="32">
                  <c:v>4.7920652166412223</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7.5392034988351515</c:v>
                </c:pt>
                <c:pt idx="7">
                  <c:v>7.6206940210452299</c:v>
                </c:pt>
                <c:pt idx="8">
                  <c:v>7.9605877402601282</c:v>
                </c:pt>
                <c:pt idx="9">
                  <c:v>8.1625752060924004</c:v>
                </c:pt>
                <c:pt idx="10">
                  <c:v>8.0132460028531192</c:v>
                </c:pt>
                <c:pt idx="11">
                  <c:v>7.8739861763338395</c:v>
                </c:pt>
                <c:pt idx="12">
                  <c:v>7.7061834766484072</c:v>
                </c:pt>
                <c:pt idx="13">
                  <c:v>7.5244371243521417</c:v>
                </c:pt>
                <c:pt idx="14">
                  <c:v>7.3321303907155686</c:v>
                </c:pt>
                <c:pt idx="15">
                  <c:v>7.1274949066191651</c:v>
                </c:pt>
                <c:pt idx="16">
                  <c:v>6.9211529511523411</c:v>
                </c:pt>
                <c:pt idx="17">
                  <c:v>6.70025125056622</c:v>
                </c:pt>
                <c:pt idx="18">
                  <c:v>6.4782477919842743</c:v>
                </c:pt>
                <c:pt idx="19">
                  <c:v>6.2657773259479672</c:v>
                </c:pt>
                <c:pt idx="20">
                  <c:v>6.0582308691557785</c:v>
                </c:pt>
                <c:pt idx="21">
                  <c:v>5.8581126968943291</c:v>
                </c:pt>
                <c:pt idx="22">
                  <c:v>5.664168297653462</c:v>
                </c:pt>
                <c:pt idx="23">
                  <c:v>5.4841366796350899</c:v>
                </c:pt>
                <c:pt idx="24">
                  <c:v>5.3128900762087978</c:v>
                </c:pt>
                <c:pt idx="25">
                  <c:v>5.1277034452393488</c:v>
                </c:pt>
                <c:pt idx="26">
                  <c:v>4.9470006082044904</c:v>
                </c:pt>
                <c:pt idx="27">
                  <c:v>4.7762306496115627</c:v>
                </c:pt>
                <c:pt idx="28">
                  <c:v>4.6098386435499812</c:v>
                </c:pt>
                <c:pt idx="29">
                  <c:v>3.8618524235918166</c:v>
                </c:pt>
                <c:pt idx="30">
                  <c:v>3.2634833327380512</c:v>
                </c:pt>
                <c:pt idx="31">
                  <c:v>3.2634833327380512</c:v>
                </c:pt>
                <c:pt idx="32">
                  <c:v>3.2634833327380512</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2.7554696887854786</c:v>
                </c:pt>
                <c:pt idx="7">
                  <c:v>2.7852532944286827</c:v>
                </c:pt>
                <c:pt idx="8">
                  <c:v>2.9094795261320607</c:v>
                </c:pt>
                <c:pt idx="9">
                  <c:v>2.9833030195158661</c:v>
                </c:pt>
                <c:pt idx="10">
                  <c:v>2.9287253584618971</c:v>
                </c:pt>
                <c:pt idx="11">
                  <c:v>2.8778279087646328</c:v>
                </c:pt>
                <c:pt idx="12">
                  <c:v>2.8164984523106424</c:v>
                </c:pt>
                <c:pt idx="13">
                  <c:v>2.7500727927728597</c:v>
                </c:pt>
                <c:pt idx="14">
                  <c:v>2.6797874668008532</c:v>
                </c:pt>
                <c:pt idx="15">
                  <c:v>2.6049961610926702</c:v>
                </c:pt>
                <c:pt idx="16">
                  <c:v>2.5295811648133677</c:v>
                </c:pt>
                <c:pt idx="17">
                  <c:v>2.4488447925612769</c:v>
                </c:pt>
                <c:pt idx="18">
                  <c:v>2.367705743718437</c:v>
                </c:pt>
                <c:pt idx="19">
                  <c:v>2.2900508655850076</c:v>
                </c:pt>
                <c:pt idx="20">
                  <c:v>2.2141956415160378</c:v>
                </c:pt>
                <c:pt idx="21">
                  <c:v>2.1410553478594503</c:v>
                </c:pt>
                <c:pt idx="22">
                  <c:v>2.0701714788273318</c:v>
                </c:pt>
                <c:pt idx="23">
                  <c:v>2.0043725298336779</c:v>
                </c:pt>
                <c:pt idx="24">
                  <c:v>1.9417843764403491</c:v>
                </c:pt>
                <c:pt idx="25">
                  <c:v>1.8741013448729613</c:v>
                </c:pt>
                <c:pt idx="26">
                  <c:v>1.8080570750500249</c:v>
                </c:pt>
                <c:pt idx="27">
                  <c:v>1.7456431284400593</c:v>
                </c:pt>
                <c:pt idx="28">
                  <c:v>1.6848292600745567</c:v>
                </c:pt>
                <c:pt idx="29">
                  <c:v>1.4114511297399139</c:v>
                </c:pt>
                <c:pt idx="30">
                  <c:v>1.1927558931929205</c:v>
                </c:pt>
                <c:pt idx="31">
                  <c:v>1.1927558931929205</c:v>
                </c:pt>
                <c:pt idx="32">
                  <c:v>1.1927558931929205</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2.8364150814865612</c:v>
                </c:pt>
                <c:pt idx="7">
                  <c:v>2.8670736180588392</c:v>
                </c:pt>
                <c:pt idx="8">
                  <c:v>2.9949491517850015</c:v>
                </c:pt>
                <c:pt idx="9">
                  <c:v>3.0709413032697608</c:v>
                </c:pt>
                <c:pt idx="10">
                  <c:v>3.0147603546802038</c:v>
                </c:pt>
                <c:pt idx="11">
                  <c:v>2.9623677282912864</c:v>
                </c:pt>
                <c:pt idx="12">
                  <c:v>2.8992366418077529</c:v>
                </c:pt>
                <c:pt idx="13">
                  <c:v>2.8308596448560266</c:v>
                </c:pt>
                <c:pt idx="14">
                  <c:v>2.758509598907211</c:v>
                </c:pt>
                <c:pt idx="15">
                  <c:v>2.681521204392058</c:v>
                </c:pt>
                <c:pt idx="16">
                  <c:v>2.603890797609703</c:v>
                </c:pt>
                <c:pt idx="17">
                  <c:v>2.5207826927329329</c:v>
                </c:pt>
                <c:pt idx="18">
                  <c:v>2.4372600821333781</c:v>
                </c:pt>
                <c:pt idx="19">
                  <c:v>2.3573239941462356</c:v>
                </c:pt>
                <c:pt idx="20">
                  <c:v>2.2792404273284119</c:v>
                </c:pt>
                <c:pt idx="21">
                  <c:v>2.2039515454233669</c:v>
                </c:pt>
                <c:pt idx="22">
                  <c:v>2.1309853734581665</c:v>
                </c:pt>
                <c:pt idx="23">
                  <c:v>2.063253497462163</c:v>
                </c:pt>
                <c:pt idx="24">
                  <c:v>1.9988267382313329</c:v>
                </c:pt>
                <c:pt idx="25">
                  <c:v>1.9291554323629361</c:v>
                </c:pt>
                <c:pt idx="26">
                  <c:v>1.8611710289293011</c:v>
                </c:pt>
                <c:pt idx="27">
                  <c:v>1.7969235940255142</c:v>
                </c:pt>
                <c:pt idx="28">
                  <c:v>1.7343232416799654</c:v>
                </c:pt>
                <c:pt idx="29">
                  <c:v>1.452914284439156</c:v>
                </c:pt>
                <c:pt idx="30">
                  <c:v>1.2277945998656792</c:v>
                </c:pt>
                <c:pt idx="31">
                  <c:v>1.2277945998656792</c:v>
                </c:pt>
                <c:pt idx="32">
                  <c:v>1.2277945998656792</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24.618555097567821</c:v>
                </c:pt>
                <c:pt idx="7">
                  <c:v>25.506478716656712</c:v>
                </c:pt>
                <c:pt idx="8">
                  <c:v>27.134587220991008</c:v>
                </c:pt>
                <c:pt idx="9">
                  <c:v>26.433846555316475</c:v>
                </c:pt>
                <c:pt idx="10">
                  <c:v>27.523339990949999</c:v>
                </c:pt>
                <c:pt idx="11">
                  <c:v>28.52003577139083</c:v>
                </c:pt>
                <c:pt idx="12">
                  <c:v>29.561695310066217</c:v>
                </c:pt>
                <c:pt idx="13">
                  <c:v>30.679397984250055</c:v>
                </c:pt>
                <c:pt idx="14">
                  <c:v>31.647337417844295</c:v>
                </c:pt>
                <c:pt idx="15">
                  <c:v>32.6886152657137</c:v>
                </c:pt>
                <c:pt idx="16">
                  <c:v>33.731342414104091</c:v>
                </c:pt>
                <c:pt idx="17">
                  <c:v>34.7749500960416</c:v>
                </c:pt>
                <c:pt idx="18">
                  <c:v>35.891127207586294</c:v>
                </c:pt>
                <c:pt idx="19">
                  <c:v>36.658991375897294</c:v>
                </c:pt>
                <c:pt idx="20">
                  <c:v>37.437159838629739</c:v>
                </c:pt>
                <c:pt idx="21">
                  <c:v>38.195702743974842</c:v>
                </c:pt>
                <c:pt idx="22">
                  <c:v>38.943728124680774</c:v>
                </c:pt>
                <c:pt idx="23">
                  <c:v>39.700175859416269</c:v>
                </c:pt>
                <c:pt idx="24">
                  <c:v>40.282395002117262</c:v>
                </c:pt>
                <c:pt idx="25">
                  <c:v>40.84562856017493</c:v>
                </c:pt>
                <c:pt idx="26">
                  <c:v>41.45827332382337</c:v>
                </c:pt>
                <c:pt idx="27">
                  <c:v>42.0266575945599</c:v>
                </c:pt>
                <c:pt idx="28">
                  <c:v>42.593138948118352</c:v>
                </c:pt>
                <c:pt idx="29">
                  <c:v>45.76566079298815</c:v>
                </c:pt>
                <c:pt idx="30">
                  <c:v>48.036982728260888</c:v>
                </c:pt>
                <c:pt idx="31">
                  <c:v>48.036982728260888</c:v>
                </c:pt>
                <c:pt idx="32">
                  <c:v>48.036982728260888</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6.0956383597451078E-2</c:v>
                </c:pt>
                <c:pt idx="7">
                  <c:v>6.3154912817216968E-2</c:v>
                </c:pt>
                <c:pt idx="8">
                  <c:v>6.7186165103760728E-2</c:v>
                </c:pt>
                <c:pt idx="9">
                  <c:v>6.5451107272384998E-2</c:v>
                </c:pt>
                <c:pt idx="10">
                  <c:v>6.814873024522726E-2</c:v>
                </c:pt>
                <c:pt idx="11">
                  <c:v>7.0616583053067894E-2</c:v>
                </c:pt>
                <c:pt idx="12">
                  <c:v>7.3195767662635566E-2</c:v>
                </c:pt>
                <c:pt idx="13">
                  <c:v>7.5963237673992073E-2</c:v>
                </c:pt>
                <c:pt idx="14">
                  <c:v>7.8359888784483078E-2</c:v>
                </c:pt>
                <c:pt idx="15">
                  <c:v>8.0938128314573393E-2</c:v>
                </c:pt>
                <c:pt idx="16">
                  <c:v>8.3519956362273898E-2</c:v>
                </c:pt>
                <c:pt idx="17">
                  <c:v>8.6103964641123465E-2</c:v>
                </c:pt>
                <c:pt idx="18">
                  <c:v>8.8867657307259457E-2</c:v>
                </c:pt>
                <c:pt idx="19">
                  <c:v>9.0768915224663682E-2</c:v>
                </c:pt>
                <c:pt idx="20">
                  <c:v>9.2695686927136353E-2</c:v>
                </c:pt>
                <c:pt idx="21">
                  <c:v>9.4573865078944663E-2</c:v>
                </c:pt>
                <c:pt idx="22">
                  <c:v>9.6426001480379719E-2</c:v>
                </c:pt>
                <c:pt idx="23">
                  <c:v>9.8298991918170084E-2</c:v>
                </c:pt>
                <c:pt idx="24">
                  <c:v>9.9740586408976206E-2</c:v>
                </c:pt>
                <c:pt idx="25">
                  <c:v>0.10113517194349901</c:v>
                </c:pt>
                <c:pt idx="26">
                  <c:v>0.10265210131136485</c:v>
                </c:pt>
                <c:pt idx="27">
                  <c:v>0.10405944018647195</c:v>
                </c:pt>
                <c:pt idx="28">
                  <c:v>0.10546206737362657</c:v>
                </c:pt>
                <c:pt idx="29">
                  <c:v>0.11331733986142103</c:v>
                </c:pt>
                <c:pt idx="30">
                  <c:v>0.11894121058052218</c:v>
                </c:pt>
                <c:pt idx="31">
                  <c:v>0.11894121058052218</c:v>
                </c:pt>
                <c:pt idx="32">
                  <c:v>0.11894121058052218</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8.8384577229168322</c:v>
                </c:pt>
                <c:pt idx="7">
                  <c:v>9.1572366007751764</c:v>
                </c:pt>
                <c:pt idx="8">
                  <c:v>9.7417537719434257</c:v>
                </c:pt>
                <c:pt idx="9">
                  <c:v>9.4901765886462286</c:v>
                </c:pt>
                <c:pt idx="10">
                  <c:v>9.8813222766071629</c:v>
                </c:pt>
                <c:pt idx="11">
                  <c:v>10.239152111994464</c:v>
                </c:pt>
                <c:pt idx="12">
                  <c:v>10.613124660658176</c:v>
                </c:pt>
                <c:pt idx="13">
                  <c:v>11.014397919523841</c:v>
                </c:pt>
                <c:pt idx="14">
                  <c:v>11.361903763317734</c:v>
                </c:pt>
                <c:pt idx="15">
                  <c:v>11.735739278835572</c:v>
                </c:pt>
                <c:pt idx="16">
                  <c:v>12.110095116579135</c:v>
                </c:pt>
                <c:pt idx="17">
                  <c:v>12.484767080045714</c:v>
                </c:pt>
                <c:pt idx="18">
                  <c:v>12.885492637357151</c:v>
                </c:pt>
                <c:pt idx="19">
                  <c:v>13.161168239018679</c:v>
                </c:pt>
                <c:pt idx="20">
                  <c:v>13.440543248311869</c:v>
                </c:pt>
                <c:pt idx="21">
                  <c:v>13.712872366464442</c:v>
                </c:pt>
                <c:pt idx="22">
                  <c:v>13.981425523903454</c:v>
                </c:pt>
                <c:pt idx="23">
                  <c:v>14.253002442067769</c:v>
                </c:pt>
                <c:pt idx="24">
                  <c:v>14.462028490015806</c:v>
                </c:pt>
                <c:pt idx="25">
                  <c:v>14.664238407344079</c:v>
                </c:pt>
                <c:pt idx="26">
                  <c:v>14.884187743168749</c:v>
                </c:pt>
                <c:pt idx="27">
                  <c:v>15.088246849292814</c:v>
                </c:pt>
                <c:pt idx="28">
                  <c:v>15.291622777506479</c:v>
                </c:pt>
                <c:pt idx="29">
                  <c:v>16.430609208260982</c:v>
                </c:pt>
                <c:pt idx="30">
                  <c:v>17.246050359071049</c:v>
                </c:pt>
                <c:pt idx="31">
                  <c:v>17.246050359071049</c:v>
                </c:pt>
                <c:pt idx="32">
                  <c:v>17.246050359071049</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13.29992782488844</c:v>
                </c:pt>
                <c:pt idx="7">
                  <c:v>13.779619667122622</c:v>
                </c:pt>
                <c:pt idx="8">
                  <c:v>14.659188980305933</c:v>
                </c:pt>
                <c:pt idx="9">
                  <c:v>14.280620853927292</c:v>
                </c:pt>
                <c:pt idx="10">
                  <c:v>14.869208770731849</c:v>
                </c:pt>
                <c:pt idx="11">
                  <c:v>15.407663683731334</c:v>
                </c:pt>
                <c:pt idx="12">
                  <c:v>15.970409816783551</c:v>
                </c:pt>
                <c:pt idx="13">
                  <c:v>16.574237492185933</c:v>
                </c:pt>
                <c:pt idx="14">
                  <c:v>17.097157076810078</c:v>
                </c:pt>
                <c:pt idx="15">
                  <c:v>17.65969700522718</c:v>
                </c:pt>
                <c:pt idx="16">
                  <c:v>18.223019903735306</c:v>
                </c:pt>
                <c:pt idx="17">
                  <c:v>18.786818501673299</c:v>
                </c:pt>
                <c:pt idx="18">
                  <c:v>19.38982200713912</c:v>
                </c:pt>
                <c:pt idx="19">
                  <c:v>19.804652933543213</c:v>
                </c:pt>
                <c:pt idx="20">
                  <c:v>20.225050651806072</c:v>
                </c:pt>
                <c:pt idx="21">
                  <c:v>20.634845859249733</c:v>
                </c:pt>
                <c:pt idx="22">
                  <c:v>21.038959079345108</c:v>
                </c:pt>
                <c:pt idx="23">
                  <c:v>21.447622391851063</c:v>
                </c:pt>
                <c:pt idx="24">
                  <c:v>21.762160452492836</c:v>
                </c:pt>
                <c:pt idx="25">
                  <c:v>22.066441741180743</c:v>
                </c:pt>
                <c:pt idx="26">
                  <c:v>22.397416938812267</c:v>
                </c:pt>
                <c:pt idx="27">
                  <c:v>22.704480848438081</c:v>
                </c:pt>
                <c:pt idx="28">
                  <c:v>23.010516726117064</c:v>
                </c:pt>
                <c:pt idx="29">
                  <c:v>24.724439878488376</c:v>
                </c:pt>
                <c:pt idx="30">
                  <c:v>25.95149880564685</c:v>
                </c:pt>
                <c:pt idx="31">
                  <c:v>25.95149880564685</c:v>
                </c:pt>
                <c:pt idx="32">
                  <c:v>25.95149880564685</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11.750177857466273</c:v>
                </c:pt>
                <c:pt idx="7">
                  <c:v>12.173974477811809</c:v>
                </c:pt>
                <c:pt idx="8">
                  <c:v>12.951053572070732</c:v>
                </c:pt>
                <c:pt idx="9">
                  <c:v>12.616597410000988</c:v>
                </c:pt>
                <c:pt idx="10">
                  <c:v>13.136601187334803</c:v>
                </c:pt>
                <c:pt idx="11">
                  <c:v>13.612313618204595</c:v>
                </c:pt>
                <c:pt idx="12">
                  <c:v>14.109486778767998</c:v>
                </c:pt>
                <c:pt idx="13">
                  <c:v>14.642954529469714</c:v>
                </c:pt>
                <c:pt idx="14">
                  <c:v>15.104941857926335</c:v>
                </c:pt>
                <c:pt idx="15">
                  <c:v>15.60193284147573</c:v>
                </c:pt>
                <c:pt idx="16">
                  <c:v>16.099615560946383</c:v>
                </c:pt>
                <c:pt idx="17">
                  <c:v>16.597718549833626</c:v>
                </c:pt>
                <c:pt idx="18">
                  <c:v>17.130458165505825</c:v>
                </c:pt>
                <c:pt idx="19">
                  <c:v>17.496951670598698</c:v>
                </c:pt>
                <c:pt idx="20">
                  <c:v>17.868363307225607</c:v>
                </c:pt>
                <c:pt idx="21">
                  <c:v>18.230407871376517</c:v>
                </c:pt>
                <c:pt idx="22">
                  <c:v>18.587432531449355</c:v>
                </c:pt>
                <c:pt idx="23">
                  <c:v>18.948477092667233</c:v>
                </c:pt>
                <c:pt idx="24">
                  <c:v>19.226364176277354</c:v>
                </c:pt>
                <c:pt idx="25">
                  <c:v>19.495189639682597</c:v>
                </c:pt>
                <c:pt idx="26">
                  <c:v>19.787598552707134</c:v>
                </c:pt>
                <c:pt idx="27">
                  <c:v>20.058882397192399</c:v>
                </c:pt>
                <c:pt idx="28">
                  <c:v>20.32925799928887</c:v>
                </c:pt>
                <c:pt idx="29">
                  <c:v>21.843469364910405</c:v>
                </c:pt>
                <c:pt idx="30">
                  <c:v>22.927547476125625</c:v>
                </c:pt>
                <c:pt idx="31">
                  <c:v>22.927547476125625</c:v>
                </c:pt>
                <c:pt idx="32">
                  <c:v>22.927547476125625</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5.3088322404846746</c:v>
                </c:pt>
                <c:pt idx="7">
                  <c:v>5.5003072282500067</c:v>
                </c:pt>
                <c:pt idx="8">
                  <c:v>5.8513983010023267</c:v>
                </c:pt>
                <c:pt idx="9">
                  <c:v>5.7002881069471449</c:v>
                </c:pt>
                <c:pt idx="10">
                  <c:v>5.9352303224413063</c:v>
                </c:pt>
                <c:pt idx="11">
                  <c:v>6.1501613235576986</c:v>
                </c:pt>
                <c:pt idx="12">
                  <c:v>6.3747884684332572</c:v>
                </c:pt>
                <c:pt idx="13">
                  <c:v>6.6158138238396482</c:v>
                </c:pt>
                <c:pt idx="14">
                  <c:v>6.8245437046769375</c:v>
                </c:pt>
                <c:pt idx="15">
                  <c:v>7.0490885403979311</c:v>
                </c:pt>
                <c:pt idx="16">
                  <c:v>7.2739459084061142</c:v>
                </c:pt>
                <c:pt idx="17">
                  <c:v>7.4989931577808218</c:v>
                </c:pt>
                <c:pt idx="18">
                  <c:v>7.7396895354672983</c:v>
                </c:pt>
                <c:pt idx="19">
                  <c:v>7.9052744788925571</c:v>
                </c:pt>
                <c:pt idx="20">
                  <c:v>8.0730814767894632</c:v>
                </c:pt>
                <c:pt idx="21">
                  <c:v>8.2366563501208727</c:v>
                </c:pt>
                <c:pt idx="22">
                  <c:v>8.3979631872627802</c:v>
                </c:pt>
                <c:pt idx="23">
                  <c:v>8.561086250598132</c:v>
                </c:pt>
                <c:pt idx="24">
                  <c:v>8.6866380445010858</c:v>
                </c:pt>
                <c:pt idx="25">
                  <c:v>8.8080957198231786</c:v>
                </c:pt>
                <c:pt idx="26">
                  <c:v>8.9402086021727296</c:v>
                </c:pt>
                <c:pt idx="27">
                  <c:v>9.0627769953831248</c:v>
                </c:pt>
                <c:pt idx="28">
                  <c:v>9.1849350368069942</c:v>
                </c:pt>
                <c:pt idx="29">
                  <c:v>9.8690688613526376</c:v>
                </c:pt>
                <c:pt idx="30">
                  <c:v>10.358864751920043</c:v>
                </c:pt>
                <c:pt idx="31">
                  <c:v>10.358864751920043</c:v>
                </c:pt>
                <c:pt idx="32">
                  <c:v>10.358864751920043</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4.8355349710501123</c:v>
                </c:pt>
                <c:pt idx="7">
                  <c:v>5.0099394271487521</c:v>
                </c:pt>
                <c:pt idx="8">
                  <c:v>5.3297297470181082</c:v>
                </c:pt>
                <c:pt idx="9">
                  <c:v>5.1920914501693671</c:v>
                </c:pt>
                <c:pt idx="10">
                  <c:v>5.4060879088508891</c:v>
                </c:pt>
                <c:pt idx="11">
                  <c:v>5.6018572089872674</c:v>
                </c:pt>
                <c:pt idx="12">
                  <c:v>5.8064582144983659</c:v>
                </c:pt>
                <c:pt idx="13">
                  <c:v>6.0259954841241585</c:v>
                </c:pt>
                <c:pt idx="14">
                  <c:v>6.2161165112296768</c:v>
                </c:pt>
                <c:pt idx="15">
                  <c:v>6.4206425456779677</c:v>
                </c:pt>
                <c:pt idx="16">
                  <c:v>6.6254532492843392</c:v>
                </c:pt>
                <c:pt idx="17">
                  <c:v>6.830436905801367</c:v>
                </c:pt>
                <c:pt idx="18">
                  <c:v>7.0496745269927619</c:v>
                </c:pt>
                <c:pt idx="19">
                  <c:v>7.200497108747407</c:v>
                </c:pt>
                <c:pt idx="20">
                  <c:v>7.353343642591418</c:v>
                </c:pt>
                <c:pt idx="21">
                  <c:v>7.502335357633239</c:v>
                </c:pt>
                <c:pt idx="22">
                  <c:v>7.649261238266825</c:v>
                </c:pt>
                <c:pt idx="23">
                  <c:v>7.7978414234396949</c:v>
                </c:pt>
                <c:pt idx="24">
                  <c:v>7.9121999231236835</c:v>
                </c:pt>
                <c:pt idx="25">
                  <c:v>8.0228293063698963</c:v>
                </c:pt>
                <c:pt idx="26">
                  <c:v>8.1431639550814872</c:v>
                </c:pt>
                <c:pt idx="27">
                  <c:v>8.254805032604061</c:v>
                </c:pt>
                <c:pt idx="28">
                  <c:v>8.3660723423516714</c:v>
                </c:pt>
                <c:pt idx="29">
                  <c:v>8.9892137195157584</c:v>
                </c:pt>
                <c:pt idx="30">
                  <c:v>9.435342934045071</c:v>
                </c:pt>
                <c:pt idx="31">
                  <c:v>9.435342934045071</c:v>
                </c:pt>
                <c:pt idx="32">
                  <c:v>9.435342934045071</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9.0967559805339615</c:v>
                </c:pt>
                <c:pt idx="7">
                  <c:v>9.4248509666203795</c:v>
                </c:pt>
                <c:pt idx="8">
                  <c:v>10.02645027718367</c:v>
                </c:pt>
                <c:pt idx="9">
                  <c:v>9.767520912076133</c:v>
                </c:pt>
                <c:pt idx="10">
                  <c:v>10.170097581871465</c:v>
                </c:pt>
                <c:pt idx="11">
                  <c:v>10.5383847646718</c:v>
                </c:pt>
                <c:pt idx="12">
                  <c:v>10.923286421189477</c:v>
                </c:pt>
                <c:pt idx="13">
                  <c:v>11.336286633653007</c:v>
                </c:pt>
                <c:pt idx="14">
                  <c:v>11.693948112827833</c:v>
                </c:pt>
                <c:pt idx="15">
                  <c:v>12.078708731493847</c:v>
                </c:pt>
                <c:pt idx="16">
                  <c:v>12.464004878468879</c:v>
                </c:pt>
                <c:pt idx="17">
                  <c:v>12.849626389738406</c:v>
                </c:pt>
                <c:pt idx="18">
                  <c:v>13.262062894421105</c:v>
                </c:pt>
                <c:pt idx="19">
                  <c:v>13.545794938711994</c:v>
                </c:pt>
                <c:pt idx="20">
                  <c:v>13.833334503449636</c:v>
                </c:pt>
                <c:pt idx="21">
                  <c:v>14.11362226539759</c:v>
                </c:pt>
                <c:pt idx="22">
                  <c:v>14.390023716602178</c:v>
                </c:pt>
                <c:pt idx="23">
                  <c:v>14.669537295999708</c:v>
                </c:pt>
                <c:pt idx="24">
                  <c:v>14.884671996121481</c:v>
                </c:pt>
                <c:pt idx="25">
                  <c:v>15.092791368578265</c:v>
                </c:pt>
                <c:pt idx="26">
                  <c:v>15.319168582658238</c:v>
                </c:pt>
                <c:pt idx="27">
                  <c:v>15.529191185267226</c:v>
                </c:pt>
                <c:pt idx="28">
                  <c:v>15.738510644529599</c:v>
                </c:pt>
                <c:pt idx="29">
                  <c:v>16.910783223132118</c:v>
                </c:pt>
                <c:pt idx="30">
                  <c:v>17.750055118518517</c:v>
                </c:pt>
                <c:pt idx="31">
                  <c:v>17.750055118518517</c:v>
                </c:pt>
                <c:pt idx="32">
                  <c:v>17.750055118518517</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34.799650512357417</c:v>
                </c:pt>
                <c:pt idx="7">
                  <c:v>35.282443373845915</c:v>
                </c:pt>
                <c:pt idx="8">
                  <c:v>31.997968023045065</c:v>
                </c:pt>
                <c:pt idx="9">
                  <c:v>33.515237534752728</c:v>
                </c:pt>
                <c:pt idx="10">
                  <c:v>35.003149922900654</c:v>
                </c:pt>
                <c:pt idx="11">
                  <c:v>36.608965783327676</c:v>
                </c:pt>
                <c:pt idx="12">
                  <c:v>38.439139379730648</c:v>
                </c:pt>
                <c:pt idx="13">
                  <c:v>40.300390007548238</c:v>
                </c:pt>
                <c:pt idx="14">
                  <c:v>42.296158994882731</c:v>
                </c:pt>
                <c:pt idx="15">
                  <c:v>44.306723557000041</c:v>
                </c:pt>
                <c:pt idx="16">
                  <c:v>46.363982586670332</c:v>
                </c:pt>
                <c:pt idx="17">
                  <c:v>48.589967164073251</c:v>
                </c:pt>
                <c:pt idx="18">
                  <c:v>50.729639479459024</c:v>
                </c:pt>
                <c:pt idx="19">
                  <c:v>52.859386386360264</c:v>
                </c:pt>
                <c:pt idx="20">
                  <c:v>54.937138677110724</c:v>
                </c:pt>
                <c:pt idx="21">
                  <c:v>56.992937286004171</c:v>
                </c:pt>
                <c:pt idx="22">
                  <c:v>59.022422432970835</c:v>
                </c:pt>
                <c:pt idx="23">
                  <c:v>60.918938426815494</c:v>
                </c:pt>
                <c:pt idx="24">
                  <c:v>62.834826212600269</c:v>
                </c:pt>
                <c:pt idx="25">
                  <c:v>64.925813043007466</c:v>
                </c:pt>
                <c:pt idx="26">
                  <c:v>66.896117897830081</c:v>
                </c:pt>
                <c:pt idx="27">
                  <c:v>68.861989796632685</c:v>
                </c:pt>
                <c:pt idx="28">
                  <c:v>70.800082807436837</c:v>
                </c:pt>
                <c:pt idx="29">
                  <c:v>80.257458304886882</c:v>
                </c:pt>
                <c:pt idx="30">
                  <c:v>89.092590853546142</c:v>
                </c:pt>
                <c:pt idx="31">
                  <c:v>89.092590853546142</c:v>
                </c:pt>
                <c:pt idx="32">
                  <c:v>89.092590853546142</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5.7254497011098566</c:v>
                </c:pt>
                <c:pt idx="7">
                  <c:v>5.804881712748184</c:v>
                </c:pt>
                <c:pt idx="8">
                  <c:v>5.2644998945782655</c:v>
                </c:pt>
                <c:pt idx="9">
                  <c:v>5.5141302829416476</c:v>
                </c:pt>
                <c:pt idx="10">
                  <c:v>5.7589306591688203</c:v>
                </c:pt>
                <c:pt idx="11">
                  <c:v>6.0231292302106345</c:v>
                </c:pt>
                <c:pt idx="12">
                  <c:v>6.3242404976006217</c:v>
                </c:pt>
                <c:pt idx="13">
                  <c:v>6.6304647468052114</c:v>
                </c:pt>
                <c:pt idx="14">
                  <c:v>6.9588207729084317</c:v>
                </c:pt>
                <c:pt idx="15">
                  <c:v>7.2896110567691537</c:v>
                </c:pt>
                <c:pt idx="16">
                  <c:v>7.6280837978200635</c:v>
                </c:pt>
                <c:pt idx="17">
                  <c:v>7.9943162899780233</c:v>
                </c:pt>
                <c:pt idx="18">
                  <c:v>8.346348164960455</c:v>
                </c:pt>
                <c:pt idx="19">
                  <c:v>8.6967470515017808</c:v>
                </c:pt>
                <c:pt idx="20">
                  <c:v>9.0385914682390478</c:v>
                </c:pt>
                <c:pt idx="21">
                  <c:v>9.3768239320004696</c:v>
                </c:pt>
                <c:pt idx="22">
                  <c:v>9.7107271453094928</c:v>
                </c:pt>
                <c:pt idx="23">
                  <c:v>10.022753466558097</c:v>
                </c:pt>
                <c:pt idx="24">
                  <c:v>10.337966952583947</c:v>
                </c:pt>
                <c:pt idx="25">
                  <c:v>10.681988796105863</c:v>
                </c:pt>
                <c:pt idx="26">
                  <c:v>11.006155308586601</c:v>
                </c:pt>
                <c:pt idx="27">
                  <c:v>11.329592484239349</c:v>
                </c:pt>
                <c:pt idx="28">
                  <c:v>11.648459308648732</c:v>
                </c:pt>
                <c:pt idx="29">
                  <c:v>13.204444122229866</c:v>
                </c:pt>
                <c:pt idx="30">
                  <c:v>14.658053749488172</c:v>
                </c:pt>
                <c:pt idx="31">
                  <c:v>14.658053749488172</c:v>
                </c:pt>
                <c:pt idx="32">
                  <c:v>14.658053749488172</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8.0627093316283442</c:v>
                </c:pt>
                <c:pt idx="7">
                  <c:v>8.1745673087130459</c:v>
                </c:pt>
                <c:pt idx="8">
                  <c:v>7.4135892623673918</c:v>
                </c:pt>
                <c:pt idx="9">
                  <c:v>7.7651244896047027</c:v>
                </c:pt>
                <c:pt idx="10">
                  <c:v>8.1098579831869362</c:v>
                </c:pt>
                <c:pt idx="11">
                  <c:v>8.4819084587554823</c:v>
                </c:pt>
                <c:pt idx="12">
                  <c:v>8.9059402382981574</c:v>
                </c:pt>
                <c:pt idx="13">
                  <c:v>9.3371722358745437</c:v>
                </c:pt>
                <c:pt idx="14">
                  <c:v>9.7995707083029426</c:v>
                </c:pt>
                <c:pt idx="15">
                  <c:v>10.265397158228584</c:v>
                </c:pt>
                <c:pt idx="16">
                  <c:v>10.742042220230262</c:v>
                </c:pt>
                <c:pt idx="17">
                  <c:v>11.257779199195442</c:v>
                </c:pt>
                <c:pt idx="18">
                  <c:v>11.753518543984599</c:v>
                </c:pt>
                <c:pt idx="19">
                  <c:v>12.246958277069895</c:v>
                </c:pt>
                <c:pt idx="20">
                  <c:v>12.728351409954868</c:v>
                </c:pt>
                <c:pt idx="21">
                  <c:v>13.204658107977249</c:v>
                </c:pt>
                <c:pt idx="22">
                  <c:v>13.67486825641074</c:v>
                </c:pt>
                <c:pt idx="23">
                  <c:v>14.11427086465601</c:v>
                </c:pt>
                <c:pt idx="24">
                  <c:v>14.558161711298689</c:v>
                </c:pt>
                <c:pt idx="25">
                  <c:v>15.042621146425759</c:v>
                </c:pt>
                <c:pt idx="26">
                  <c:v>15.499119849867904</c:v>
                </c:pt>
                <c:pt idx="27">
                  <c:v>15.954591484493465</c:v>
                </c:pt>
                <c:pt idx="28">
                  <c:v>16.403627045877204</c:v>
                </c:pt>
                <c:pt idx="29">
                  <c:v>18.594800478751957</c:v>
                </c:pt>
                <c:pt idx="30">
                  <c:v>20.641806830754046</c:v>
                </c:pt>
                <c:pt idx="31">
                  <c:v>20.641806830754046</c:v>
                </c:pt>
                <c:pt idx="32">
                  <c:v>20.641806830754046</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35.155847067207745</c:v>
                </c:pt>
                <c:pt idx="7">
                  <c:v>35.643581620679832</c:v>
                </c:pt>
                <c:pt idx="8">
                  <c:v>32.325487575805298</c:v>
                </c:pt>
                <c:pt idx="9">
                  <c:v>33.858287305917251</c:v>
                </c:pt>
                <c:pt idx="10">
                  <c:v>35.361429423639308</c:v>
                </c:pt>
                <c:pt idx="11">
                  <c:v>36.9836818306634</c:v>
                </c:pt>
                <c:pt idx="12">
                  <c:v>38.832588417778027</c:v>
                </c:pt>
                <c:pt idx="13">
                  <c:v>40.712890129488144</c:v>
                </c:pt>
                <c:pt idx="14">
                  <c:v>42.729087081675708</c:v>
                </c:pt>
                <c:pt idx="15">
                  <c:v>44.760231050763672</c:v>
                </c:pt>
                <c:pt idx="16">
                  <c:v>46.838547434976732</c:v>
                </c:pt>
                <c:pt idx="17">
                  <c:v>49.087316380209415</c:v>
                </c:pt>
                <c:pt idx="18">
                  <c:v>51.248889602530404</c:v>
                </c:pt>
                <c:pt idx="19">
                  <c:v>53.400435823498661</c:v>
                </c:pt>
                <c:pt idx="20">
                  <c:v>55.499455230352339</c:v>
                </c:pt>
                <c:pt idx="21">
                  <c:v>57.576296245453115</c:v>
                </c:pt>
                <c:pt idx="22">
                  <c:v>59.626554463609466</c:v>
                </c:pt>
                <c:pt idx="23">
                  <c:v>61.542482504795984</c:v>
                </c:pt>
                <c:pt idx="24">
                  <c:v>63.477980620533181</c:v>
                </c:pt>
                <c:pt idx="25">
                  <c:v>65.590370030973887</c:v>
                </c:pt>
                <c:pt idx="26">
                  <c:v>67.580842209058659</c:v>
                </c:pt>
                <c:pt idx="27">
                  <c:v>69.566836056999279</c:v>
                </c:pt>
                <c:pt idx="28">
                  <c:v>71.524766682356002</c:v>
                </c:pt>
                <c:pt idx="29">
                  <c:v>81.078944432717222</c:v>
                </c:pt>
                <c:pt idx="30">
                  <c:v>90.004510181973174</c:v>
                </c:pt>
                <c:pt idx="31">
                  <c:v>90.004510181973174</c:v>
                </c:pt>
                <c:pt idx="32">
                  <c:v>90.004510181973174</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7.2656515683060787</c:v>
                </c:pt>
                <c:pt idx="7">
                  <c:v>7.3664515665702934</c:v>
                </c:pt>
                <c:pt idx="8">
                  <c:v>6.6807017635619337</c:v>
                </c:pt>
                <c:pt idx="9">
                  <c:v>6.9974851635379531</c:v>
                </c:pt>
                <c:pt idx="10">
                  <c:v>7.3081392309576865</c:v>
                </c:pt>
                <c:pt idx="11">
                  <c:v>7.6434097969818859</c:v>
                </c:pt>
                <c:pt idx="12">
                  <c:v>8.0255229350507786</c:v>
                </c:pt>
                <c:pt idx="13">
                  <c:v>8.414124496960472</c:v>
                </c:pt>
                <c:pt idx="14">
                  <c:v>8.83081149982719</c:v>
                </c:pt>
                <c:pt idx="15">
                  <c:v>9.2505875995538496</c:v>
                </c:pt>
                <c:pt idx="16">
                  <c:v>9.6801128124587308</c:v>
                </c:pt>
                <c:pt idx="17">
                  <c:v>10.144865420537066</c:v>
                </c:pt>
                <c:pt idx="18">
                  <c:v>10.591597306778949</c:v>
                </c:pt>
                <c:pt idx="19">
                  <c:v>11.036256914746195</c:v>
                </c:pt>
                <c:pt idx="20">
                  <c:v>11.470060817014751</c:v>
                </c:pt>
                <c:pt idx="21">
                  <c:v>11.899281115693443</c:v>
                </c:pt>
                <c:pt idx="22">
                  <c:v>12.323007553281546</c:v>
                </c:pt>
                <c:pt idx="23">
                  <c:v>12.718972001260754</c:v>
                </c:pt>
                <c:pt idx="24">
                  <c:v>13.118980992458598</c:v>
                </c:pt>
                <c:pt idx="25">
                  <c:v>13.555548070575103</c:v>
                </c:pt>
                <c:pt idx="26">
                  <c:v>13.966918539752648</c:v>
                </c:pt>
                <c:pt idx="27">
                  <c:v>14.377363473374952</c:v>
                </c:pt>
                <c:pt idx="28">
                  <c:v>14.782008586649061</c:v>
                </c:pt>
                <c:pt idx="29">
                  <c:v>16.756568506172016</c:v>
                </c:pt>
                <c:pt idx="30">
                  <c:v>18.601213314761782</c:v>
                </c:pt>
                <c:pt idx="31">
                  <c:v>18.601213314761782</c:v>
                </c:pt>
                <c:pt idx="32">
                  <c:v>18.601213314761782</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6.1027864275574011</c:v>
                </c:pt>
                <c:pt idx="7">
                  <c:v>6.1874534192953599</c:v>
                </c:pt>
                <c:pt idx="8">
                  <c:v>5.6114576464241228</c:v>
                </c:pt>
                <c:pt idx="9">
                  <c:v>5.8775399675585867</c:v>
                </c:pt>
                <c:pt idx="10">
                  <c:v>6.1384739537938575</c:v>
                </c:pt>
                <c:pt idx="11">
                  <c:v>6.4200845761387706</c:v>
                </c:pt>
                <c:pt idx="12">
                  <c:v>6.7410406322990415</c:v>
                </c:pt>
                <c:pt idx="13">
                  <c:v>7.0674466422011912</c:v>
                </c:pt>
                <c:pt idx="14">
                  <c:v>7.4174430274844241</c:v>
                </c:pt>
                <c:pt idx="15">
                  <c:v>7.7700341006924809</c:v>
                </c:pt>
                <c:pt idx="16">
                  <c:v>8.1308139447252099</c:v>
                </c:pt>
                <c:pt idx="17">
                  <c:v>8.5211830509351323</c:v>
                </c:pt>
                <c:pt idx="18">
                  <c:v>8.8964156459038595</c:v>
                </c:pt>
                <c:pt idx="19">
                  <c:v>9.2699076300533516</c:v>
                </c:pt>
                <c:pt idx="20">
                  <c:v>9.6342813606261775</c:v>
                </c:pt>
                <c:pt idx="21">
                  <c:v>9.994805091854202</c:v>
                </c:pt>
                <c:pt idx="22">
                  <c:v>10.350714252649922</c:v>
                </c:pt>
                <c:pt idx="23">
                  <c:v>10.683304721130943</c:v>
                </c:pt>
                <c:pt idx="24">
                  <c:v>11.019292405020424</c:v>
                </c:pt>
                <c:pt idx="25">
                  <c:v>11.385987066056718</c:v>
                </c:pt>
                <c:pt idx="26">
                  <c:v>11.731517827116862</c:v>
                </c:pt>
                <c:pt idx="27">
                  <c:v>12.076271184282582</c:v>
                </c:pt>
                <c:pt idx="28">
                  <c:v>12.416152980436811</c:v>
                </c:pt>
                <c:pt idx="29">
                  <c:v>14.074685235111522</c:v>
                </c:pt>
                <c:pt idx="30">
                  <c:v>15.624095249573642</c:v>
                </c:pt>
                <c:pt idx="31">
                  <c:v>15.624095249573642</c:v>
                </c:pt>
                <c:pt idx="32">
                  <c:v>15.624095249573642</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13.65948287409527</c:v>
                </c:pt>
                <c:pt idx="7">
                  <c:v>13.848987674463762</c:v>
                </c:pt>
                <c:pt idx="8">
                  <c:v>12.559772577642002</c:v>
                </c:pt>
                <c:pt idx="9">
                  <c:v>13.155327895164465</c:v>
                </c:pt>
                <c:pt idx="10">
                  <c:v>13.739360018614777</c:v>
                </c:pt>
                <c:pt idx="11">
                  <c:v>14.369671355697443</c:v>
                </c:pt>
                <c:pt idx="12">
                  <c:v>15.088047101678297</c:v>
                </c:pt>
                <c:pt idx="13">
                  <c:v>15.818621136209059</c:v>
                </c:pt>
                <c:pt idx="14">
                  <c:v>16.60199602365126</c:v>
                </c:pt>
                <c:pt idx="15">
                  <c:v>17.391178437818091</c:v>
                </c:pt>
                <c:pt idx="16">
                  <c:v>18.19868926248515</c:v>
                </c:pt>
                <c:pt idx="17">
                  <c:v>19.072427870930031</c:v>
                </c:pt>
                <c:pt idx="18">
                  <c:v>19.912287378651502</c:v>
                </c:pt>
                <c:pt idx="19">
                  <c:v>20.748250986695339</c:v>
                </c:pt>
                <c:pt idx="20">
                  <c:v>21.56380578147812</c:v>
                </c:pt>
                <c:pt idx="21">
                  <c:v>22.370743364969002</c:v>
                </c:pt>
                <c:pt idx="22">
                  <c:v>23.167352445809563</c:v>
                </c:pt>
                <c:pt idx="23">
                  <c:v>23.9117687648519</c:v>
                </c:pt>
                <c:pt idx="24">
                  <c:v>24.663788857390543</c:v>
                </c:pt>
                <c:pt idx="25">
                  <c:v>25.484538444796989</c:v>
                </c:pt>
                <c:pt idx="26">
                  <c:v>26.257918206517278</c:v>
                </c:pt>
                <c:pt idx="27">
                  <c:v>27.029557954014852</c:v>
                </c:pt>
                <c:pt idx="28">
                  <c:v>27.79029399301853</c:v>
                </c:pt>
                <c:pt idx="29">
                  <c:v>31.502482383974758</c:v>
                </c:pt>
                <c:pt idx="30">
                  <c:v>34.970429330623489</c:v>
                </c:pt>
                <c:pt idx="31">
                  <c:v>34.970429330623489</c:v>
                </c:pt>
                <c:pt idx="32">
                  <c:v>34.970429330623489</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26.164390783448656</c:v>
                </c:pt>
                <c:pt idx="1">
                  <c:v>26.379251330070801</c:v>
                </c:pt>
                <c:pt idx="2">
                  <c:v>26.321563508905001</c:v>
                </c:pt>
                <c:pt idx="3">
                  <c:v>26.360993218184007</c:v>
                </c:pt>
                <c:pt idx="4">
                  <c:v>26.55165611504972</c:v>
                </c:pt>
                <c:pt idx="5">
                  <c:v>26.578764727799523</c:v>
                </c:pt>
                <c:pt idx="6">
                  <c:v>26.623535799649542</c:v>
                </c:pt>
                <c:pt idx="7">
                  <c:v>26.911307025844376</c:v>
                </c:pt>
                <c:pt idx="8">
                  <c:v>28.111589337230718</c:v>
                </c:pt>
                <c:pt idx="9">
                  <c:v>28.824876958197162</c:v>
                </c:pt>
                <c:pt idx="10">
                  <c:v>28.297543879976313</c:v>
                </c:pt>
                <c:pt idx="11">
                  <c:v>27.805769254531878</c:v>
                </c:pt>
                <c:pt idx="12">
                  <c:v>27.213199869311914</c:v>
                </c:pt>
                <c:pt idx="13">
                  <c:v>26.571390622809556</c:v>
                </c:pt>
                <c:pt idx="14">
                  <c:v>25.892289016349665</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15.698634470069196</c:v>
                </c:pt>
                <c:pt idx="1">
                  <c:v>15.74245680105571</c:v>
                </c:pt>
                <c:pt idx="2">
                  <c:v>16.168259366046819</c:v>
                </c:pt>
                <c:pt idx="3">
                  <c:v>16.60012737178209</c:v>
                </c:pt>
                <c:pt idx="4">
                  <c:v>16.976763654970718</c:v>
                </c:pt>
                <c:pt idx="5">
                  <c:v>17.298814732088275</c:v>
                </c:pt>
                <c:pt idx="6">
                  <c:v>17.766318277795556</c:v>
                </c:pt>
                <c:pt idx="7">
                  <c:v>18.226385675800731</c:v>
                </c:pt>
                <c:pt idx="8">
                  <c:v>19.201285369797056</c:v>
                </c:pt>
                <c:pt idx="9">
                  <c:v>18.602074428391902</c:v>
                </c:pt>
                <c:pt idx="10">
                  <c:v>19.262352885266434</c:v>
                </c:pt>
                <c:pt idx="11">
                  <c:v>19.850825151980047</c:v>
                </c:pt>
                <c:pt idx="12">
                  <c:v>20.464027056679534</c:v>
                </c:pt>
                <c:pt idx="13">
                  <c:v>21.122955922354091</c:v>
                </c:pt>
                <c:pt idx="14">
                  <c:v>21.67224098130535</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10.46240762855223</c:v>
                </c:pt>
                <c:pt idx="1">
                  <c:v>10.98267832729683</c:v>
                </c:pt>
                <c:pt idx="2">
                  <c:v>11.422542816477451</c:v>
                </c:pt>
                <c:pt idx="3">
                  <c:v>11.789370867355018</c:v>
                </c:pt>
                <c:pt idx="4">
                  <c:v>12.091520699804388</c:v>
                </c:pt>
                <c:pt idx="5">
                  <c:v>12.644368581760297</c:v>
                </c:pt>
                <c:pt idx="6">
                  <c:v>13.046146539854554</c:v>
                </c:pt>
                <c:pt idx="7">
                  <c:v>13.227142220174334</c:v>
                </c:pt>
                <c:pt idx="8">
                  <c:v>11.995815292972233</c:v>
                </c:pt>
                <c:pt idx="9">
                  <c:v>12.564629062615198</c:v>
                </c:pt>
                <c:pt idx="10">
                  <c:v>13.122437051156627</c:v>
                </c:pt>
                <c:pt idx="11">
                  <c:v>13.724446230062442</c:v>
                </c:pt>
                <c:pt idx="12">
                  <c:v>14.410565561162251</c:v>
                </c:pt>
                <c:pt idx="13">
                  <c:v>15.108335454836382</c:v>
                </c:pt>
                <c:pt idx="14">
                  <c:v>15.85653534435013</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8.0790196780328642</c:v>
                </c:pt>
                <c:pt idx="10">
                  <c:v>11.029653917384085</c:v>
                </c:pt>
                <c:pt idx="11">
                  <c:v>14.093959168831514</c:v>
                </c:pt>
                <c:pt idx="12">
                  <c:v>17.412545818633252</c:v>
                </c:pt>
                <c:pt idx="13">
                  <c:v>20.882435561940476</c:v>
                </c:pt>
                <c:pt idx="14">
                  <c:v>24.578380836137853</c:v>
                </c:pt>
                <c:pt idx="15">
                  <c:v>28.417465025390591</c:v>
                </c:pt>
                <c:pt idx="16">
                  <c:v>32.412556657894534</c:v>
                </c:pt>
                <c:pt idx="17">
                  <c:v>36.699356263877249</c:v>
                </c:pt>
                <c:pt idx="18">
                  <c:v>41.098196253094748</c:v>
                </c:pt>
                <c:pt idx="19">
                  <c:v>41.098196253094748</c:v>
                </c:pt>
                <c:pt idx="20">
                  <c:v>41.098196253094748</c:v>
                </c:pt>
                <c:pt idx="21">
                  <c:v>41.098196253094748</c:v>
                </c:pt>
                <c:pt idx="22">
                  <c:v>41.098196253094748</c:v>
                </c:pt>
                <c:pt idx="23">
                  <c:v>41.098196253094748</c:v>
                </c:pt>
                <c:pt idx="24">
                  <c:v>41.098196253094748</c:v>
                </c:pt>
                <c:pt idx="25">
                  <c:v>41.098196253094748</c:v>
                </c:pt>
                <c:pt idx="26">
                  <c:v>41.098196253094748</c:v>
                </c:pt>
                <c:pt idx="27">
                  <c:v>41.098196253094748</c:v>
                </c:pt>
                <c:pt idx="28">
                  <c:v>41.098196253094748</c:v>
                </c:pt>
                <c:pt idx="29">
                  <c:v>41.098196253094748</c:v>
                </c:pt>
                <c:pt idx="30">
                  <c:v>41.098196253094748</c:v>
                </c:pt>
                <c:pt idx="31">
                  <c:v>41.098196253094748</c:v>
                </c:pt>
                <c:pt idx="32">
                  <c:v>41.098196253094748</c:v>
                </c:pt>
                <c:pt idx="33">
                  <c:v>41.098196253094748</c:v>
                </c:pt>
                <c:pt idx="34">
                  <c:v>41.098196253094748</c:v>
                </c:pt>
                <c:pt idx="35">
                  <c:v>41.098196253094748</c:v>
                </c:pt>
                <c:pt idx="36">
                  <c:v>41.098196253094748</c:v>
                </c:pt>
                <c:pt idx="37">
                  <c:v>41.098196253094748</c:v>
                </c:pt>
                <c:pt idx="38">
                  <c:v>41.098196253094748</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4.3883347481526442</c:v>
                </c:pt>
                <c:pt idx="20">
                  <c:v>8.9058389857557785</c:v>
                </c:pt>
                <c:pt idx="21">
                  <c:v>13.520597474980448</c:v>
                </c:pt>
                <c:pt idx="22">
                  <c:v>18.244019899221762</c:v>
                </c:pt>
                <c:pt idx="23">
                  <c:v>22.855754693459012</c:v>
                </c:pt>
                <c:pt idx="24">
                  <c:v>27.528322917884118</c:v>
                </c:pt>
                <c:pt idx="25">
                  <c:v>32.504632704707412</c:v>
                </c:pt>
                <c:pt idx="26">
                  <c:v>37.647372612296216</c:v>
                </c:pt>
                <c:pt idx="27">
                  <c:v>42.918329167958539</c:v>
                </c:pt>
                <c:pt idx="28">
                  <c:v>48.26976421532121</c:v>
                </c:pt>
                <c:pt idx="29">
                  <c:v>48.26976421532121</c:v>
                </c:pt>
                <c:pt idx="30">
                  <c:v>48.26976421532121</c:v>
                </c:pt>
                <c:pt idx="31">
                  <c:v>48.26976421532121</c:v>
                </c:pt>
                <c:pt idx="32">
                  <c:v>48.26976421532121</c:v>
                </c:pt>
                <c:pt idx="33">
                  <c:v>48.26976421532121</c:v>
                </c:pt>
                <c:pt idx="34">
                  <c:v>48.26976421532121</c:v>
                </c:pt>
                <c:pt idx="35">
                  <c:v>48.26976421532121</c:v>
                </c:pt>
                <c:pt idx="36">
                  <c:v>48.26976421532121</c:v>
                </c:pt>
                <c:pt idx="37">
                  <c:v>48.26976421532121</c:v>
                </c:pt>
                <c:pt idx="38">
                  <c:v>48.26976421532121</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5.9657838347978043</c:v>
                </c:pt>
                <c:pt idx="30">
                  <c:v>11.772474142253785</c:v>
                </c:pt>
                <c:pt idx="31">
                  <c:v>17.433842063171227</c:v>
                </c:pt>
                <c:pt idx="32">
                  <c:v>22.961804141146672</c:v>
                </c:pt>
                <c:pt idx="33">
                  <c:v>28.366752386458728</c:v>
                </c:pt>
                <c:pt idx="34">
                  <c:v>34.760695237287337</c:v>
                </c:pt>
                <c:pt idx="35">
                  <c:v>40.987582687759584</c:v>
                </c:pt>
                <c:pt idx="36">
                  <c:v>47.061395001932908</c:v>
                </c:pt>
                <c:pt idx="37">
                  <c:v>52.994288999223954</c:v>
                </c:pt>
                <c:pt idx="38">
                  <c:v>59.301120896817878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6.9865713245222709</c:v>
                </c:pt>
                <c:pt idx="10">
                  <c:v>9.5382195921774695</c:v>
                </c:pt>
                <c:pt idx="11">
                  <c:v>12.18816823106461</c:v>
                </c:pt>
                <c:pt idx="12">
                  <c:v>15.058014233357381</c:v>
                </c:pt>
                <c:pt idx="13">
                  <c:v>18.0587040628129</c:v>
                </c:pt>
                <c:pt idx="14">
                  <c:v>21.254882101581867</c:v>
                </c:pt>
                <c:pt idx="15">
                  <c:v>24.574843752621046</c:v>
                </c:pt>
                <c:pt idx="16">
                  <c:v>28.029717456467147</c:v>
                </c:pt>
                <c:pt idx="17">
                  <c:v>31.736854262008961</c:v>
                </c:pt>
                <c:pt idx="18">
                  <c:v>35.540881304224548</c:v>
                </c:pt>
                <c:pt idx="19">
                  <c:v>39.297874205137987</c:v>
                </c:pt>
                <c:pt idx="20">
                  <c:v>43.165453212793714</c:v>
                </c:pt>
                <c:pt idx="21">
                  <c:v>47.116294677371073</c:v>
                </c:pt>
                <c:pt idx="22">
                  <c:v>51.160166791584885</c:v>
                </c:pt>
                <c:pt idx="23">
                  <c:v>55.108419574747941</c:v>
                </c:pt>
                <c:pt idx="24">
                  <c:v>59.108753791637135</c:v>
                </c:pt>
                <c:pt idx="25">
                  <c:v>63.36913081727576</c:v>
                </c:pt>
                <c:pt idx="26">
                  <c:v>67.771993960792571</c:v>
                </c:pt>
                <c:pt idx="27">
                  <c:v>72.284627453254132</c:v>
                </c:pt>
                <c:pt idx="28">
                  <c:v>76.866161141199115</c:v>
                </c:pt>
                <c:pt idx="29">
                  <c:v>100.66612618149233</c:v>
                </c:pt>
                <c:pt idx="30">
                  <c:v>126.62034466444945</c:v>
                </c:pt>
                <c:pt idx="31" formatCode="0.00">
                  <c:v>126.62034466444945</c:v>
                </c:pt>
                <c:pt idx="32" formatCode="0.00">
                  <c:v>126.62034466444945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0.66628372368851163</c:v>
                </c:pt>
                <c:pt idx="10">
                  <c:v>0.9096250753110684</c:v>
                </c:pt>
                <c:pt idx="11">
                  <c:v>1.1623409733802483</c:v>
                </c:pt>
                <c:pt idx="12">
                  <c:v>1.4360276777739756</c:v>
                </c:pt>
                <c:pt idx="13">
                  <c:v>1.722192478838334</c:v>
                </c:pt>
                <c:pt idx="14">
                  <c:v>2.0270002745832731</c:v>
                </c:pt>
                <c:pt idx="15">
                  <c:v>2.3436128601577431</c:v>
                </c:pt>
                <c:pt idx="16">
                  <c:v>2.6730915141854394</c:v>
                </c:pt>
                <c:pt idx="17">
                  <c:v>3.0266275764810642</c:v>
                </c:pt>
                <c:pt idx="18">
                  <c:v>3.3894037058541517</c:v>
                </c:pt>
                <c:pt idx="19">
                  <c:v>3.7476943614015745</c:v>
                </c:pt>
                <c:pt idx="20">
                  <c:v>4.1165312090031527</c:v>
                </c:pt>
                <c:pt idx="21">
                  <c:v>4.4933084922296391</c:v>
                </c:pt>
                <c:pt idx="22">
                  <c:v>4.8789577678509319</c:v>
                </c:pt>
                <c:pt idx="23">
                  <c:v>5.255488178010209</c:v>
                </c:pt>
                <c:pt idx="24">
                  <c:v>5.6369854037913756</c:v>
                </c:pt>
                <c:pt idx="25">
                  <c:v>6.0432819600143368</c:v>
                </c:pt>
                <c:pt idx="26">
                  <c:v>6.463166895541546</c:v>
                </c:pt>
                <c:pt idx="27">
                  <c:v>6.8935202272889136</c:v>
                </c:pt>
                <c:pt idx="28">
                  <c:v>7.3304443183797723</c:v>
                </c:pt>
                <c:pt idx="29">
                  <c:v>9.6001598332052467</c:v>
                </c:pt>
                <c:pt idx="30">
                  <c:v>12.075318610380162</c:v>
                </c:pt>
                <c:pt idx="31" formatCode="0.00">
                  <c:v>12.075318610380162</c:v>
                </c:pt>
                <c:pt idx="32" formatCode="0.00">
                  <c:v>12.075318610380162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0.49834609788528561</c:v>
                </c:pt>
                <c:pt idx="10">
                  <c:v>0.68035296481563456</c:v>
                </c:pt>
                <c:pt idx="11">
                  <c:v>0.86937151231842269</c:v>
                </c:pt>
                <c:pt idx="12">
                  <c:v>1.074075148815268</c:v>
                </c:pt>
                <c:pt idx="13">
                  <c:v>1.2881117624864913</c:v>
                </c:pt>
                <c:pt idx="14">
                  <c:v>1.5160923812739298</c:v>
                </c:pt>
                <c:pt idx="15">
                  <c:v>1.7529023782057647</c:v>
                </c:pt>
                <c:pt idx="16">
                  <c:v>1.9993355353332225</c:v>
                </c:pt>
                <c:pt idx="17">
                  <c:v>2.2637624016108679</c:v>
                </c:pt>
                <c:pt idx="18">
                  <c:v>2.5351003647809307</c:v>
                </c:pt>
                <c:pt idx="19">
                  <c:v>2.8030834232779331</c:v>
                </c:pt>
                <c:pt idx="20">
                  <c:v>3.0789544932494501</c:v>
                </c:pt>
                <c:pt idx="21">
                  <c:v>3.3607646023547404</c:v>
                </c:pt>
                <c:pt idx="22">
                  <c:v>3.6492105073428167</c:v>
                </c:pt>
                <c:pt idx="23">
                  <c:v>3.9308359680388145</c:v>
                </c:pt>
                <c:pt idx="24">
                  <c:v>4.2161763524168459</c:v>
                </c:pt>
                <c:pt idx="25">
                  <c:v>4.5200653657294385</c:v>
                </c:pt>
                <c:pt idx="26">
                  <c:v>4.8341177907570438</c:v>
                </c:pt>
                <c:pt idx="27">
                  <c:v>5.1560000399600803</c:v>
                </c:pt>
                <c:pt idx="28">
                  <c:v>5.4827968805939928</c:v>
                </c:pt>
                <c:pt idx="29">
                  <c:v>7.1804278295555495</c:v>
                </c:pt>
                <c:pt idx="30">
                  <c:v>9.0317198158329894</c:v>
                </c:pt>
                <c:pt idx="31" formatCode="0.00">
                  <c:v>9.0317198158329894</c:v>
                </c:pt>
                <c:pt idx="32" formatCode="0.00">
                  <c:v>9.0317198158329894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6.0799302671182867</c:v>
                </c:pt>
                <c:pt idx="10">
                  <c:v>8.300453441211495</c:v>
                </c:pt>
                <c:pt idx="11">
                  <c:v>10.606520636049803</c:v>
                </c:pt>
                <c:pt idx="12">
                  <c:v>13.103949311838974</c:v>
                </c:pt>
                <c:pt idx="13">
                  <c:v>15.715242329389051</c:v>
                </c:pt>
                <c:pt idx="14">
                  <c:v>18.496655227702085</c:v>
                </c:pt>
                <c:pt idx="15">
                  <c:v>21.385788450600277</c:v>
                </c:pt>
                <c:pt idx="16">
                  <c:v>24.392326310932113</c:v>
                </c:pt>
                <c:pt idx="17">
                  <c:v>27.618391317847799</c:v>
                </c:pt>
                <c:pt idx="18">
                  <c:v>30.928773202839785</c:v>
                </c:pt>
                <c:pt idx="19">
                  <c:v>34.198224524611568</c:v>
                </c:pt>
                <c:pt idx="20">
                  <c:v>37.563911293825967</c:v>
                </c:pt>
                <c:pt idx="21">
                  <c:v>41.002055626047806</c:v>
                </c:pt>
                <c:pt idx="22">
                  <c:v>44.521158104436275</c:v>
                </c:pt>
                <c:pt idx="23">
                  <c:v>47.957049686095402</c:v>
                </c:pt>
                <c:pt idx="24">
                  <c:v>51.438264140814596</c:v>
                </c:pt>
                <c:pt idx="25">
                  <c:v>55.14577588360595</c:v>
                </c:pt>
                <c:pt idx="26">
                  <c:v>58.977283449311329</c:v>
                </c:pt>
                <c:pt idx="27">
                  <c:v>62.904316564815204</c:v>
                </c:pt>
                <c:pt idx="28">
                  <c:v>66.891308759597308</c:v>
                </c:pt>
                <c:pt idx="29">
                  <c:v>87.602773809262473</c:v>
                </c:pt>
                <c:pt idx="30">
                  <c:v>110.18893677593367</c:v>
                </c:pt>
                <c:pt idx="31" formatCode="0.00">
                  <c:v>110.18893677593367</c:v>
                </c:pt>
                <c:pt idx="32" formatCode="0.00">
                  <c:v>110.18893677593367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1.4790290403683508</c:v>
                </c:pt>
                <c:pt idx="10">
                  <c:v>2.0192027125988692</c:v>
                </c:pt>
                <c:pt idx="11">
                  <c:v>2.5801861779278608</c:v>
                </c:pt>
                <c:pt idx="12">
                  <c:v>3.1877210303780017</c:v>
                </c:pt>
                <c:pt idx="13">
                  <c:v>3.8229549946152637</c:v>
                </c:pt>
                <c:pt idx="14">
                  <c:v>4.4995730262575746</c:v>
                </c:pt>
                <c:pt idx="15">
                  <c:v>5.2023955505995785</c:v>
                </c:pt>
                <c:pt idx="16">
                  <c:v>5.9337784137299057</c:v>
                </c:pt>
                <c:pt idx="17">
                  <c:v>6.7185643605605021</c:v>
                </c:pt>
                <c:pt idx="18">
                  <c:v>7.523861580676992</c:v>
                </c:pt>
                <c:pt idx="19">
                  <c:v>8.3192018623120134</c:v>
                </c:pt>
                <c:pt idx="20">
                  <c:v>9.1379527778239176</c:v>
                </c:pt>
                <c:pt idx="21">
                  <c:v>9.9743300204767582</c:v>
                </c:pt>
                <c:pt idx="22">
                  <c:v>10.830401477367948</c:v>
                </c:pt>
                <c:pt idx="23">
                  <c:v>11.666230706580409</c:v>
                </c:pt>
                <c:pt idx="24">
                  <c:v>12.513085365773751</c:v>
                </c:pt>
                <c:pt idx="25">
                  <c:v>13.414990041350585</c:v>
                </c:pt>
                <c:pt idx="26">
                  <c:v>14.347058454818633</c:v>
                </c:pt>
                <c:pt idx="27">
                  <c:v>15.302364809519863</c:v>
                </c:pt>
                <c:pt idx="28">
                  <c:v>16.272257058399163</c:v>
                </c:pt>
                <c:pt idx="29">
                  <c:v>21.310613903164093</c:v>
                </c:pt>
                <c:pt idx="30">
                  <c:v>26.805017534545243</c:v>
                </c:pt>
                <c:pt idx="31" formatCode="0.00">
                  <c:v>26.805017534545243</c:v>
                </c:pt>
                <c:pt idx="32" formatCode="0.00">
                  <c:v>26.805017534545243</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0.77100271250040542</c:v>
                </c:pt>
                <c:pt idx="10">
                  <c:v>1.0525897234000101</c:v>
                </c:pt>
                <c:pt idx="11">
                  <c:v>1.3450246666170893</c:v>
                </c:pt>
                <c:pt idx="12">
                  <c:v>1.661726371852664</c:v>
                </c:pt>
                <c:pt idx="13">
                  <c:v>1.9928673407800481</c:v>
                </c:pt>
                <c:pt idx="14">
                  <c:v>2.345581400804849</c:v>
                </c:pt>
                <c:pt idx="15">
                  <c:v>2.7119555948768692</c:v>
                </c:pt>
                <c:pt idx="16">
                  <c:v>3.0932180014685322</c:v>
                </c:pt>
                <c:pt idx="17">
                  <c:v>3.5023188894320954</c:v>
                </c:pt>
                <c:pt idx="18">
                  <c:v>3.92211209438784</c:v>
                </c:pt>
                <c:pt idx="19">
                  <c:v>4.3367148491442435</c:v>
                </c:pt>
                <c:pt idx="20">
                  <c:v>4.7635213279167319</c:v>
                </c:pt>
                <c:pt idx="21">
                  <c:v>5.1995162307607972</c:v>
                </c:pt>
                <c:pt idx="22">
                  <c:v>5.6457775260717398</c:v>
                </c:pt>
                <c:pt idx="23">
                  <c:v>6.0814867551139482</c:v>
                </c:pt>
                <c:pt idx="24">
                  <c:v>6.522943428046525</c:v>
                </c:pt>
                <c:pt idx="25">
                  <c:v>6.993097111515346</c:v>
                </c:pt>
                <c:pt idx="26">
                  <c:v>7.478974843057955</c:v>
                </c:pt>
                <c:pt idx="27">
                  <c:v>7.9769662757076381</c:v>
                </c:pt>
                <c:pt idx="28">
                  <c:v>8.4825611858203054</c:v>
                </c:pt>
                <c:pt idx="29">
                  <c:v>11.109005080993111</c:v>
                </c:pt>
                <c:pt idx="30">
                  <c:v>13.973181501972595</c:v>
                </c:pt>
                <c:pt idx="31" formatCode="0.00">
                  <c:v>13.973181501972595</c:v>
                </c:pt>
                <c:pt idx="32" formatCode="0.00">
                  <c:v>13.973181501972595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0.98738873230386537</c:v>
                </c:pt>
                <c:pt idx="10">
                  <c:v>1.3480046383409654</c:v>
                </c:pt>
                <c:pt idx="11">
                  <c:v>1.7225130067071954</c:v>
                </c:pt>
                <c:pt idx="12">
                  <c:v>2.1280987331657939</c:v>
                </c:pt>
                <c:pt idx="13">
                  <c:v>2.5521761796156484</c:v>
                </c:pt>
                <c:pt idx="14">
                  <c:v>3.0038813201386847</c:v>
                </c:pt>
                <c:pt idx="15">
                  <c:v>3.4730803841217859</c:v>
                </c:pt>
                <c:pt idx="16">
                  <c:v>3.9613461168048794</c:v>
                </c:pt>
                <c:pt idx="17">
                  <c:v>4.4852633490033531</c:v>
                </c:pt>
                <c:pt idx="18">
                  <c:v>5.0228737539353743</c:v>
                </c:pt>
                <c:pt idx="19">
                  <c:v>5.5538369811605968</c:v>
                </c:pt>
                <c:pt idx="20">
                  <c:v>6.1004289725785554</c:v>
                </c:pt>
                <c:pt idx="21">
                  <c:v>6.6587881682473018</c:v>
                </c:pt>
                <c:pt idx="22">
                  <c:v>7.2302950741365866</c:v>
                </c:pt>
                <c:pt idx="23">
                  <c:v>7.7882884201286782</c:v>
                </c:pt>
                <c:pt idx="24">
                  <c:v>8.3536422607661081</c:v>
                </c:pt>
                <c:pt idx="25">
                  <c:v>8.9557470808681874</c:v>
                </c:pt>
                <c:pt idx="26">
                  <c:v>9.5779889869266981</c:v>
                </c:pt>
                <c:pt idx="27">
                  <c:v>10.215744368859802</c:v>
                </c:pt>
                <c:pt idx="28">
                  <c:v>10.863237184723497</c:v>
                </c:pt>
                <c:pt idx="29">
                  <c:v>14.2268065549422</c:v>
                </c:pt>
                <c:pt idx="30">
                  <c:v>17.894829351170781</c:v>
                </c:pt>
                <c:pt idx="31" formatCode="0.00">
                  <c:v>17.894829351170781</c:v>
                </c:pt>
                <c:pt idx="32" formatCode="0.00">
                  <c:v>17.894829351170781</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10.09877459754108</c:v>
                </c:pt>
                <c:pt idx="10">
                  <c:v>13.787067396730095</c:v>
                </c:pt>
                <c:pt idx="11">
                  <c:v>17.617448961039401</c:v>
                </c:pt>
                <c:pt idx="12">
                  <c:v>21.76568227329156</c:v>
                </c:pt>
                <c:pt idx="13">
                  <c:v>26.103044452425593</c:v>
                </c:pt>
                <c:pt idx="14">
                  <c:v>30.722976045172317</c:v>
                </c:pt>
                <c:pt idx="15">
                  <c:v>35.521831281738244</c:v>
                </c:pt>
                <c:pt idx="16">
                  <c:v>40.515695822368158</c:v>
                </c:pt>
                <c:pt idx="17">
                  <c:v>45.874195329846557</c:v>
                </c:pt>
                <c:pt idx="18">
                  <c:v>51.372745316368437</c:v>
                </c:pt>
                <c:pt idx="19">
                  <c:v>56.858163751559246</c:v>
                </c:pt>
                <c:pt idx="20">
                  <c:v>62.505044048563164</c:v>
                </c:pt>
                <c:pt idx="21">
                  <c:v>68.273492160093994</c:v>
                </c:pt>
                <c:pt idx="22">
                  <c:v>74.177770190395634</c:v>
                </c:pt>
                <c:pt idx="23">
                  <c:v>79.942438683192208</c:v>
                </c:pt>
                <c:pt idx="24">
                  <c:v>85.783148963723576</c:v>
                </c:pt>
                <c:pt idx="25">
                  <c:v>92.0035361972527</c:v>
                </c:pt>
                <c:pt idx="26">
                  <c:v>98.431961081738692</c:v>
                </c:pt>
                <c:pt idx="27">
                  <c:v>105.02065677631661</c:v>
                </c:pt>
                <c:pt idx="28">
                  <c:v>111.70995058551996</c:v>
                </c:pt>
                <c:pt idx="29">
                  <c:v>119.16718037901718</c:v>
                </c:pt>
                <c:pt idx="30">
                  <c:v>126.42554326333719</c:v>
                </c:pt>
                <c:pt idx="31">
                  <c:v>133.50225316448399</c:v>
                </c:pt>
                <c:pt idx="32">
                  <c:v>140.41220576195332</c:v>
                </c:pt>
                <c:pt idx="33">
                  <c:v>147.16839106859334</c:v>
                </c:pt>
                <c:pt idx="34">
                  <c:v>155.16081963212912</c:v>
                </c:pt>
                <c:pt idx="35">
                  <c:v>162.94442894521944</c:v>
                </c:pt>
                <c:pt idx="36">
                  <c:v>170.5366943379361</c:v>
                </c:pt>
                <c:pt idx="37">
                  <c:v>177.95281183454989</c:v>
                </c:pt>
                <c:pt idx="38">
                  <c:v>185.83635170654227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116.59762343783498</c:v>
                </c:pt>
                <c:pt idx="10">
                  <c:v>115.39180872786204</c:v>
                </c:pt>
                <c:pt idx="11">
                  <c:v>114.18885870942323</c:v>
                </c:pt>
                <c:pt idx="12">
                  <c:v>113.01428957379696</c:v>
                </c:pt>
                <c:pt idx="13">
                  <c:v>111.84449778436631</c:v>
                </c:pt>
                <c:pt idx="14">
                  <c:v>110.69076695057898</c:v>
                </c:pt>
                <c:pt idx="15">
                  <c:v>109.53464259537016</c:v>
                </c:pt>
                <c:pt idx="16">
                  <c:v>108.37602946411712</c:v>
                </c:pt>
                <c:pt idx="17">
                  <c:v>107.23513472155196</c:v>
                </c:pt>
                <c:pt idx="18">
                  <c:v>106.07809602232625</c:v>
                </c:pt>
                <c:pt idx="19">
                  <c:v>105.64695597502735</c:v>
                </c:pt>
                <c:pt idx="20">
                  <c:v>105.23676026612658</c:v>
                </c:pt>
                <c:pt idx="21">
                  <c:v>104.84233396194583</c:v>
                </c:pt>
                <c:pt idx="22">
                  <c:v>104.46552709898408</c:v>
                </c:pt>
                <c:pt idx="23">
                  <c:v>104.07061051423246</c:v>
                </c:pt>
                <c:pt idx="24">
                  <c:v>103.68555783738347</c:v>
                </c:pt>
                <c:pt idx="25">
                  <c:v>103.34975569249464</c:v>
                </c:pt>
                <c:pt idx="26">
                  <c:v>103.0409395547797</c:v>
                </c:pt>
                <c:pt idx="27">
                  <c:v>102.75291325588003</c:v>
                </c:pt>
                <c:pt idx="28">
                  <c:v>102.47793623642799</c:v>
                </c:pt>
                <c:pt idx="29">
                  <c:v>101.36403791432295</c:v>
                </c:pt>
                <c:pt idx="30">
                  <c:v>100.66646872074762</c:v>
                </c:pt>
                <c:pt idx="31" formatCode="0.00">
                  <c:v>100.66646872074762</c:v>
                </c:pt>
                <c:pt idx="32" formatCode="0.00">
                  <c:v>100.66646872074762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11.119488388348152</c:v>
                </c:pt>
                <c:pt idx="10">
                  <c:v>11.004494254928341</c:v>
                </c:pt>
                <c:pt idx="11">
                  <c:v>10.889773316650167</c:v>
                </c:pt>
                <c:pt idx="12">
                  <c:v>10.777758959240288</c:v>
                </c:pt>
                <c:pt idx="13">
                  <c:v>10.666200199843324</c:v>
                </c:pt>
                <c:pt idx="14">
                  <c:v>10.556173114973815</c:v>
                </c:pt>
                <c:pt idx="15">
                  <c:v>10.445917768730974</c:v>
                </c:pt>
                <c:pt idx="16">
                  <c:v>10.335425077030234</c:v>
                </c:pt>
                <c:pt idx="17">
                  <c:v>10.226622123177195</c:v>
                </c:pt>
                <c:pt idx="18">
                  <c:v>10.11627957929362</c:v>
                </c:pt>
                <c:pt idx="19">
                  <c:v>10.075163331737784</c:v>
                </c:pt>
                <c:pt idx="20">
                  <c:v>10.036044469040689</c:v>
                </c:pt>
                <c:pt idx="21">
                  <c:v>9.9984294767271003</c:v>
                </c:pt>
                <c:pt idx="22">
                  <c:v>9.9624947860034361</c:v>
                </c:pt>
                <c:pt idx="23">
                  <c:v>9.924833037427117</c:v>
                </c:pt>
                <c:pt idx="24">
                  <c:v>9.8881119736276712</c:v>
                </c:pt>
                <c:pt idx="25">
                  <c:v>9.8560877527149309</c:v>
                </c:pt>
                <c:pt idx="26">
                  <c:v>9.8266370884885976</c:v>
                </c:pt>
                <c:pt idx="27">
                  <c:v>9.7991690750615383</c:v>
                </c:pt>
                <c:pt idx="28">
                  <c:v>9.7729455236313534</c:v>
                </c:pt>
                <c:pt idx="29">
                  <c:v>9.6667171195417012</c:v>
                </c:pt>
                <c:pt idx="30">
                  <c:v>9.6001924999197072</c:v>
                </c:pt>
                <c:pt idx="31" formatCode="0.00">
                  <c:v>9.6001924999197072</c:v>
                </c:pt>
                <c:pt idx="32" formatCode="0.00">
                  <c:v>9.6001924999197072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8.3168077679241552</c:v>
                </c:pt>
                <c:pt idx="10">
                  <c:v>8.2307980461914756</c:v>
                </c:pt>
                <c:pt idx="11">
                  <c:v>8.1449926604315284</c:v>
                </c:pt>
                <c:pt idx="12">
                  <c:v>8.0612116585284426</c:v>
                </c:pt>
                <c:pt idx="13">
                  <c:v>7.9777714206030286</c:v>
                </c:pt>
                <c:pt idx="14">
                  <c:v>7.8954767967709056</c:v>
                </c:pt>
                <c:pt idx="15">
                  <c:v>7.813011445123208</c:v>
                </c:pt>
                <c:pt idx="16">
                  <c:v>7.7303685712299695</c:v>
                </c:pt>
                <c:pt idx="17">
                  <c:v>7.648989534697475</c:v>
                </c:pt>
                <c:pt idx="18">
                  <c:v>7.5664589636808213</c:v>
                </c:pt>
                <c:pt idx="19">
                  <c:v>7.5357061165067911</c:v>
                </c:pt>
                <c:pt idx="20">
                  <c:v>7.5064472108999034</c:v>
                </c:pt>
                <c:pt idx="21">
                  <c:v>7.4783131233107758</c:v>
                </c:pt>
                <c:pt idx="22">
                  <c:v>7.4514358152449036</c:v>
                </c:pt>
                <c:pt idx="23">
                  <c:v>7.4232667563661385</c:v>
                </c:pt>
                <c:pt idx="24">
                  <c:v>7.3958012815180609</c:v>
                </c:pt>
                <c:pt idx="25">
                  <c:v>7.371848804574257</c:v>
                </c:pt>
                <c:pt idx="26">
                  <c:v>7.34982121621284</c:v>
                </c:pt>
                <c:pt idx="27">
                  <c:v>7.3292765490967717</c:v>
                </c:pt>
                <c:pt idx="28">
                  <c:v>7.3096626758123087</c:v>
                </c:pt>
                <c:pt idx="29">
                  <c:v>7.230209270632912</c:v>
                </c:pt>
                <c:pt idx="30">
                  <c:v>7.1804522625847573</c:v>
                </c:pt>
                <c:pt idx="31" formatCode="0.00">
                  <c:v>7.1804522625847573</c:v>
                </c:pt>
                <c:pt idx="32" formatCode="0.00">
                  <c:v>7.1804522625847573</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101.46685504026212</c:v>
                </c:pt>
                <c:pt idx="10">
                  <c:v>100.41751781730002</c:v>
                </c:pt>
                <c:pt idx="11">
                  <c:v>99.370673537436204</c:v>
                </c:pt>
                <c:pt idx="12">
                  <c:v>98.348527178827993</c:v>
                </c:pt>
                <c:pt idx="13">
                  <c:v>97.330538214509758</c:v>
                </c:pt>
                <c:pt idx="14">
                  <c:v>96.326525990111421</c:v>
                </c:pt>
                <c:pt idx="15">
                  <c:v>95.320430849407003</c:v>
                </c:pt>
                <c:pt idx="16">
                  <c:v>94.312169898880214</c:v>
                </c:pt>
                <c:pt idx="17">
                  <c:v>93.319328037727061</c:v>
                </c:pt>
                <c:pt idx="18">
                  <c:v>92.312437206603875</c:v>
                </c:pt>
                <c:pt idx="19">
                  <c:v>91.937245814262553</c:v>
                </c:pt>
                <c:pt idx="20">
                  <c:v>91.580280832421707</c:v>
                </c:pt>
                <c:pt idx="21">
                  <c:v>91.237038873877736</c:v>
                </c:pt>
                <c:pt idx="22">
                  <c:v>90.909129897562309</c:v>
                </c:pt>
                <c:pt idx="23">
                  <c:v>90.565461281714803</c:v>
                </c:pt>
                <c:pt idx="24">
                  <c:v>90.230376543340768</c:v>
                </c:pt>
                <c:pt idx="25">
                  <c:v>89.938151139828904</c:v>
                </c:pt>
                <c:pt idx="26">
                  <c:v>89.669409793687123</c:v>
                </c:pt>
                <c:pt idx="27">
                  <c:v>89.418760407734453</c:v>
                </c:pt>
                <c:pt idx="28">
                  <c:v>89.17946690800872</c:v>
                </c:pt>
                <c:pt idx="29">
                  <c:v>88.210118166189091</c:v>
                </c:pt>
                <c:pt idx="30">
                  <c:v>87.603071897507647</c:v>
                </c:pt>
                <c:pt idx="31" formatCode="0.00">
                  <c:v>87.603071897507647</c:v>
                </c:pt>
                <c:pt idx="32" formatCode="0.00">
                  <c:v>87.603071897507647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24.683247775228757</c:v>
                </c:pt>
                <c:pt idx="10">
                  <c:v>24.427981652475008</c:v>
                </c:pt>
                <c:pt idx="11">
                  <c:v>24.173321973393541</c:v>
                </c:pt>
                <c:pt idx="12">
                  <c:v>23.924670413018841</c:v>
                </c:pt>
                <c:pt idx="13">
                  <c:v>23.677030197613082</c:v>
                </c:pt>
                <c:pt idx="14">
                  <c:v>23.432790021899059</c:v>
                </c:pt>
                <c:pt idx="15">
                  <c:v>23.188043147329957</c:v>
                </c:pt>
                <c:pt idx="16">
                  <c:v>22.942769408885368</c:v>
                </c:pt>
                <c:pt idx="17">
                  <c:v>22.701246582039705</c:v>
                </c:pt>
                <c:pt idx="18">
                  <c:v>22.456306144520894</c:v>
                </c:pt>
                <c:pt idx="19">
                  <c:v>22.365035531111033</c:v>
                </c:pt>
                <c:pt idx="20">
                  <c:v>22.278198749874825</c:v>
                </c:pt>
                <c:pt idx="21">
                  <c:v>22.194700288172889</c:v>
                </c:pt>
                <c:pt idx="22">
                  <c:v>22.114931791288814</c:v>
                </c:pt>
                <c:pt idx="23">
                  <c:v>22.031329539162559</c:v>
                </c:pt>
                <c:pt idx="24">
                  <c:v>21.9498154366539</c:v>
                </c:pt>
                <c:pt idx="25">
                  <c:v>21.878727473611804</c:v>
                </c:pt>
                <c:pt idx="26">
                  <c:v>21.81335233971577</c:v>
                </c:pt>
                <c:pt idx="27">
                  <c:v>21.752378331053304</c:v>
                </c:pt>
                <c:pt idx="28">
                  <c:v>21.6941668023488</c:v>
                </c:pt>
                <c:pt idx="29">
                  <c:v>21.4583590091</c:v>
                </c:pt>
                <c:pt idx="30">
                  <c:v>21.3106864173463</c:v>
                </c:pt>
                <c:pt idx="31" formatCode="0.00">
                  <c:v>21.3106864173463</c:v>
                </c:pt>
                <c:pt idx="32" formatCode="0.00">
                  <c:v>21.3106864173463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12.867124626086689</c:v>
                </c:pt>
                <c:pt idx="10">
                  <c:v>12.734057006938666</c:v>
                </c:pt>
                <c:pt idx="11">
                  <c:v>12.601305520674817</c:v>
                </c:pt>
                <c:pt idx="12">
                  <c:v>12.471686005246905</c:v>
                </c:pt>
                <c:pt idx="13">
                  <c:v>12.342593693608134</c:v>
                </c:pt>
                <c:pt idx="14">
                  <c:v>12.215273787887968</c:v>
                </c:pt>
                <c:pt idx="15">
                  <c:v>12.087689745236727</c:v>
                </c:pt>
                <c:pt idx="16">
                  <c:v>11.959831053835511</c:v>
                </c:pt>
                <c:pt idx="17">
                  <c:v>11.833927674289702</c:v>
                </c:pt>
                <c:pt idx="18">
                  <c:v>11.706242729252381</c:v>
                </c:pt>
                <c:pt idx="19">
                  <c:v>11.658664291919568</c:v>
                </c:pt>
                <c:pt idx="20">
                  <c:v>11.613397165953437</c:v>
                </c:pt>
                <c:pt idx="21">
                  <c:v>11.56987027181904</c:v>
                </c:pt>
                <c:pt idx="22">
                  <c:v>11.528287770197313</c:v>
                </c:pt>
                <c:pt idx="23">
                  <c:v>11.484706771176207</c:v>
                </c:pt>
                <c:pt idx="24">
                  <c:v>11.442214303194937</c:v>
                </c:pt>
                <c:pt idx="25">
                  <c:v>11.405156875087961</c:v>
                </c:pt>
                <c:pt idx="26">
                  <c:v>11.371077486388897</c:v>
                </c:pt>
                <c:pt idx="27">
                  <c:v>11.339292359263144</c:v>
                </c:pt>
                <c:pt idx="28">
                  <c:v>11.308947284687198</c:v>
                </c:pt>
                <c:pt idx="29">
                  <c:v>11.186023093706959</c:v>
                </c:pt>
                <c:pt idx="30">
                  <c:v>11.10904288189468</c:v>
                </c:pt>
                <c:pt idx="31" formatCode="0.00">
                  <c:v>11.10904288189468</c:v>
                </c:pt>
                <c:pt idx="32" formatCode="0.00">
                  <c:v>11.10904288189468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8.9771970991004117</c:v>
                </c:pt>
                <c:pt idx="10">
                  <c:v>8.9346534103357751</c:v>
                </c:pt>
                <c:pt idx="11">
                  <c:v>8.8947672970471228</c:v>
                </c:pt>
                <c:pt idx="12">
                  <c:v>8.8673082683331117</c:v>
                </c:pt>
                <c:pt idx="13">
                  <c:v>8.8436711025268195</c:v>
                </c:pt>
                <c:pt idx="14">
                  <c:v>8.8283764785378427</c:v>
                </c:pt>
                <c:pt idx="15">
                  <c:v>8.8146580725675427</c:v>
                </c:pt>
                <c:pt idx="16">
                  <c:v>8.80269297034733</c:v>
                </c:pt>
                <c:pt idx="17">
                  <c:v>8.8006061850648898</c:v>
                </c:pt>
                <c:pt idx="18">
                  <c:v>8.7955432585320867</c:v>
                </c:pt>
                <c:pt idx="19">
                  <c:v>9.0044592456247958</c:v>
                </c:pt>
                <c:pt idx="20">
                  <c:v>9.221613582124526</c:v>
                </c:pt>
                <c:pt idx="21">
                  <c:v>9.4449707340846718</c:v>
                </c:pt>
                <c:pt idx="22">
                  <c:v>9.6752584039900178</c:v>
                </c:pt>
                <c:pt idx="23">
                  <c:v>9.8984227065713153</c:v>
                </c:pt>
                <c:pt idx="24">
                  <c:v>10.125466927356573</c:v>
                </c:pt>
                <c:pt idx="25">
                  <c:v>10.371883595390146</c:v>
                </c:pt>
                <c:pt idx="26">
                  <c:v>10.628915072637202</c:v>
                </c:pt>
                <c:pt idx="27">
                  <c:v>10.894124127663044</c:v>
                </c:pt>
                <c:pt idx="28">
                  <c:v>11.164466050653278</c:v>
                </c:pt>
                <c:pt idx="29">
                  <c:v>12.618833491479219</c:v>
                </c:pt>
                <c:pt idx="30">
                  <c:v>14.236961885931205</c:v>
                </c:pt>
                <c:pt idx="31" formatCode="0.00">
                  <c:v>14.236961885931205</c:v>
                </c:pt>
                <c:pt idx="32" formatCode="0.00">
                  <c:v>14.236961885931205</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3.1020662770759921</c:v>
                </c:pt>
                <c:pt idx="10">
                  <c:v>3.0873653252351985</c:v>
                </c:pt>
                <c:pt idx="11">
                  <c:v>3.0735826973625451</c:v>
                </c:pt>
                <c:pt idx="12">
                  <c:v>3.0640942427775908</c:v>
                </c:pt>
                <c:pt idx="13">
                  <c:v>3.0559264311406267</c:v>
                </c:pt>
                <c:pt idx="14">
                  <c:v>3.0506413809436652</c:v>
                </c:pt>
                <c:pt idx="15">
                  <c:v>3.0459009921490416</c:v>
                </c:pt>
                <c:pt idx="16">
                  <c:v>3.0417664566487783</c:v>
                </c:pt>
                <c:pt idx="17">
                  <c:v>3.0410453689662091</c:v>
                </c:pt>
                <c:pt idx="18">
                  <c:v>3.0392958770605123</c:v>
                </c:pt>
                <c:pt idx="19">
                  <c:v>3.1114866991120054</c:v>
                </c:pt>
                <c:pt idx="20">
                  <c:v>3.1865242789646451</c:v>
                </c:pt>
                <c:pt idx="21">
                  <c:v>3.2637052388110916</c:v>
                </c:pt>
                <c:pt idx="22">
                  <c:v>3.3432810359060849</c:v>
                </c:pt>
                <c:pt idx="23">
                  <c:v>3.4203953567394776</c:v>
                </c:pt>
                <c:pt idx="24">
                  <c:v>3.4988503815014402</c:v>
                </c:pt>
                <c:pt idx="25">
                  <c:v>3.5839995463886609</c:v>
                </c:pt>
                <c:pt idx="26">
                  <c:v>3.6728166536564752</c:v>
                </c:pt>
                <c:pt idx="27">
                  <c:v>3.7644595191175996</c:v>
                </c:pt>
                <c:pt idx="28">
                  <c:v>3.8578760447135365</c:v>
                </c:pt>
                <c:pt idx="29">
                  <c:v>4.3604320366183549</c:v>
                </c:pt>
                <c:pt idx="30">
                  <c:v>4.9195755497881422</c:v>
                </c:pt>
                <c:pt idx="31" formatCode="0.00">
                  <c:v>4.9195755497881422</c:v>
                </c:pt>
                <c:pt idx="32" formatCode="0.00">
                  <c:v>4.9195755497881422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16.478351719081537</c:v>
                </c:pt>
                <c:pt idx="10">
                  <c:v>16.307937963525276</c:v>
                </c:pt>
                <c:pt idx="11">
                  <c:v>16.137929065231745</c:v>
                </c:pt>
                <c:pt idx="12">
                  <c:v>15.971931142078992</c:v>
                </c:pt>
                <c:pt idx="13">
                  <c:v>15.806608385268179</c:v>
                </c:pt>
                <c:pt idx="14">
                  <c:v>15.643555469541869</c:v>
                </c:pt>
                <c:pt idx="15">
                  <c:v>15.480164285447245</c:v>
                </c:pt>
                <c:pt idx="16">
                  <c:v>15.316421370967404</c:v>
                </c:pt>
                <c:pt idx="17">
                  <c:v>15.155182537034712</c:v>
                </c:pt>
                <c:pt idx="18">
                  <c:v>14.991662131761657</c:v>
                </c:pt>
                <c:pt idx="19">
                  <c:v>14.930730552454119</c:v>
                </c:pt>
                <c:pt idx="20">
                  <c:v>14.8727589663649</c:v>
                </c:pt>
                <c:pt idx="21">
                  <c:v>14.817016017444393</c:v>
                </c:pt>
                <c:pt idx="22">
                  <c:v>14.763763165156561</c:v>
                </c:pt>
                <c:pt idx="23">
                  <c:v>14.707950926524568</c:v>
                </c:pt>
                <c:pt idx="24">
                  <c:v>14.653532720969338</c:v>
                </c:pt>
                <c:pt idx="25">
                  <c:v>14.606074928191509</c:v>
                </c:pt>
                <c:pt idx="26">
                  <c:v>14.562430977450877</c:v>
                </c:pt>
                <c:pt idx="27">
                  <c:v>14.521725185019831</c:v>
                </c:pt>
                <c:pt idx="28">
                  <c:v>14.482863603560485</c:v>
                </c:pt>
                <c:pt idx="29">
                  <c:v>14.325440083339874</c:v>
                </c:pt>
                <c:pt idx="30">
                  <c:v>14.226854964868235</c:v>
                </c:pt>
                <c:pt idx="31" formatCode="0.00">
                  <c:v>14.226854964868235</c:v>
                </c:pt>
                <c:pt idx="32" formatCode="0.00">
                  <c:v>14.226854964868235</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17.976210697254331</c:v>
                </c:pt>
                <c:pt idx="1">
                  <c:v>17.381664585844597</c:v>
                </c:pt>
                <c:pt idx="2">
                  <c:v>23.967429256993974</c:v>
                </c:pt>
                <c:pt idx="3">
                  <c:v>34.550796511026142</c:v>
                </c:pt>
                <c:pt idx="4">
                  <c:v>51.676101497847725</c:v>
                </c:pt>
                <c:pt idx="6">
                  <c:v>17.976210697254331</c:v>
                </c:pt>
                <c:pt idx="7">
                  <c:v>17.381664585844597</c:v>
                </c:pt>
                <c:pt idx="8">
                  <c:v>23.967429256993974</c:v>
                </c:pt>
                <c:pt idx="9">
                  <c:v>34.550796511026142</c:v>
                </c:pt>
                <c:pt idx="10">
                  <c:v>51.676101497847725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5.1484632519767128</c:v>
                </c:pt>
                <c:pt idx="1">
                  <c:v>4.9781827152301004</c:v>
                </c:pt>
                <c:pt idx="2">
                  <c:v>6.8643737466223813</c:v>
                </c:pt>
                <c:pt idx="3">
                  <c:v>9.8954951718892072</c:v>
                </c:pt>
                <c:pt idx="4">
                  <c:v>14.800255406870839</c:v>
                </c:pt>
                <c:pt idx="6">
                  <c:v>5.1484632519767128</c:v>
                </c:pt>
                <c:pt idx="7">
                  <c:v>4.7292735794685949</c:v>
                </c:pt>
                <c:pt idx="8">
                  <c:v>6.1950973063266979</c:v>
                </c:pt>
                <c:pt idx="9">
                  <c:v>8.4841501729985076</c:v>
                </c:pt>
                <c:pt idx="10">
                  <c:v>12.054900530492588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1.7163196641541021</c:v>
                </c:pt>
                <c:pt idx="1">
                  <c:v>1.6595540198565115</c:v>
                </c:pt>
                <c:pt idx="2">
                  <c:v>2.2883449034831425</c:v>
                </c:pt>
                <c:pt idx="3">
                  <c:v>3.2988159998101585</c:v>
                </c:pt>
                <c:pt idx="4">
                  <c:v>4.9338935029909345</c:v>
                </c:pt>
                <c:pt idx="6">
                  <c:v>1.7163196641541021</c:v>
                </c:pt>
                <c:pt idx="7">
                  <c:v>1.6595540198565115</c:v>
                </c:pt>
                <c:pt idx="8">
                  <c:v>2.1052773112044916</c:v>
                </c:pt>
                <c:pt idx="9">
                  <c:v>2.8224669694375719</c:v>
                </c:pt>
                <c:pt idx="10">
                  <c:v>3.9259385314779118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14.22875652315842</c:v>
                </c:pt>
                <c:pt idx="1">
                  <c:v>13.758153902644418</c:v>
                </c:pt>
                <c:pt idx="2">
                  <c:v>18.971001237534399</c:v>
                </c:pt>
                <c:pt idx="3">
                  <c:v>27.348081278980068</c:v>
                </c:pt>
                <c:pt idx="4">
                  <c:v>40.903318205499467</c:v>
                </c:pt>
                <c:pt idx="6">
                  <c:v>14.22875652315842</c:v>
                </c:pt>
                <c:pt idx="7">
                  <c:v>13.758153902644418</c:v>
                </c:pt>
                <c:pt idx="8">
                  <c:v>17.453321138531646</c:v>
                </c:pt>
                <c:pt idx="9">
                  <c:v>23.399018342295346</c:v>
                </c:pt>
                <c:pt idx="10">
                  <c:v>32.547097522661574</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4.7329719129281322</c:v>
                </c:pt>
                <c:pt idx="1">
                  <c:v>4.5764333579660059</c:v>
                </c:pt>
                <c:pt idx="2">
                  <c:v>6.3104049796084523</c:v>
                </c:pt>
                <c:pt idx="3">
                  <c:v>9.0969088096502535</c:v>
                </c:pt>
                <c:pt idx="4">
                  <c:v>13.605845029191485</c:v>
                </c:pt>
                <c:pt idx="6">
                  <c:v>4.7329719129281322</c:v>
                </c:pt>
                <c:pt idx="7">
                  <c:v>4.5764333579660059</c:v>
                </c:pt>
                <c:pt idx="8">
                  <c:v>5.8055725812397769</c:v>
                </c:pt>
                <c:pt idx="9">
                  <c:v>7.7833151775367577</c:v>
                </c:pt>
                <c:pt idx="10">
                  <c:v>10.826279736487901</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3.1180001765104728</c:v>
                </c:pt>
                <c:pt idx="1">
                  <c:v>3.0148752793038378</c:v>
                </c:pt>
                <c:pt idx="2">
                  <c:v>4.1571858448023056</c:v>
                </c:pt>
                <c:pt idx="3">
                  <c:v>5.9928864561212238</c:v>
                </c:pt>
                <c:pt idx="4">
                  <c:v>8.9632957860397422</c:v>
                </c:pt>
                <c:pt idx="6">
                  <c:v>3.1180001765104728</c:v>
                </c:pt>
                <c:pt idx="7">
                  <c:v>3.0148752793038378</c:v>
                </c:pt>
                <c:pt idx="8">
                  <c:v>3.8246109772181214</c:v>
                </c:pt>
                <c:pt idx="9">
                  <c:v>5.1275136518573197</c:v>
                </c:pt>
                <c:pt idx="10">
                  <c:v>7.1321661633181126</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103.03413430720434</c:v>
                </c:pt>
                <c:pt idx="1">
                  <c:v>99.626378082797544</c:v>
                </c:pt>
                <c:pt idx="2">
                  <c:v>137.37396421598015</c:v>
                </c:pt>
                <c:pt idx="3">
                  <c:v>198.03458404510647</c:v>
                </c:pt>
                <c:pt idx="4">
                  <c:v>296.1915874192112</c:v>
                </c:pt>
                <c:pt idx="6">
                  <c:v>103.03413430720434</c:v>
                </c:pt>
                <c:pt idx="7">
                  <c:v>99.626378082797544</c:v>
                </c:pt>
                <c:pt idx="8">
                  <c:v>126.38404707870174</c:v>
                </c:pt>
                <c:pt idx="9">
                  <c:v>169.43839010899313</c:v>
                </c:pt>
                <c:pt idx="10">
                  <c:v>235.68201564216574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29.349067786255869</c:v>
                </c:pt>
                <c:pt idx="1">
                  <c:v>28.378375218189547</c:v>
                </c:pt>
                <c:pt idx="2">
                  <c:v>39.130699888450259</c:v>
                </c:pt>
                <c:pt idx="3">
                  <c:v>56.409756535960142</c:v>
                </c:pt>
                <c:pt idx="4">
                  <c:v>84.369583297186324</c:v>
                </c:pt>
                <c:pt idx="6">
                  <c:v>29.349067786255869</c:v>
                </c:pt>
                <c:pt idx="7">
                  <c:v>28.378375218189547</c:v>
                </c:pt>
                <c:pt idx="8">
                  <c:v>36.00024389737424</c:v>
                </c:pt>
                <c:pt idx="9">
                  <c:v>48.264187692167503</c:v>
                </c:pt>
                <c:pt idx="10">
                  <c:v>67.133552386237554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1.12804801559981</c:v>
                </c:pt>
                <c:pt idx="1">
                  <c:v>1.0907388978745283</c:v>
                </c:pt>
                <c:pt idx="2">
                  <c:v>1.504010576406428</c:v>
                </c:pt>
                <c:pt idx="3">
                  <c:v>2.1681408889810623</c:v>
                </c:pt>
                <c:pt idx="4">
                  <c:v>3.2427926402467642</c:v>
                </c:pt>
                <c:pt idx="6">
                  <c:v>1.12804801559981</c:v>
                </c:pt>
                <c:pt idx="7">
                  <c:v>1.0907388978745283</c:v>
                </c:pt>
                <c:pt idx="8">
                  <c:v>1.383689730293914</c:v>
                </c:pt>
                <c:pt idx="9">
                  <c:v>1.8550613446121968</c:v>
                </c:pt>
                <c:pt idx="10">
                  <c:v>2.5803160461854726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0.91769219759054577</c:v>
                </c:pt>
                <c:pt idx="1">
                  <c:v>0.88734039894191019</c:v>
                </c:pt>
                <c:pt idx="2">
                  <c:v>1.2235461185824994</c:v>
                </c:pt>
                <c:pt idx="3">
                  <c:v>1.7638309270345969</c:v>
                </c:pt>
                <c:pt idx="4">
                  <c:v>2.6380840737316942</c:v>
                </c:pt>
                <c:pt idx="6">
                  <c:v>0.91769219759054577</c:v>
                </c:pt>
                <c:pt idx="7">
                  <c:v>0.88734039894191019</c:v>
                </c:pt>
                <c:pt idx="8">
                  <c:v>1.1256624290958994</c:v>
                </c:pt>
                <c:pt idx="9">
                  <c:v>1.509133741170801</c:v>
                </c:pt>
                <c:pt idx="10">
                  <c:v>2.0991446021408993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23.057336578097942</c:v>
                </c:pt>
                <c:pt idx="1">
                  <c:v>22.294737049596232</c:v>
                </c:pt>
                <c:pt idx="2">
                  <c:v>30.742023032399672</c:v>
                </c:pt>
                <c:pt idx="3">
                  <c:v>44.316867309403605</c:v>
                </c:pt>
                <c:pt idx="4">
                  <c:v>66.282782581193089</c:v>
                </c:pt>
                <c:pt idx="6">
                  <c:v>23.057336578097942</c:v>
                </c:pt>
                <c:pt idx="7">
                  <c:v>22.294737049596232</c:v>
                </c:pt>
                <c:pt idx="8">
                  <c:v>47.618755653587478</c:v>
                </c:pt>
                <c:pt idx="9">
                  <c:v>88.230785222976934</c:v>
                </c:pt>
                <c:pt idx="10">
                  <c:v>159.20467190461548</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26.306324914102674</c:v>
                </c:pt>
                <c:pt idx="1">
                  <c:v>25.436268179312091</c:v>
                </c:pt>
                <c:pt idx="2">
                  <c:v>35.073853550601477</c:v>
                </c:pt>
                <c:pt idx="3">
                  <c:v>50.561516793910535</c:v>
                </c:pt>
                <c:pt idx="4">
                  <c:v>75.622629217634014</c:v>
                </c:pt>
                <c:pt idx="6">
                  <c:v>26.306324914102674</c:v>
                </c:pt>
                <c:pt idx="7">
                  <c:v>25.685177315073595</c:v>
                </c:pt>
                <c:pt idx="8">
                  <c:v>35.743129990897167</c:v>
                </c:pt>
                <c:pt idx="9">
                  <c:v>51.972861792801233</c:v>
                </c:pt>
                <c:pt idx="10">
                  <c:v>78.367984094012272</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96.184817778094512</c:v>
                </c:pt>
                <c:pt idx="3">
                  <c:v>128.81187086314046</c:v>
                </c:pt>
                <c:pt idx="4">
                  <c:v>186.96214976435544</c:v>
                </c:pt>
                <c:pt idx="6">
                  <c:v>82</c:v>
                </c:pt>
                <c:pt idx="7">
                  <c:v>75.296230147600639</c:v>
                </c:pt>
                <c:pt idx="8">
                  <c:v>96.184817778094512</c:v>
                </c:pt>
                <c:pt idx="9">
                  <c:v>128.81187086314046</c:v>
                </c:pt>
                <c:pt idx="10">
                  <c:v>186.96214976435544</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(FTRA!$AA$76:$AF$76,FTRA!$AG$76:$AK$76)</c15:sqref>
                  </c15:fullRef>
                </c:ext>
              </c:extLst>
              <c:f>(FTRA!$AB$76:$AF$76,FTRA!$AH$76:$AK$76)</c:f>
              <c:numCache>
                <c:formatCode>0.00</c:formatCode>
                <c:ptCount val="9"/>
                <c:pt idx="0">
                  <c:v>152.99184915757431</c:v>
                </c:pt>
                <c:pt idx="1">
                  <c:v>210.95915776484765</c:v>
                </c:pt>
                <c:pt idx="2">
                  <c:v>304.11300494164391</c:v>
                </c:pt>
                <c:pt idx="3">
                  <c:v>454.8483999540976</c:v>
                </c:pt>
                <c:pt idx="5">
                  <c:v>152.99184915757431</c:v>
                </c:pt>
                <c:pt idx="6">
                  <c:v>194.08242514365986</c:v>
                </c:pt>
                <c:pt idx="7">
                  <c:v>260.19908702807061</c:v>
                </c:pt>
                <c:pt idx="8">
                  <c:v>361.92651063067518</c:v>
                </c:pt>
              </c:numCache>
            </c:numRef>
          </c:val>
          <c:extLst>
            <c:ext xmlns:c16="http://schemas.microsoft.com/office/drawing/2014/chart" uri="{C3380CC4-5D6E-409C-BE32-E72D297353CC}">
              <c16:uniqueId val="{00000000-CB39-4B29-8840-1732B392D50F}"/>
            </c:ext>
          </c:extLst>
        </c:ser>
        <c:ser>
          <c:idx val="1"/>
          <c:order val="1"/>
          <c:tx>
            <c:strRef>
              <c:f>FTRA!$Z$80</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(FTRA!$AA$77:$AF$77,FTRA!$AG$77:$AK$77)</c15:sqref>
                  </c15:fullRef>
                </c:ext>
              </c:extLst>
              <c:f>(FTRA!$AB$77:$AF$77,FTRA!$AH$77:$AK$77)</c:f>
              <c:numCache>
                <c:formatCode>0.00</c:formatCode>
                <c:ptCount val="9"/>
                <c:pt idx="0">
                  <c:v>22.294737049596232</c:v>
                </c:pt>
                <c:pt idx="1">
                  <c:v>30.742023032399672</c:v>
                </c:pt>
                <c:pt idx="2">
                  <c:v>44.316867309403605</c:v>
                </c:pt>
                <c:pt idx="3">
                  <c:v>66.282782581193089</c:v>
                </c:pt>
                <c:pt idx="5">
                  <c:v>22.294737049596232</c:v>
                </c:pt>
                <c:pt idx="6">
                  <c:v>47.618755653587478</c:v>
                </c:pt>
                <c:pt idx="7">
                  <c:v>88.230785222976934</c:v>
                </c:pt>
                <c:pt idx="8">
                  <c:v>159.20467190461548</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FTRA!$Z$79</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(FTRA!$AA$79:$AF$79,FTRA!$AG$79:$AK$79)</c15:sqref>
                  </c15:fullRef>
                </c:ext>
              </c:extLst>
              <c:f>(FTRA!$AB$79:$AF$79,FTRA!$AH$79:$AK$79)</c:f>
              <c:numCache>
                <c:formatCode>0.00</c:formatCode>
                <c:ptCount val="9"/>
                <c:pt idx="0">
                  <c:v>175.28658620717053</c:v>
                </c:pt>
                <c:pt idx="1">
                  <c:v>241.70118079724733</c:v>
                </c:pt>
                <c:pt idx="2">
                  <c:v>348.42987225104753</c:v>
                </c:pt>
                <c:pt idx="3">
                  <c:v>521.13118253529069</c:v>
                </c:pt>
                <c:pt idx="5">
                  <c:v>175.28658620717053</c:v>
                </c:pt>
                <c:pt idx="6">
                  <c:v>241.70118079724733</c:v>
                </c:pt>
                <c:pt idx="7">
                  <c:v>348.42987225104753</c:v>
                </c:pt>
                <c:pt idx="8">
                  <c:v>521.13118253529069</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45.345468160465344</c:v>
                </c:pt>
                <c:pt idx="10">
                  <c:v>47.000848381445984</c:v>
                </c:pt>
                <c:pt idx="11">
                  <c:v>48.656228602426623</c:v>
                </c:pt>
                <c:pt idx="12">
                  <c:v>50.311608823407262</c:v>
                </c:pt>
                <c:pt idx="13">
                  <c:v>51.966989044387901</c:v>
                </c:pt>
                <c:pt idx="14">
                  <c:v>53.62236926536854</c:v>
                </c:pt>
                <c:pt idx="15">
                  <c:v>55.27774948634918</c:v>
                </c:pt>
                <c:pt idx="16">
                  <c:v>56.933129707329819</c:v>
                </c:pt>
                <c:pt idx="17">
                  <c:v>58.588509928310458</c:v>
                </c:pt>
                <c:pt idx="18">
                  <c:v>60.243890149291104</c:v>
                </c:pt>
                <c:pt idx="19">
                  <c:v>62.904097080226194</c:v>
                </c:pt>
                <c:pt idx="20">
                  <c:v>65.564304011161283</c:v>
                </c:pt>
                <c:pt idx="21">
                  <c:v>68.224510942096373</c:v>
                </c:pt>
                <c:pt idx="22">
                  <c:v>70.884717873031462</c:v>
                </c:pt>
                <c:pt idx="23">
                  <c:v>73.544924803966552</c:v>
                </c:pt>
                <c:pt idx="24">
                  <c:v>76.205131734901641</c:v>
                </c:pt>
                <c:pt idx="25">
                  <c:v>78.865338665836731</c:v>
                </c:pt>
                <c:pt idx="26">
                  <c:v>81.525545596771821</c:v>
                </c:pt>
                <c:pt idx="27">
                  <c:v>84.18575252770691</c:v>
                </c:pt>
                <c:pt idx="28">
                  <c:v>86.845959458642014</c:v>
                </c:pt>
                <c:pt idx="29">
                  <c:v>108.36881410727158</c:v>
                </c:pt>
                <c:pt idx="30">
                  <c:v>129.89166875590118</c:v>
                </c:pt>
                <c:pt idx="31">
                  <c:v>129.89166875590118</c:v>
                </c:pt>
                <c:pt idx="32">
                  <c:v>129.89166875590118</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3.2853958305736843</c:v>
                </c:pt>
                <c:pt idx="10">
                  <c:v>3.3841643587630315</c:v>
                </c:pt>
                <c:pt idx="11">
                  <c:v>3.4829328869523786</c:v>
                </c:pt>
                <c:pt idx="12">
                  <c:v>3.5817014151417257</c:v>
                </c:pt>
                <c:pt idx="13">
                  <c:v>3.6804699433310728</c:v>
                </c:pt>
                <c:pt idx="14">
                  <c:v>3.7792384715204199</c:v>
                </c:pt>
                <c:pt idx="15">
                  <c:v>3.878006999709767</c:v>
                </c:pt>
                <c:pt idx="16">
                  <c:v>3.9767755278991141</c:v>
                </c:pt>
                <c:pt idx="17">
                  <c:v>4.0755440560884617</c:v>
                </c:pt>
                <c:pt idx="18">
                  <c:v>4.1743125842778097</c:v>
                </c:pt>
                <c:pt idx="19">
                  <c:v>4.3285510363141828</c:v>
                </c:pt>
                <c:pt idx="20">
                  <c:v>4.4827894883505559</c:v>
                </c:pt>
                <c:pt idx="21">
                  <c:v>4.637027940386929</c:v>
                </c:pt>
                <c:pt idx="22">
                  <c:v>4.7912663924233021</c:v>
                </c:pt>
                <c:pt idx="23">
                  <c:v>4.9455048444596752</c:v>
                </c:pt>
                <c:pt idx="24">
                  <c:v>5.0997432964960483</c:v>
                </c:pt>
                <c:pt idx="25">
                  <c:v>5.2539817485324214</c:v>
                </c:pt>
                <c:pt idx="26">
                  <c:v>5.4082202005687945</c:v>
                </c:pt>
                <c:pt idx="27">
                  <c:v>5.5624586526051676</c:v>
                </c:pt>
                <c:pt idx="28">
                  <c:v>5.7166971046415389</c:v>
                </c:pt>
                <c:pt idx="29">
                  <c:v>6.9196990443673263</c:v>
                </c:pt>
                <c:pt idx="30">
                  <c:v>8.1227009840931128</c:v>
                </c:pt>
                <c:pt idx="31">
                  <c:v>8.1227009840931128</c:v>
                </c:pt>
                <c:pt idx="32">
                  <c:v>8.1227009840931128</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0.68137798840116348</c:v>
                </c:pt>
                <c:pt idx="10">
                  <c:v>0.69919979133390964</c:v>
                </c:pt>
                <c:pt idx="11">
                  <c:v>0.71702159426665579</c:v>
                </c:pt>
                <c:pt idx="12">
                  <c:v>0.73484339719940195</c:v>
                </c:pt>
                <c:pt idx="13">
                  <c:v>0.7526652001321481</c:v>
                </c:pt>
                <c:pt idx="14">
                  <c:v>0.77048700306489426</c:v>
                </c:pt>
                <c:pt idx="15">
                  <c:v>0.78830880599764042</c:v>
                </c:pt>
                <c:pt idx="16">
                  <c:v>0.80613060893038657</c:v>
                </c:pt>
                <c:pt idx="17">
                  <c:v>0.82395241186313273</c:v>
                </c:pt>
                <c:pt idx="18">
                  <c:v>0.84177421479587833</c:v>
                </c:pt>
                <c:pt idx="19">
                  <c:v>0.87045033067884836</c:v>
                </c:pt>
                <c:pt idx="20">
                  <c:v>0.89912644656181839</c:v>
                </c:pt>
                <c:pt idx="21">
                  <c:v>0.92780256244478843</c:v>
                </c:pt>
                <c:pt idx="22">
                  <c:v>0.95647867832775846</c:v>
                </c:pt>
                <c:pt idx="23">
                  <c:v>0.98515479421072849</c:v>
                </c:pt>
                <c:pt idx="24">
                  <c:v>1.0138309100936984</c:v>
                </c:pt>
                <c:pt idx="25">
                  <c:v>1.0425070259766684</c:v>
                </c:pt>
                <c:pt idx="26">
                  <c:v>1.0711831418596385</c:v>
                </c:pt>
                <c:pt idx="27">
                  <c:v>1.0998592577426085</c:v>
                </c:pt>
                <c:pt idx="28">
                  <c:v>1.1285353736255785</c:v>
                </c:pt>
                <c:pt idx="29">
                  <c:v>1.3491414436056546</c:v>
                </c:pt>
                <c:pt idx="30">
                  <c:v>1.5697475135857306</c:v>
                </c:pt>
                <c:pt idx="31">
                  <c:v>1.5697475135857306</c:v>
                </c:pt>
                <c:pt idx="32">
                  <c:v>1.5697475135857306</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2.8215300505310124</c:v>
                </c:pt>
                <c:pt idx="10">
                  <c:v>2.8953286665493794</c:v>
                </c:pt>
                <c:pt idx="11">
                  <c:v>2.9691272825677464</c:v>
                </c:pt>
                <c:pt idx="12">
                  <c:v>3.0429258985861134</c:v>
                </c:pt>
                <c:pt idx="13">
                  <c:v>3.1167245146044804</c:v>
                </c:pt>
                <c:pt idx="14">
                  <c:v>3.1905231306228474</c:v>
                </c:pt>
                <c:pt idx="15">
                  <c:v>3.2643217466412144</c:v>
                </c:pt>
                <c:pt idx="16">
                  <c:v>3.3381203626595815</c:v>
                </c:pt>
                <c:pt idx="17">
                  <c:v>3.4119189786779485</c:v>
                </c:pt>
                <c:pt idx="18">
                  <c:v>3.4857175946963159</c:v>
                </c:pt>
                <c:pt idx="19">
                  <c:v>3.6044630253876773</c:v>
                </c:pt>
                <c:pt idx="20">
                  <c:v>3.7232084560790386</c:v>
                </c:pt>
                <c:pt idx="21">
                  <c:v>3.8419538867704</c:v>
                </c:pt>
                <c:pt idx="22">
                  <c:v>3.9606993174617613</c:v>
                </c:pt>
                <c:pt idx="23">
                  <c:v>4.0794447481531231</c:v>
                </c:pt>
                <c:pt idx="24">
                  <c:v>4.1981901788444844</c:v>
                </c:pt>
                <c:pt idx="25">
                  <c:v>4.3169356095358458</c:v>
                </c:pt>
                <c:pt idx="26">
                  <c:v>4.4356810402272071</c:v>
                </c:pt>
                <c:pt idx="27">
                  <c:v>4.5544264709185684</c:v>
                </c:pt>
                <c:pt idx="28">
                  <c:v>4.6731719016099298</c:v>
                </c:pt>
                <c:pt idx="29">
                  <c:v>5.5866834420089511</c:v>
                </c:pt>
                <c:pt idx="30">
                  <c:v>6.5001949824079679</c:v>
                </c:pt>
                <c:pt idx="31">
                  <c:v>6.5001949824079679</c:v>
                </c:pt>
                <c:pt idx="32">
                  <c:v>6.5001949824079679</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0.59339999471481886</c:v>
                </c:pt>
                <c:pt idx="10">
                  <c:v>0.60892068652776565</c:v>
                </c:pt>
                <c:pt idx="11">
                  <c:v>0.62444137834071245</c:v>
                </c:pt>
                <c:pt idx="12">
                  <c:v>0.63996207015365925</c:v>
                </c:pt>
                <c:pt idx="13">
                  <c:v>0.65548276196660604</c:v>
                </c:pt>
                <c:pt idx="14">
                  <c:v>0.67100345377955284</c:v>
                </c:pt>
                <c:pt idx="15">
                  <c:v>0.68652414559249963</c:v>
                </c:pt>
                <c:pt idx="16">
                  <c:v>0.70204483740544643</c:v>
                </c:pt>
                <c:pt idx="17">
                  <c:v>0.71756552921839323</c:v>
                </c:pt>
                <c:pt idx="18">
                  <c:v>0.73308622103133991</c:v>
                </c:pt>
                <c:pt idx="19">
                  <c:v>0.75805974131385523</c:v>
                </c:pt>
                <c:pt idx="20">
                  <c:v>0.78303326159637054</c:v>
                </c:pt>
                <c:pt idx="21">
                  <c:v>0.80800678187888586</c:v>
                </c:pt>
                <c:pt idx="22">
                  <c:v>0.83298030216140118</c:v>
                </c:pt>
                <c:pt idx="23">
                  <c:v>0.85795382244391649</c:v>
                </c:pt>
                <c:pt idx="24">
                  <c:v>0.88292734272643181</c:v>
                </c:pt>
                <c:pt idx="25">
                  <c:v>0.90790086300894712</c:v>
                </c:pt>
                <c:pt idx="26">
                  <c:v>0.93287438329146244</c:v>
                </c:pt>
                <c:pt idx="27">
                  <c:v>0.95784790357397775</c:v>
                </c:pt>
                <c:pt idx="28">
                  <c:v>0.98282142385649318</c:v>
                </c:pt>
                <c:pt idx="29">
                  <c:v>1.1749433341450917</c:v>
                </c:pt>
                <c:pt idx="30">
                  <c:v>1.3670652444336904</c:v>
                </c:pt>
                <c:pt idx="31">
                  <c:v>1.3670652444336904</c:v>
                </c:pt>
                <c:pt idx="32">
                  <c:v>1.3670652444336904</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0.28436367145405123</c:v>
                </c:pt>
                <c:pt idx="10">
                  <c:v>0.29180135420893138</c:v>
                </c:pt>
                <c:pt idx="11">
                  <c:v>0.29923903696381154</c:v>
                </c:pt>
                <c:pt idx="12">
                  <c:v>0.3066767197186917</c:v>
                </c:pt>
                <c:pt idx="13">
                  <c:v>0.31411440247357186</c:v>
                </c:pt>
                <c:pt idx="14">
                  <c:v>0.32155208522845202</c:v>
                </c:pt>
                <c:pt idx="15">
                  <c:v>0.32898976798333218</c:v>
                </c:pt>
                <c:pt idx="16">
                  <c:v>0.33642745073821234</c:v>
                </c:pt>
                <c:pt idx="17">
                  <c:v>0.3438651334930925</c:v>
                </c:pt>
                <c:pt idx="18">
                  <c:v>0.35130281624797255</c:v>
                </c:pt>
                <c:pt idx="19">
                  <c:v>0.36327039626131785</c:v>
                </c:pt>
                <c:pt idx="20">
                  <c:v>0.37523797627466315</c:v>
                </c:pt>
                <c:pt idx="21">
                  <c:v>0.38720555628800846</c:v>
                </c:pt>
                <c:pt idx="22">
                  <c:v>0.39917313630135376</c:v>
                </c:pt>
                <c:pt idx="23">
                  <c:v>0.41114071631469906</c:v>
                </c:pt>
                <c:pt idx="24">
                  <c:v>0.42310829632804436</c:v>
                </c:pt>
                <c:pt idx="25">
                  <c:v>0.43507587634138967</c:v>
                </c:pt>
                <c:pt idx="26">
                  <c:v>0.44704345635473497</c:v>
                </c:pt>
                <c:pt idx="27">
                  <c:v>0.45901103636808027</c:v>
                </c:pt>
                <c:pt idx="28">
                  <c:v>0.47097861638142557</c:v>
                </c:pt>
                <c:pt idx="29">
                  <c:v>0.56304550593825387</c:v>
                </c:pt>
                <c:pt idx="30">
                  <c:v>0.65511239549508204</c:v>
                </c:pt>
                <c:pt idx="31">
                  <c:v>0.65511239549508204</c:v>
                </c:pt>
                <c:pt idx="32">
                  <c:v>0.65511239549508204</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5.2406801135570538</c:v>
                </c:pt>
                <c:pt idx="10">
                  <c:v>5.3777528834546144</c:v>
                </c:pt>
                <c:pt idx="11">
                  <c:v>5.5148256533521751</c:v>
                </c:pt>
                <c:pt idx="12">
                  <c:v>5.6518984232497358</c:v>
                </c:pt>
                <c:pt idx="13">
                  <c:v>5.7889711931472965</c:v>
                </c:pt>
                <c:pt idx="14">
                  <c:v>5.9260439630448571</c:v>
                </c:pt>
                <c:pt idx="15">
                  <c:v>6.0631167329424178</c:v>
                </c:pt>
                <c:pt idx="16">
                  <c:v>6.2001895028399785</c:v>
                </c:pt>
                <c:pt idx="17">
                  <c:v>6.3372622727375392</c:v>
                </c:pt>
                <c:pt idx="18">
                  <c:v>6.4743350426350972</c:v>
                </c:pt>
                <c:pt idx="19">
                  <c:v>6.6948915513573297</c:v>
                </c:pt>
                <c:pt idx="20">
                  <c:v>6.9154480600795623</c:v>
                </c:pt>
                <c:pt idx="21">
                  <c:v>7.1360045688017948</c:v>
                </c:pt>
                <c:pt idx="22">
                  <c:v>7.3565610775240273</c:v>
                </c:pt>
                <c:pt idx="23">
                  <c:v>7.5771175862462599</c:v>
                </c:pt>
                <c:pt idx="24">
                  <c:v>7.7976740949684924</c:v>
                </c:pt>
                <c:pt idx="25">
                  <c:v>8.0182306036907249</c:v>
                </c:pt>
                <c:pt idx="26">
                  <c:v>8.2387871124129575</c:v>
                </c:pt>
                <c:pt idx="27">
                  <c:v>8.45934362113519</c:v>
                </c:pt>
                <c:pt idx="28">
                  <c:v>8.6799001298574261</c:v>
                </c:pt>
                <c:pt idx="29">
                  <c:v>10.376646816065152</c:v>
                </c:pt>
                <c:pt idx="30">
                  <c:v>12.073393502272875</c:v>
                </c:pt>
                <c:pt idx="31">
                  <c:v>12.073393502272875</c:v>
                </c:pt>
                <c:pt idx="32">
                  <c:v>12.073393502272875</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1.6288817688265509</c:v>
                </c:pt>
                <c:pt idx="10">
                  <c:v>1.6714860360305546</c:v>
                </c:pt>
                <c:pt idx="11">
                  <c:v>1.7140903032345582</c:v>
                </c:pt>
                <c:pt idx="12">
                  <c:v>1.7566945704385619</c:v>
                </c:pt>
                <c:pt idx="13">
                  <c:v>1.7992988376425656</c:v>
                </c:pt>
                <c:pt idx="14">
                  <c:v>1.8419031048465693</c:v>
                </c:pt>
                <c:pt idx="15">
                  <c:v>1.8845073720505729</c:v>
                </c:pt>
                <c:pt idx="16">
                  <c:v>1.9271116392545766</c:v>
                </c:pt>
                <c:pt idx="17">
                  <c:v>1.9697159064585803</c:v>
                </c:pt>
                <c:pt idx="18">
                  <c:v>2.0123201736625842</c:v>
                </c:pt>
                <c:pt idx="19">
                  <c:v>2.0808724356341388</c:v>
                </c:pt>
                <c:pt idx="20">
                  <c:v>2.1494246976056934</c:v>
                </c:pt>
                <c:pt idx="21">
                  <c:v>2.2179769595772481</c:v>
                </c:pt>
                <c:pt idx="22">
                  <c:v>2.2865292215488027</c:v>
                </c:pt>
                <c:pt idx="23">
                  <c:v>2.3550814835203573</c:v>
                </c:pt>
                <c:pt idx="24">
                  <c:v>2.4236337454919119</c:v>
                </c:pt>
                <c:pt idx="25">
                  <c:v>2.4921860074634665</c:v>
                </c:pt>
                <c:pt idx="26">
                  <c:v>2.5607382694350211</c:v>
                </c:pt>
                <c:pt idx="27">
                  <c:v>2.6292905314065758</c:v>
                </c:pt>
                <c:pt idx="28">
                  <c:v>2.697842793378129</c:v>
                </c:pt>
                <c:pt idx="29">
                  <c:v>3.2252170432070759</c:v>
                </c:pt>
                <c:pt idx="30">
                  <c:v>3.7525912930360215</c:v>
                </c:pt>
                <c:pt idx="31">
                  <c:v>3.7525912930360215</c:v>
                </c:pt>
                <c:pt idx="32">
                  <c:v>3.7525912930360215</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6.0861570759407284E-2</c:v>
                </c:pt>
                <c:pt idx="10">
                  <c:v>6.245343744532221E-2</c:v>
                </c:pt>
                <c:pt idx="11">
                  <c:v>6.404530413123713E-2</c:v>
                </c:pt>
                <c:pt idx="12">
                  <c:v>6.5637170817152049E-2</c:v>
                </c:pt>
                <c:pt idx="13">
                  <c:v>6.7229037503066968E-2</c:v>
                </c:pt>
                <c:pt idx="14">
                  <c:v>6.8820904188981888E-2</c:v>
                </c:pt>
                <c:pt idx="15">
                  <c:v>7.0412770874896807E-2</c:v>
                </c:pt>
                <c:pt idx="16">
                  <c:v>7.2004637560811727E-2</c:v>
                </c:pt>
                <c:pt idx="17">
                  <c:v>7.3596504246726646E-2</c:v>
                </c:pt>
                <c:pt idx="18">
                  <c:v>7.5188370932641607E-2</c:v>
                </c:pt>
                <c:pt idx="19">
                  <c:v>7.7749759010368596E-2</c:v>
                </c:pt>
                <c:pt idx="20">
                  <c:v>8.0311147088095586E-2</c:v>
                </c:pt>
                <c:pt idx="21">
                  <c:v>8.2872535165822575E-2</c:v>
                </c:pt>
                <c:pt idx="22">
                  <c:v>8.5433923243549564E-2</c:v>
                </c:pt>
                <c:pt idx="23">
                  <c:v>8.7995311321276554E-2</c:v>
                </c:pt>
                <c:pt idx="24">
                  <c:v>9.0556699399003543E-2</c:v>
                </c:pt>
                <c:pt idx="25">
                  <c:v>9.3118087476730532E-2</c:v>
                </c:pt>
                <c:pt idx="26">
                  <c:v>9.5679475554457522E-2</c:v>
                </c:pt>
                <c:pt idx="27">
                  <c:v>9.8240863632184511E-2</c:v>
                </c:pt>
                <c:pt idx="28">
                  <c:v>0.10080225170991157</c:v>
                </c:pt>
                <c:pt idx="29">
                  <c:v>0.1205070736539722</c:v>
                </c:pt>
                <c:pt idx="30">
                  <c:v>0.14021189559803288</c:v>
                </c:pt>
                <c:pt idx="31">
                  <c:v>0.14021189559803288</c:v>
                </c:pt>
                <c:pt idx="32">
                  <c:v>0.14021189559803288</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4.159272805819756E-2</c:v>
                </c:pt>
                <c:pt idx="10">
                  <c:v>4.2680607936189857E-2</c:v>
                </c:pt>
                <c:pt idx="11">
                  <c:v>4.3768487814182154E-2</c:v>
                </c:pt>
                <c:pt idx="12">
                  <c:v>4.4856367692174451E-2</c:v>
                </c:pt>
                <c:pt idx="13">
                  <c:v>4.5944247570166748E-2</c:v>
                </c:pt>
                <c:pt idx="14">
                  <c:v>4.7032127448159045E-2</c:v>
                </c:pt>
                <c:pt idx="15">
                  <c:v>4.8120007326151341E-2</c:v>
                </c:pt>
                <c:pt idx="16">
                  <c:v>4.9207887204143638E-2</c:v>
                </c:pt>
                <c:pt idx="17">
                  <c:v>5.0295767082135935E-2</c:v>
                </c:pt>
                <c:pt idx="18">
                  <c:v>5.138364696012826E-2</c:v>
                </c:pt>
                <c:pt idx="19">
                  <c:v>5.3134096651766251E-2</c:v>
                </c:pt>
                <c:pt idx="20">
                  <c:v>5.4884546343404242E-2</c:v>
                </c:pt>
                <c:pt idx="21">
                  <c:v>5.6634996035042233E-2</c:v>
                </c:pt>
                <c:pt idx="22">
                  <c:v>5.8385445726680224E-2</c:v>
                </c:pt>
                <c:pt idx="23">
                  <c:v>6.0135895418318215E-2</c:v>
                </c:pt>
                <c:pt idx="24">
                  <c:v>6.1886345109956206E-2</c:v>
                </c:pt>
                <c:pt idx="25">
                  <c:v>6.3636794801594204E-2</c:v>
                </c:pt>
                <c:pt idx="26">
                  <c:v>6.5387244493232202E-2</c:v>
                </c:pt>
                <c:pt idx="27">
                  <c:v>6.71376941848702E-2</c:v>
                </c:pt>
                <c:pt idx="28">
                  <c:v>6.8888143876508184E-2</c:v>
                </c:pt>
                <c:pt idx="29">
                  <c:v>8.2354396724210716E-2</c:v>
                </c:pt>
                <c:pt idx="30">
                  <c:v>9.5820649571913288E-2</c:v>
                </c:pt>
                <c:pt idx="31">
                  <c:v>9.5820649571913288E-2</c:v>
                </c:pt>
                <c:pt idx="32">
                  <c:v>9.5820649571913288E-2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24.827138909995355</c:v>
                </c:pt>
                <c:pt idx="10">
                  <c:v>27.359540770394482</c:v>
                </c:pt>
                <c:pt idx="11">
                  <c:v>29.891942630793608</c:v>
                </c:pt>
                <c:pt idx="12">
                  <c:v>32.424344491192734</c:v>
                </c:pt>
                <c:pt idx="13">
                  <c:v>34.95674635159186</c:v>
                </c:pt>
                <c:pt idx="14">
                  <c:v>37.489148211990987</c:v>
                </c:pt>
                <c:pt idx="15">
                  <c:v>40.021550072390113</c:v>
                </c:pt>
                <c:pt idx="16">
                  <c:v>42.553951932789239</c:v>
                </c:pt>
                <c:pt idx="17">
                  <c:v>45.086353793188366</c:v>
                </c:pt>
                <c:pt idx="18">
                  <c:v>47.618755653587478</c:v>
                </c:pt>
                <c:pt idx="19">
                  <c:v>51.679958610526427</c:v>
                </c:pt>
                <c:pt idx="20">
                  <c:v>55.741161567465369</c:v>
                </c:pt>
                <c:pt idx="21">
                  <c:v>59.802364524404311</c:v>
                </c:pt>
                <c:pt idx="22">
                  <c:v>63.863567481343253</c:v>
                </c:pt>
                <c:pt idx="23">
                  <c:v>67.924770438282195</c:v>
                </c:pt>
                <c:pt idx="24">
                  <c:v>71.985973395221137</c:v>
                </c:pt>
                <c:pt idx="25">
                  <c:v>76.047176352160079</c:v>
                </c:pt>
                <c:pt idx="26">
                  <c:v>80.108379309099021</c:v>
                </c:pt>
                <c:pt idx="27">
                  <c:v>84.169582266037963</c:v>
                </c:pt>
                <c:pt idx="28">
                  <c:v>88.230785222976934</c:v>
                </c:pt>
                <c:pt idx="29">
                  <c:v>123.71772856379623</c:v>
                </c:pt>
                <c:pt idx="30">
                  <c:v>159.20467190461548</c:v>
                </c:pt>
                <c:pt idx="31">
                  <c:v>159.20467190461548</c:v>
                </c:pt>
                <c:pt idx="32">
                  <c:v>159.20467190461548</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25.1</c:v>
                </c:pt>
                <c:pt idx="1">
                  <c:v>25.502108304700894</c:v>
                </c:pt>
                <c:pt idx="2">
                  <c:v>25.904216609401786</c:v>
                </c:pt>
                <c:pt idx="3">
                  <c:v>26.306324914102674</c:v>
                </c:pt>
                <c:pt idx="4">
                  <c:v>26.655927661818367</c:v>
                </c:pt>
                <c:pt idx="5">
                  <c:v>27.00553040953406</c:v>
                </c:pt>
                <c:pt idx="6">
                  <c:v>26.565412711380571</c:v>
                </c:pt>
                <c:pt idx="7">
                  <c:v>26.125295013227081</c:v>
                </c:pt>
                <c:pt idx="8">
                  <c:v>25.685177315073595</c:v>
                </c:pt>
                <c:pt idx="9">
                  <c:v>26.690972582655952</c:v>
                </c:pt>
                <c:pt idx="10">
                  <c:v>27.696767850238309</c:v>
                </c:pt>
                <c:pt idx="11">
                  <c:v>28.702563117820667</c:v>
                </c:pt>
                <c:pt idx="12">
                  <c:v>29.708358385403024</c:v>
                </c:pt>
                <c:pt idx="13">
                  <c:v>30.714153652985381</c:v>
                </c:pt>
                <c:pt idx="14">
                  <c:v>31.719948920567738</c:v>
                </c:pt>
                <c:pt idx="15">
                  <c:v>32.725744188150095</c:v>
                </c:pt>
                <c:pt idx="16">
                  <c:v>33.731539455732452</c:v>
                </c:pt>
                <c:pt idx="17">
                  <c:v>34.73733472331481</c:v>
                </c:pt>
                <c:pt idx="18">
                  <c:v>35.743129990897167</c:v>
                </c:pt>
                <c:pt idx="19">
                  <c:v>37.366103171087573</c:v>
                </c:pt>
                <c:pt idx="20">
                  <c:v>38.98907635127798</c:v>
                </c:pt>
                <c:pt idx="21">
                  <c:v>40.612049531468386</c:v>
                </c:pt>
                <c:pt idx="22">
                  <c:v>42.235022711658793</c:v>
                </c:pt>
                <c:pt idx="23">
                  <c:v>43.8579958918492</c:v>
                </c:pt>
                <c:pt idx="24">
                  <c:v>45.480969072039606</c:v>
                </c:pt>
                <c:pt idx="25">
                  <c:v>47.103942252230013</c:v>
                </c:pt>
                <c:pt idx="26">
                  <c:v>48.726915432420419</c:v>
                </c:pt>
                <c:pt idx="27">
                  <c:v>50.349888612610826</c:v>
                </c:pt>
                <c:pt idx="28">
                  <c:v>51.972861792801233</c:v>
                </c:pt>
                <c:pt idx="29">
                  <c:v>65.170422943406763</c:v>
                </c:pt>
                <c:pt idx="30">
                  <c:v>78.367984094012272</c:v>
                </c:pt>
                <c:pt idx="31">
                  <c:v>78.367984094012272</c:v>
                </c:pt>
                <c:pt idx="32">
                  <c:v>78.367984094012272</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77.385088910650026</c:v>
                </c:pt>
                <c:pt idx="10">
                  <c:v>79.473947673699413</c:v>
                </c:pt>
                <c:pt idx="11">
                  <c:v>81.562806436748801</c:v>
                </c:pt>
                <c:pt idx="12">
                  <c:v>83.651665199798188</c:v>
                </c:pt>
                <c:pt idx="13">
                  <c:v>85.740523962847575</c:v>
                </c:pt>
                <c:pt idx="14">
                  <c:v>87.829382725896963</c:v>
                </c:pt>
                <c:pt idx="15">
                  <c:v>89.91824148894635</c:v>
                </c:pt>
                <c:pt idx="16">
                  <c:v>92.007100251995737</c:v>
                </c:pt>
                <c:pt idx="17">
                  <c:v>94.095959015045125</c:v>
                </c:pt>
                <c:pt idx="18">
                  <c:v>96.184817778094512</c:v>
                </c:pt>
                <c:pt idx="19">
                  <c:v>99.447523086599105</c:v>
                </c:pt>
                <c:pt idx="20">
                  <c:v>102.7102283951037</c:v>
                </c:pt>
                <c:pt idx="21">
                  <c:v>105.97293370360829</c:v>
                </c:pt>
                <c:pt idx="22">
                  <c:v>109.23563901211288</c:v>
                </c:pt>
                <c:pt idx="23">
                  <c:v>112.49834432061748</c:v>
                </c:pt>
                <c:pt idx="24">
                  <c:v>115.76104962912207</c:v>
                </c:pt>
                <c:pt idx="25">
                  <c:v>119.02375493762666</c:v>
                </c:pt>
                <c:pt idx="26">
                  <c:v>122.28646024613126</c:v>
                </c:pt>
                <c:pt idx="27">
                  <c:v>125.54916555463585</c:v>
                </c:pt>
                <c:pt idx="28">
                  <c:v>128.81187086314046</c:v>
                </c:pt>
                <c:pt idx="29">
                  <c:v>157.88701031374791</c:v>
                </c:pt>
                <c:pt idx="30">
                  <c:v>186.96214976435544</c:v>
                </c:pt>
                <c:pt idx="31">
                  <c:v>186.96214976435544</c:v>
                </c:pt>
                <c:pt idx="32">
                  <c:v>186.96214976435544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45.345468160465344</c:v>
                </c:pt>
                <c:pt idx="10">
                  <c:v>47.000848381445984</c:v>
                </c:pt>
                <c:pt idx="11">
                  <c:v>48.656228602426623</c:v>
                </c:pt>
                <c:pt idx="12">
                  <c:v>50.311608823407262</c:v>
                </c:pt>
                <c:pt idx="13">
                  <c:v>51.966989044387901</c:v>
                </c:pt>
                <c:pt idx="14">
                  <c:v>53.62236926536854</c:v>
                </c:pt>
                <c:pt idx="15">
                  <c:v>55.27774948634918</c:v>
                </c:pt>
                <c:pt idx="16">
                  <c:v>56.933129707329819</c:v>
                </c:pt>
                <c:pt idx="17">
                  <c:v>58.588509928310458</c:v>
                </c:pt>
                <c:pt idx="18">
                  <c:v>60.243890149291104</c:v>
                </c:pt>
                <c:pt idx="19">
                  <c:v>62.904097080226194</c:v>
                </c:pt>
                <c:pt idx="20">
                  <c:v>65.564304011161283</c:v>
                </c:pt>
                <c:pt idx="21">
                  <c:v>68.224510942096373</c:v>
                </c:pt>
                <c:pt idx="22">
                  <c:v>70.884717873031462</c:v>
                </c:pt>
                <c:pt idx="23">
                  <c:v>73.544924803966552</c:v>
                </c:pt>
                <c:pt idx="24">
                  <c:v>76.205131734901641</c:v>
                </c:pt>
                <c:pt idx="25">
                  <c:v>78.865338665836731</c:v>
                </c:pt>
                <c:pt idx="26">
                  <c:v>81.525545596771821</c:v>
                </c:pt>
                <c:pt idx="27">
                  <c:v>84.18575252770691</c:v>
                </c:pt>
                <c:pt idx="28">
                  <c:v>86.845959458642014</c:v>
                </c:pt>
                <c:pt idx="29">
                  <c:v>91.150530388367926</c:v>
                </c:pt>
                <c:pt idx="30">
                  <c:v>95.455101318093838</c:v>
                </c:pt>
                <c:pt idx="31">
                  <c:v>99.759672247819751</c:v>
                </c:pt>
                <c:pt idx="32">
                  <c:v>104.06424317754566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3.2853958305736843</c:v>
                </c:pt>
                <c:pt idx="10">
                  <c:v>3.3841643587630315</c:v>
                </c:pt>
                <c:pt idx="11">
                  <c:v>3.4829328869523786</c:v>
                </c:pt>
                <c:pt idx="12">
                  <c:v>3.5817014151417257</c:v>
                </c:pt>
                <c:pt idx="13">
                  <c:v>3.6804699433310728</c:v>
                </c:pt>
                <c:pt idx="14">
                  <c:v>3.7792384715204199</c:v>
                </c:pt>
                <c:pt idx="15">
                  <c:v>3.878006999709767</c:v>
                </c:pt>
                <c:pt idx="16">
                  <c:v>3.9767755278991141</c:v>
                </c:pt>
                <c:pt idx="17">
                  <c:v>4.0755440560884617</c:v>
                </c:pt>
                <c:pt idx="18">
                  <c:v>4.1743125842778097</c:v>
                </c:pt>
                <c:pt idx="19">
                  <c:v>4.3285510363141828</c:v>
                </c:pt>
                <c:pt idx="20">
                  <c:v>4.4827894883505559</c:v>
                </c:pt>
                <c:pt idx="21">
                  <c:v>4.637027940386929</c:v>
                </c:pt>
                <c:pt idx="22">
                  <c:v>4.7912663924233021</c:v>
                </c:pt>
                <c:pt idx="23">
                  <c:v>4.9455048444596752</c:v>
                </c:pt>
                <c:pt idx="24">
                  <c:v>5.0997432964960483</c:v>
                </c:pt>
                <c:pt idx="25">
                  <c:v>5.2539817485324214</c:v>
                </c:pt>
                <c:pt idx="26">
                  <c:v>5.4082202005687945</c:v>
                </c:pt>
                <c:pt idx="27">
                  <c:v>5.5624586526051676</c:v>
                </c:pt>
                <c:pt idx="28">
                  <c:v>5.7166971046415389</c:v>
                </c:pt>
                <c:pt idx="29">
                  <c:v>5.9572974925866964</c:v>
                </c:pt>
                <c:pt idx="30">
                  <c:v>6.1978978805318539</c:v>
                </c:pt>
                <c:pt idx="31">
                  <c:v>6.4384982684770113</c:v>
                </c:pt>
                <c:pt idx="32">
                  <c:v>6.6790986564221688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0.68137798840116348</c:v>
                </c:pt>
                <c:pt idx="10">
                  <c:v>0.69919979133390964</c:v>
                </c:pt>
                <c:pt idx="11">
                  <c:v>0.71702159426665579</c:v>
                </c:pt>
                <c:pt idx="12">
                  <c:v>0.73484339719940195</c:v>
                </c:pt>
                <c:pt idx="13">
                  <c:v>0.7526652001321481</c:v>
                </c:pt>
                <c:pt idx="14">
                  <c:v>0.77048700306489426</c:v>
                </c:pt>
                <c:pt idx="15">
                  <c:v>0.78830880599764042</c:v>
                </c:pt>
                <c:pt idx="16">
                  <c:v>0.80613060893038657</c:v>
                </c:pt>
                <c:pt idx="17">
                  <c:v>0.82395241186313273</c:v>
                </c:pt>
                <c:pt idx="18">
                  <c:v>0.84177421479587833</c:v>
                </c:pt>
                <c:pt idx="19">
                  <c:v>0.87045033067884836</c:v>
                </c:pt>
                <c:pt idx="20">
                  <c:v>0.89912644656181839</c:v>
                </c:pt>
                <c:pt idx="21">
                  <c:v>0.92780256244478843</c:v>
                </c:pt>
                <c:pt idx="22">
                  <c:v>0.95647867832775846</c:v>
                </c:pt>
                <c:pt idx="23">
                  <c:v>0.98515479421072849</c:v>
                </c:pt>
                <c:pt idx="24">
                  <c:v>1.0138309100936984</c:v>
                </c:pt>
                <c:pt idx="25">
                  <c:v>1.0425070259766684</c:v>
                </c:pt>
                <c:pt idx="26">
                  <c:v>1.0711831418596385</c:v>
                </c:pt>
                <c:pt idx="27">
                  <c:v>1.0998592577426085</c:v>
                </c:pt>
                <c:pt idx="28">
                  <c:v>1.1285353736255785</c:v>
                </c:pt>
                <c:pt idx="29">
                  <c:v>1.1726565876215937</c:v>
                </c:pt>
                <c:pt idx="30">
                  <c:v>1.216777801617609</c:v>
                </c:pt>
                <c:pt idx="31">
                  <c:v>1.2608990156136242</c:v>
                </c:pt>
                <c:pt idx="32">
                  <c:v>1.3050202296096394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2.8215300505310124</c:v>
                </c:pt>
                <c:pt idx="10">
                  <c:v>2.8953286665493794</c:v>
                </c:pt>
                <c:pt idx="11">
                  <c:v>2.9691272825677464</c:v>
                </c:pt>
                <c:pt idx="12">
                  <c:v>3.0429258985861134</c:v>
                </c:pt>
                <c:pt idx="13">
                  <c:v>3.1167245146044804</c:v>
                </c:pt>
                <c:pt idx="14">
                  <c:v>3.1905231306228474</c:v>
                </c:pt>
                <c:pt idx="15">
                  <c:v>3.2643217466412144</c:v>
                </c:pt>
                <c:pt idx="16">
                  <c:v>3.3381203626595815</c:v>
                </c:pt>
                <c:pt idx="17">
                  <c:v>3.4119189786779485</c:v>
                </c:pt>
                <c:pt idx="18">
                  <c:v>3.4857175946963159</c:v>
                </c:pt>
                <c:pt idx="19">
                  <c:v>3.6044630253876773</c:v>
                </c:pt>
                <c:pt idx="20">
                  <c:v>3.7232084560790386</c:v>
                </c:pt>
                <c:pt idx="21">
                  <c:v>3.8419538867704</c:v>
                </c:pt>
                <c:pt idx="22">
                  <c:v>3.9606993174617613</c:v>
                </c:pt>
                <c:pt idx="23">
                  <c:v>4.0794447481531231</c:v>
                </c:pt>
                <c:pt idx="24">
                  <c:v>4.1981901788444844</c:v>
                </c:pt>
                <c:pt idx="25">
                  <c:v>4.3169356095358458</c:v>
                </c:pt>
                <c:pt idx="26">
                  <c:v>4.4356810402272071</c:v>
                </c:pt>
                <c:pt idx="27">
                  <c:v>4.5544264709185684</c:v>
                </c:pt>
                <c:pt idx="28">
                  <c:v>4.6731719016099298</c:v>
                </c:pt>
                <c:pt idx="29">
                  <c:v>4.855874209689734</c:v>
                </c:pt>
                <c:pt idx="30">
                  <c:v>5.0385765177695383</c:v>
                </c:pt>
                <c:pt idx="31">
                  <c:v>5.2212788258493426</c:v>
                </c:pt>
                <c:pt idx="32">
                  <c:v>5.4039811339291468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0.59339999471481886</c:v>
                </c:pt>
                <c:pt idx="10">
                  <c:v>0.60892068652776565</c:v>
                </c:pt>
                <c:pt idx="11">
                  <c:v>0.62444137834071245</c:v>
                </c:pt>
                <c:pt idx="12">
                  <c:v>0.63996207015365925</c:v>
                </c:pt>
                <c:pt idx="13">
                  <c:v>0.65548276196660604</c:v>
                </c:pt>
                <c:pt idx="14">
                  <c:v>0.67100345377955284</c:v>
                </c:pt>
                <c:pt idx="15">
                  <c:v>0.68652414559249963</c:v>
                </c:pt>
                <c:pt idx="16">
                  <c:v>0.70204483740544643</c:v>
                </c:pt>
                <c:pt idx="17">
                  <c:v>0.71756552921839323</c:v>
                </c:pt>
                <c:pt idx="18">
                  <c:v>0.73308622103133991</c:v>
                </c:pt>
                <c:pt idx="19">
                  <c:v>0.75805974131385523</c:v>
                </c:pt>
                <c:pt idx="20">
                  <c:v>0.78303326159637054</c:v>
                </c:pt>
                <c:pt idx="21">
                  <c:v>0.80800678187888586</c:v>
                </c:pt>
                <c:pt idx="22">
                  <c:v>0.83298030216140118</c:v>
                </c:pt>
                <c:pt idx="23">
                  <c:v>0.85795382244391649</c:v>
                </c:pt>
                <c:pt idx="24">
                  <c:v>0.88292734272643181</c:v>
                </c:pt>
                <c:pt idx="25">
                  <c:v>0.90790086300894712</c:v>
                </c:pt>
                <c:pt idx="26">
                  <c:v>0.93287438329146244</c:v>
                </c:pt>
                <c:pt idx="27">
                  <c:v>0.95784790357397775</c:v>
                </c:pt>
                <c:pt idx="28">
                  <c:v>0.98282142385649318</c:v>
                </c:pt>
                <c:pt idx="29">
                  <c:v>1.0212458059142129</c:v>
                </c:pt>
                <c:pt idx="30">
                  <c:v>1.0596701879719326</c:v>
                </c:pt>
                <c:pt idx="31">
                  <c:v>1.0980945700296523</c:v>
                </c:pt>
                <c:pt idx="32">
                  <c:v>1.136518952087372</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0.28436367145405123</c:v>
                </c:pt>
                <c:pt idx="10">
                  <c:v>0.29180135420893138</c:v>
                </c:pt>
                <c:pt idx="11">
                  <c:v>0.29923903696381154</c:v>
                </c:pt>
                <c:pt idx="12">
                  <c:v>0.3066767197186917</c:v>
                </c:pt>
                <c:pt idx="13">
                  <c:v>0.31411440247357186</c:v>
                </c:pt>
                <c:pt idx="14">
                  <c:v>0.32155208522845202</c:v>
                </c:pt>
                <c:pt idx="15">
                  <c:v>0.32898976798333218</c:v>
                </c:pt>
                <c:pt idx="16">
                  <c:v>0.33642745073821234</c:v>
                </c:pt>
                <c:pt idx="17">
                  <c:v>0.3438651334930925</c:v>
                </c:pt>
                <c:pt idx="18">
                  <c:v>0.35130281624797255</c:v>
                </c:pt>
                <c:pt idx="19">
                  <c:v>0.36327039626131785</c:v>
                </c:pt>
                <c:pt idx="20">
                  <c:v>0.37523797627466315</c:v>
                </c:pt>
                <c:pt idx="21">
                  <c:v>0.38720555628800846</c:v>
                </c:pt>
                <c:pt idx="22">
                  <c:v>0.39917313630135376</c:v>
                </c:pt>
                <c:pt idx="23">
                  <c:v>0.41114071631469906</c:v>
                </c:pt>
                <c:pt idx="24">
                  <c:v>0.42310829632804436</c:v>
                </c:pt>
                <c:pt idx="25">
                  <c:v>0.43507587634138967</c:v>
                </c:pt>
                <c:pt idx="26">
                  <c:v>0.44704345635473497</c:v>
                </c:pt>
                <c:pt idx="27">
                  <c:v>0.45901103636808027</c:v>
                </c:pt>
                <c:pt idx="28">
                  <c:v>0.47097861638142557</c:v>
                </c:pt>
                <c:pt idx="29">
                  <c:v>0.48939199429279123</c:v>
                </c:pt>
                <c:pt idx="30">
                  <c:v>0.50780537220415689</c:v>
                </c:pt>
                <c:pt idx="31">
                  <c:v>0.52621875011552255</c:v>
                </c:pt>
                <c:pt idx="32">
                  <c:v>0.54463212802688821</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5.2406801135570538</c:v>
                </c:pt>
                <c:pt idx="10">
                  <c:v>5.3777528834546144</c:v>
                </c:pt>
                <c:pt idx="11">
                  <c:v>5.5148256533521751</c:v>
                </c:pt>
                <c:pt idx="12">
                  <c:v>5.6518984232497358</c:v>
                </c:pt>
                <c:pt idx="13">
                  <c:v>5.7889711931472965</c:v>
                </c:pt>
                <c:pt idx="14">
                  <c:v>5.9260439630448571</c:v>
                </c:pt>
                <c:pt idx="15">
                  <c:v>6.0631167329424178</c:v>
                </c:pt>
                <c:pt idx="16">
                  <c:v>6.2001895028399785</c:v>
                </c:pt>
                <c:pt idx="17">
                  <c:v>6.3372622727375392</c:v>
                </c:pt>
                <c:pt idx="18">
                  <c:v>6.4743350426350972</c:v>
                </c:pt>
                <c:pt idx="19">
                  <c:v>6.6948915513573297</c:v>
                </c:pt>
                <c:pt idx="20">
                  <c:v>6.9154480600795623</c:v>
                </c:pt>
                <c:pt idx="21">
                  <c:v>7.1360045688017948</c:v>
                </c:pt>
                <c:pt idx="22">
                  <c:v>7.3565610775240273</c:v>
                </c:pt>
                <c:pt idx="23">
                  <c:v>7.5771175862462599</c:v>
                </c:pt>
                <c:pt idx="24">
                  <c:v>7.7976740949684924</c:v>
                </c:pt>
                <c:pt idx="25">
                  <c:v>8.0182306036907249</c:v>
                </c:pt>
                <c:pt idx="26">
                  <c:v>8.2387871124129575</c:v>
                </c:pt>
                <c:pt idx="27">
                  <c:v>8.45934362113519</c:v>
                </c:pt>
                <c:pt idx="28">
                  <c:v>8.6799001298574261</c:v>
                </c:pt>
                <c:pt idx="29">
                  <c:v>9.0192494670989714</c:v>
                </c:pt>
                <c:pt idx="30">
                  <c:v>9.3585988043405166</c:v>
                </c:pt>
                <c:pt idx="31">
                  <c:v>9.6979481415820619</c:v>
                </c:pt>
                <c:pt idx="32">
                  <c:v>10.037297478823607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1.6288817688265509</c:v>
                </c:pt>
                <c:pt idx="10">
                  <c:v>1.6714860360305546</c:v>
                </c:pt>
                <c:pt idx="11">
                  <c:v>1.7140903032345582</c:v>
                </c:pt>
                <c:pt idx="12">
                  <c:v>1.7566945704385619</c:v>
                </c:pt>
                <c:pt idx="13">
                  <c:v>1.7992988376425656</c:v>
                </c:pt>
                <c:pt idx="14">
                  <c:v>1.8419031048465693</c:v>
                </c:pt>
                <c:pt idx="15">
                  <c:v>1.8845073720505729</c:v>
                </c:pt>
                <c:pt idx="16">
                  <c:v>1.9271116392545766</c:v>
                </c:pt>
                <c:pt idx="17">
                  <c:v>1.9697159064585803</c:v>
                </c:pt>
                <c:pt idx="18">
                  <c:v>2.0123201736625842</c:v>
                </c:pt>
                <c:pt idx="19">
                  <c:v>2.0808724356341388</c:v>
                </c:pt>
                <c:pt idx="20">
                  <c:v>2.1494246976056934</c:v>
                </c:pt>
                <c:pt idx="21">
                  <c:v>2.2179769595772481</c:v>
                </c:pt>
                <c:pt idx="22">
                  <c:v>2.2865292215488027</c:v>
                </c:pt>
                <c:pt idx="23">
                  <c:v>2.3550814835203573</c:v>
                </c:pt>
                <c:pt idx="24">
                  <c:v>2.4236337454919119</c:v>
                </c:pt>
                <c:pt idx="25">
                  <c:v>2.4921860074634665</c:v>
                </c:pt>
                <c:pt idx="26">
                  <c:v>2.5607382694350211</c:v>
                </c:pt>
                <c:pt idx="27">
                  <c:v>2.6292905314065758</c:v>
                </c:pt>
                <c:pt idx="28">
                  <c:v>2.697842793378129</c:v>
                </c:pt>
                <c:pt idx="29">
                  <c:v>2.8033176433439184</c:v>
                </c:pt>
                <c:pt idx="30">
                  <c:v>2.9087924933097078</c:v>
                </c:pt>
                <c:pt idx="31">
                  <c:v>3.0142673432754972</c:v>
                </c:pt>
                <c:pt idx="32">
                  <c:v>3.1197421932412865</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6.0861570759407284E-2</c:v>
                </c:pt>
                <c:pt idx="10">
                  <c:v>6.245343744532221E-2</c:v>
                </c:pt>
                <c:pt idx="11">
                  <c:v>6.404530413123713E-2</c:v>
                </c:pt>
                <c:pt idx="12">
                  <c:v>6.5637170817152049E-2</c:v>
                </c:pt>
                <c:pt idx="13">
                  <c:v>6.7229037503066968E-2</c:v>
                </c:pt>
                <c:pt idx="14">
                  <c:v>6.8820904188981888E-2</c:v>
                </c:pt>
                <c:pt idx="15">
                  <c:v>7.0412770874896807E-2</c:v>
                </c:pt>
                <c:pt idx="16">
                  <c:v>7.2004637560811727E-2</c:v>
                </c:pt>
                <c:pt idx="17">
                  <c:v>7.3596504246726646E-2</c:v>
                </c:pt>
                <c:pt idx="18">
                  <c:v>7.5188370932641607E-2</c:v>
                </c:pt>
                <c:pt idx="19">
                  <c:v>7.7749759010368596E-2</c:v>
                </c:pt>
                <c:pt idx="20">
                  <c:v>8.0311147088095586E-2</c:v>
                </c:pt>
                <c:pt idx="21">
                  <c:v>8.2872535165822575E-2</c:v>
                </c:pt>
                <c:pt idx="22">
                  <c:v>8.5433923243549564E-2</c:v>
                </c:pt>
                <c:pt idx="23">
                  <c:v>8.7995311321276554E-2</c:v>
                </c:pt>
                <c:pt idx="24">
                  <c:v>9.0556699399003543E-2</c:v>
                </c:pt>
                <c:pt idx="25">
                  <c:v>9.3118087476730532E-2</c:v>
                </c:pt>
                <c:pt idx="26">
                  <c:v>9.5679475554457522E-2</c:v>
                </c:pt>
                <c:pt idx="27">
                  <c:v>9.8240863632184511E-2</c:v>
                </c:pt>
                <c:pt idx="28">
                  <c:v>0.10080225170991157</c:v>
                </c:pt>
                <c:pt idx="29">
                  <c:v>0.1047432160987237</c:v>
                </c:pt>
                <c:pt idx="30">
                  <c:v>0.10868418048753582</c:v>
                </c:pt>
                <c:pt idx="31">
                  <c:v>0.11262514487634795</c:v>
                </c:pt>
                <c:pt idx="32">
                  <c:v>0.11656610926516008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4.159272805819756E-2</c:v>
                </c:pt>
                <c:pt idx="10">
                  <c:v>4.2680607936189857E-2</c:v>
                </c:pt>
                <c:pt idx="11">
                  <c:v>4.3768487814182154E-2</c:v>
                </c:pt>
                <c:pt idx="12">
                  <c:v>4.4856367692174451E-2</c:v>
                </c:pt>
                <c:pt idx="13">
                  <c:v>4.5944247570166748E-2</c:v>
                </c:pt>
                <c:pt idx="14">
                  <c:v>4.7032127448159045E-2</c:v>
                </c:pt>
                <c:pt idx="15">
                  <c:v>4.8120007326151341E-2</c:v>
                </c:pt>
                <c:pt idx="16">
                  <c:v>4.9207887204143638E-2</c:v>
                </c:pt>
                <c:pt idx="17">
                  <c:v>5.0295767082135935E-2</c:v>
                </c:pt>
                <c:pt idx="18">
                  <c:v>5.138364696012826E-2</c:v>
                </c:pt>
                <c:pt idx="19">
                  <c:v>5.3134096651766251E-2</c:v>
                </c:pt>
                <c:pt idx="20">
                  <c:v>5.4884546343404242E-2</c:v>
                </c:pt>
                <c:pt idx="21">
                  <c:v>5.6634996035042233E-2</c:v>
                </c:pt>
                <c:pt idx="22">
                  <c:v>5.8385445726680224E-2</c:v>
                </c:pt>
                <c:pt idx="23">
                  <c:v>6.0135895418318215E-2</c:v>
                </c:pt>
                <c:pt idx="24">
                  <c:v>6.1886345109956206E-2</c:v>
                </c:pt>
                <c:pt idx="25">
                  <c:v>6.3636794801594204E-2</c:v>
                </c:pt>
                <c:pt idx="26">
                  <c:v>6.5387244493232202E-2</c:v>
                </c:pt>
                <c:pt idx="27">
                  <c:v>6.71376941848702E-2</c:v>
                </c:pt>
                <c:pt idx="28">
                  <c:v>6.8888143876508184E-2</c:v>
                </c:pt>
                <c:pt idx="29">
                  <c:v>7.1581394446048691E-2</c:v>
                </c:pt>
                <c:pt idx="30">
                  <c:v>7.4274645015589197E-2</c:v>
                </c:pt>
                <c:pt idx="31">
                  <c:v>7.6967895585129703E-2</c:v>
                </c:pt>
                <c:pt idx="32">
                  <c:v>7.9661146154670209E-2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24.827138909995355</c:v>
                </c:pt>
                <c:pt idx="10">
                  <c:v>27.359540770394482</c:v>
                </c:pt>
                <c:pt idx="11">
                  <c:v>29.891942630793608</c:v>
                </c:pt>
                <c:pt idx="12">
                  <c:v>32.424344491192734</c:v>
                </c:pt>
                <c:pt idx="13">
                  <c:v>34.95674635159186</c:v>
                </c:pt>
                <c:pt idx="14">
                  <c:v>37.489148211990987</c:v>
                </c:pt>
                <c:pt idx="15">
                  <c:v>40.021550072390113</c:v>
                </c:pt>
                <c:pt idx="16">
                  <c:v>42.553951932789239</c:v>
                </c:pt>
                <c:pt idx="17">
                  <c:v>45.086353793188366</c:v>
                </c:pt>
                <c:pt idx="18">
                  <c:v>47.618755653587478</c:v>
                </c:pt>
                <c:pt idx="19">
                  <c:v>51.679958610526427</c:v>
                </c:pt>
                <c:pt idx="20">
                  <c:v>55.741161567465369</c:v>
                </c:pt>
                <c:pt idx="21">
                  <c:v>59.802364524404311</c:v>
                </c:pt>
                <c:pt idx="22">
                  <c:v>63.863567481343253</c:v>
                </c:pt>
                <c:pt idx="23">
                  <c:v>67.924770438282195</c:v>
                </c:pt>
                <c:pt idx="24">
                  <c:v>71.985973395221137</c:v>
                </c:pt>
                <c:pt idx="25">
                  <c:v>76.047176352160079</c:v>
                </c:pt>
                <c:pt idx="26">
                  <c:v>80.108379309099021</c:v>
                </c:pt>
                <c:pt idx="27">
                  <c:v>84.169582266037963</c:v>
                </c:pt>
                <c:pt idx="28">
                  <c:v>88.230785222976934</c:v>
                </c:pt>
                <c:pt idx="29">
                  <c:v>95.328173891140793</c:v>
                </c:pt>
                <c:pt idx="30">
                  <c:v>102.42556255930465</c:v>
                </c:pt>
                <c:pt idx="31">
                  <c:v>109.52295122746851</c:v>
                </c:pt>
                <c:pt idx="32">
                  <c:v>116.62033989563237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25.1</c:v>
                </c:pt>
                <c:pt idx="1">
                  <c:v>25.502108304700894</c:v>
                </c:pt>
                <c:pt idx="2">
                  <c:v>25.904216609401786</c:v>
                </c:pt>
                <c:pt idx="3">
                  <c:v>26.306324914102674</c:v>
                </c:pt>
                <c:pt idx="4">
                  <c:v>26.655927661818367</c:v>
                </c:pt>
                <c:pt idx="5">
                  <c:v>27.00553040953406</c:v>
                </c:pt>
                <c:pt idx="6">
                  <c:v>26.565412711380571</c:v>
                </c:pt>
                <c:pt idx="7">
                  <c:v>26.125295013227081</c:v>
                </c:pt>
                <c:pt idx="8">
                  <c:v>25.685177315073595</c:v>
                </c:pt>
                <c:pt idx="9">
                  <c:v>26.690972582655952</c:v>
                </c:pt>
                <c:pt idx="10">
                  <c:v>27.696767850238309</c:v>
                </c:pt>
                <c:pt idx="11">
                  <c:v>28.702563117820667</c:v>
                </c:pt>
                <c:pt idx="12">
                  <c:v>29.708358385403024</c:v>
                </c:pt>
                <c:pt idx="13">
                  <c:v>30.714153652985381</c:v>
                </c:pt>
                <c:pt idx="14">
                  <c:v>31.719948920567738</c:v>
                </c:pt>
                <c:pt idx="15">
                  <c:v>32.725744188150095</c:v>
                </c:pt>
                <c:pt idx="16">
                  <c:v>33.731539455732452</c:v>
                </c:pt>
                <c:pt idx="17">
                  <c:v>34.73733472331481</c:v>
                </c:pt>
                <c:pt idx="18">
                  <c:v>35.743129990897167</c:v>
                </c:pt>
                <c:pt idx="19">
                  <c:v>37.366103171087573</c:v>
                </c:pt>
                <c:pt idx="20">
                  <c:v>38.98907635127798</c:v>
                </c:pt>
                <c:pt idx="21">
                  <c:v>40.612049531468386</c:v>
                </c:pt>
                <c:pt idx="22">
                  <c:v>42.235022711658793</c:v>
                </c:pt>
                <c:pt idx="23">
                  <c:v>43.8579958918492</c:v>
                </c:pt>
                <c:pt idx="24">
                  <c:v>45.480969072039606</c:v>
                </c:pt>
                <c:pt idx="25">
                  <c:v>47.103942252230013</c:v>
                </c:pt>
                <c:pt idx="26">
                  <c:v>48.726915432420419</c:v>
                </c:pt>
                <c:pt idx="27">
                  <c:v>50.349888612610826</c:v>
                </c:pt>
                <c:pt idx="28">
                  <c:v>51.972861792801233</c:v>
                </c:pt>
                <c:pt idx="29">
                  <c:v>54.612374022922339</c:v>
                </c:pt>
                <c:pt idx="30">
                  <c:v>57.251886253043445</c:v>
                </c:pt>
                <c:pt idx="31">
                  <c:v>59.891398483164551</c:v>
                </c:pt>
                <c:pt idx="32">
                  <c:v>62.530910713285657</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77.385088910650026</c:v>
                </c:pt>
                <c:pt idx="10">
                  <c:v>79.473947673699413</c:v>
                </c:pt>
                <c:pt idx="11">
                  <c:v>81.562806436748801</c:v>
                </c:pt>
                <c:pt idx="12">
                  <c:v>83.651665199798188</c:v>
                </c:pt>
                <c:pt idx="13">
                  <c:v>85.740523962847575</c:v>
                </c:pt>
                <c:pt idx="14">
                  <c:v>87.829382725896963</c:v>
                </c:pt>
                <c:pt idx="15">
                  <c:v>89.91824148894635</c:v>
                </c:pt>
                <c:pt idx="16">
                  <c:v>92.007100251995737</c:v>
                </c:pt>
                <c:pt idx="17">
                  <c:v>94.095959015045125</c:v>
                </c:pt>
                <c:pt idx="18">
                  <c:v>96.184817778094512</c:v>
                </c:pt>
                <c:pt idx="19">
                  <c:v>99.447523086599105</c:v>
                </c:pt>
                <c:pt idx="20">
                  <c:v>102.7102283951037</c:v>
                </c:pt>
                <c:pt idx="21">
                  <c:v>105.97293370360829</c:v>
                </c:pt>
                <c:pt idx="22">
                  <c:v>109.23563901211288</c:v>
                </c:pt>
                <c:pt idx="23">
                  <c:v>112.49834432061748</c:v>
                </c:pt>
                <c:pt idx="24">
                  <c:v>115.76104962912207</c:v>
                </c:pt>
                <c:pt idx="25">
                  <c:v>119.02375493762666</c:v>
                </c:pt>
                <c:pt idx="26">
                  <c:v>122.28646024613126</c:v>
                </c:pt>
                <c:pt idx="27">
                  <c:v>125.54916555463585</c:v>
                </c:pt>
                <c:pt idx="28">
                  <c:v>128.81187086314046</c:v>
                </c:pt>
                <c:pt idx="29">
                  <c:v>134.62689875326197</c:v>
                </c:pt>
                <c:pt idx="30">
                  <c:v>140.44192664338345</c:v>
                </c:pt>
                <c:pt idx="31">
                  <c:v>146.25695453350494</c:v>
                </c:pt>
                <c:pt idx="32">
                  <c:v>152.07198242362642</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26.164390783448656</c:v>
                </c:pt>
                <c:pt idx="1">
                  <c:v>26.360993218184007</c:v>
                </c:pt>
                <c:pt idx="2">
                  <c:v>26.578764727799523</c:v>
                </c:pt>
                <c:pt idx="3">
                  <c:v>28.111589337230718</c:v>
                </c:pt>
                <c:pt idx="4">
                  <c:v>22.876934152996679</c:v>
                </c:pt>
                <c:pt idx="5">
                  <c:v>16.278935059402933</c:v>
                </c:pt>
                <c:pt idx="6">
                  <c:v>11.524488674982097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15.698634470069196</c:v>
                </c:pt>
                <c:pt idx="1">
                  <c:v>16.60012737178209</c:v>
                </c:pt>
                <c:pt idx="2">
                  <c:v>17.298814732088275</c:v>
                </c:pt>
                <c:pt idx="3">
                  <c:v>19.201285369797056</c:v>
                </c:pt>
                <c:pt idx="4">
                  <c:v>24.06096742215124</c:v>
                </c:pt>
                <c:pt idx="5">
                  <c:v>28.553913135980249</c:v>
                </c:pt>
                <c:pt idx="6">
                  <c:v>30.593228691543604</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10.46240762855223</c:v>
                </c:pt>
                <c:pt idx="1">
                  <c:v>11.789370867355018</c:v>
                </c:pt>
                <c:pt idx="2">
                  <c:v>12.644368581760297</c:v>
                </c:pt>
                <c:pt idx="3">
                  <c:v>11.995815292972233</c:v>
                </c:pt>
                <c:pt idx="4">
                  <c:v>19.018188424852077</c:v>
                </c:pt>
                <c:pt idx="5">
                  <c:v>26.542457804616809</c:v>
                </c:pt>
                <c:pt idx="6">
                  <c:v>33.400191633474286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0.13082195391724327</c:v>
                </c:pt>
                <c:pt idx="1">
                  <c:v>0.1405579466861536</c:v>
                </c:pt>
                <c:pt idx="2">
                  <c:v>0.11438467076498339</c:v>
                </c:pt>
                <c:pt idx="3">
                  <c:v>8.1394675297014663E-2</c:v>
                </c:pt>
                <c:pt idx="4">
                  <c:v>5.7622443374910487E-2</c:v>
                </c:pt>
                <c:pt idx="6">
                  <c:v>0.13082195391724327</c:v>
                </c:pt>
                <c:pt idx="7">
                  <c:v>0.1405579466861536</c:v>
                </c:pt>
                <c:pt idx="8">
                  <c:v>0.27166359306683557</c:v>
                </c:pt>
                <c:pt idx="9">
                  <c:v>0.14691738891111147</c:v>
                </c:pt>
                <c:pt idx="10">
                  <c:v>9.8808084777127755E-2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2.605214709517647</c:v>
                </c:pt>
                <c:pt idx="1">
                  <c:v>3.1864854986218929</c:v>
                </c:pt>
                <c:pt idx="2">
                  <c:v>3.9929578826060155</c:v>
                </c:pt>
                <c:pt idx="3">
                  <c:v>4.7385697563679257</c:v>
                </c:pt>
                <c:pt idx="4">
                  <c:v>5.0769975917845169</c:v>
                </c:pt>
                <c:pt idx="6">
                  <c:v>2.605214709517647</c:v>
                </c:pt>
                <c:pt idx="7">
                  <c:v>3.1864854986218929</c:v>
                </c:pt>
                <c:pt idx="8">
                  <c:v>3.6036444890519284</c:v>
                </c:pt>
                <c:pt idx="9">
                  <c:v>3.8595946826226513</c:v>
                </c:pt>
                <c:pt idx="10">
                  <c:v>3.7320597584434507</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3.282625646516963</c:v>
                </c:pt>
                <c:pt idx="1">
                  <c:v>3.7187795948797335</c:v>
                </c:pt>
                <c:pt idx="2">
                  <c:v>6.671690890434518</c:v>
                </c:pt>
                <c:pt idx="3">
                  <c:v>10.66700192756192</c:v>
                </c:pt>
                <c:pt idx="4">
                  <c:v>15.112321520170545</c:v>
                </c:pt>
                <c:pt idx="6">
                  <c:v>3.282625646516963</c:v>
                </c:pt>
                <c:pt idx="7">
                  <c:v>3.7187795948797335</c:v>
                </c:pt>
                <c:pt idx="8">
                  <c:v>5.6046570936211291</c:v>
                </c:pt>
                <c:pt idx="9">
                  <c:v>7.4358439613607015</c:v>
                </c:pt>
                <c:pt idx="10">
                  <c:v>8.8950280518099447</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0.56388331989065976</c:v>
                </c:pt>
                <c:pt idx="3">
                  <c:v>0.69388240100282472</c:v>
                </c:pt>
                <c:pt idx="4">
                  <c:v>0.8291718065787661</c:v>
                </c:pt>
                <c:pt idx="6">
                  <c:v>0.46210357112254363</c:v>
                </c:pt>
                <c:pt idx="7">
                  <c:v>0.45258326308817937</c:v>
                </c:pt>
                <c:pt idx="8">
                  <c:v>0.56388331989065976</c:v>
                </c:pt>
                <c:pt idx="9">
                  <c:v>0.69388240100282472</c:v>
                </c:pt>
                <c:pt idx="10">
                  <c:v>0.8291718065787661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114.80427633957291</c:v>
                </c:pt>
                <c:pt idx="1">
                  <c:v>132.67624916402971</c:v>
                </c:pt>
                <c:pt idx="2">
                  <c:v>204.21781814300834</c:v>
                </c:pt>
                <c:pt idx="3">
                  <c:v>295.01411110807271</c:v>
                </c:pt>
                <c:pt idx="4">
                  <c:v>387.93172782543201</c:v>
                </c:pt>
                <c:pt idx="6">
                  <c:v>114.80427633957291</c:v>
                </c:pt>
                <c:pt idx="7">
                  <c:v>132.67624916402971</c:v>
                </c:pt>
                <c:pt idx="8">
                  <c:v>190.60329693347444</c:v>
                </c:pt>
                <c:pt idx="9">
                  <c:v>255.67889629366303</c:v>
                </c:pt>
                <c:pt idx="10">
                  <c:v>310.34538226034562</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13.047711196358261</c:v>
                </c:pt>
                <c:pt idx="1">
                  <c:v>15.078892850541084</c:v>
                </c:pt>
                <c:pt idx="2">
                  <c:v>23.209720031673672</c:v>
                </c:pt>
                <c:pt idx="3">
                  <c:v>33.528881007907586</c:v>
                </c:pt>
                <c:pt idx="4">
                  <c:v>44.089134220044372</c:v>
                </c:pt>
                <c:pt idx="6">
                  <c:v>13.047711196358261</c:v>
                </c:pt>
                <c:pt idx="7">
                  <c:v>15.078892850541084</c:v>
                </c:pt>
                <c:pt idx="8">
                  <c:v>21.662405362895427</c:v>
                </c:pt>
                <c:pt idx="9">
                  <c:v>29.058363540186576</c:v>
                </c:pt>
                <c:pt idx="10">
                  <c:v>35.271307376035502</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3.2782560906649021</c:v>
                </c:pt>
                <c:pt idx="1">
                  <c:v>3.7885933849889954</c:v>
                </c:pt>
                <c:pt idx="2">
                  <c:v>5.8314753378123605</c:v>
                </c:pt>
                <c:pt idx="3">
                  <c:v>8.4241792850251365</c:v>
                </c:pt>
                <c:pt idx="4">
                  <c:v>11.077458001166061</c:v>
                </c:pt>
                <c:pt idx="6">
                  <c:v>3.2782560906649021</c:v>
                </c:pt>
                <c:pt idx="7">
                  <c:v>3.7885933849889954</c:v>
                </c:pt>
                <c:pt idx="8">
                  <c:v>5.8314753378123605</c:v>
                </c:pt>
                <c:pt idx="9">
                  <c:v>8.4241792850251365</c:v>
                </c:pt>
                <c:pt idx="10">
                  <c:v>11.077458001166061</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26.664400733092684</c:v>
                </c:pt>
                <c:pt idx="1">
                  <c:v>21.306111881495443</c:v>
                </c:pt>
                <c:pt idx="2">
                  <c:v>20.205067755008475</c:v>
                </c:pt>
                <c:pt idx="3">
                  <c:v>17.252138603967758</c:v>
                </c:pt>
                <c:pt idx="4">
                  <c:v>13.728108450195208</c:v>
                </c:pt>
                <c:pt idx="6">
                  <c:v>26.664400733092684</c:v>
                </c:pt>
                <c:pt idx="7">
                  <c:v>21.306111881495443</c:v>
                </c:pt>
                <c:pt idx="8">
                  <c:v>22.228392383376473</c:v>
                </c:pt>
                <c:pt idx="9">
                  <c:v>23.09794894656045</c:v>
                </c:pt>
                <c:pt idx="10">
                  <c:v>25.258617778498191</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92.659568227346014</c:v>
                </c:pt>
                <c:pt idx="1">
                  <c:v>112.72084867034415</c:v>
                </c:pt>
                <c:pt idx="2">
                  <c:v>106.89573008224077</c:v>
                </c:pt>
                <c:pt idx="3">
                  <c:v>91.273138695315907</c:v>
                </c:pt>
                <c:pt idx="4">
                  <c:v>72.629114300694923</c:v>
                </c:pt>
                <c:pt idx="6">
                  <c:v>92.659568227346014</c:v>
                </c:pt>
                <c:pt idx="7">
                  <c:v>112.72084867034415</c:v>
                </c:pt>
                <c:pt idx="8">
                  <c:v>117.6002110552958</c:v>
                </c:pt>
                <c:pt idx="9">
                  <c:v>122.20063530511372</c:v>
                </c:pt>
                <c:pt idx="10">
                  <c:v>133.63174135516275</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0.53125275171718644</c:v>
                </c:pt>
                <c:pt idx="1">
                  <c:v>5.6807345999249996</c:v>
                </c:pt>
                <c:pt idx="2">
                  <c:v>13.971988343259104</c:v>
                </c:pt>
                <c:pt idx="3">
                  <c:v>25.767503421664941</c:v>
                </c:pt>
                <c:pt idx="4">
                  <c:v>36.270461225094863</c:v>
                </c:pt>
                <c:pt idx="6">
                  <c:v>0.53125275171718644</c:v>
                </c:pt>
                <c:pt idx="7">
                  <c:v>5.6807345999249996</c:v>
                </c:pt>
                <c:pt idx="8">
                  <c:v>15.371135748502482</c:v>
                </c:pt>
                <c:pt idx="9">
                  <c:v>29.809934506478413</c:v>
                </c:pt>
                <c:pt idx="10">
                  <c:v>44.243913424331112</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11.767789562135125</c:v>
                </c:pt>
                <c:pt idx="1">
                  <c:v>9.9332548636701663</c:v>
                </c:pt>
                <c:pt idx="2">
                  <c:v>9.4199302371323217</c:v>
                </c:pt>
                <c:pt idx="3">
                  <c:v>8.0432267815795573</c:v>
                </c:pt>
                <c:pt idx="4">
                  <c:v>6.4002667774558697</c:v>
                </c:pt>
                <c:pt idx="6">
                  <c:v>11.767789562135125</c:v>
                </c:pt>
                <c:pt idx="7">
                  <c:v>9.9332548636701663</c:v>
                </c:pt>
                <c:pt idx="8">
                  <c:v>10.363236989547131</c:v>
                </c:pt>
                <c:pt idx="9">
                  <c:v>10.768638360220741</c:v>
                </c:pt>
                <c:pt idx="10">
                  <c:v>11.775977207543068</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0.91448582588275806</c:v>
                </c:pt>
                <c:pt idx="3">
                  <c:v>1.2120963462165066</c:v>
                </c:pt>
                <c:pt idx="4">
                  <c:v>1.4570907419974535</c:v>
                </c:pt>
                <c:pt idx="6">
                  <c:v>0.53452578037785492</c:v>
                </c:pt>
                <c:pt idx="7">
                  <c:v>0.62821600822404911</c:v>
                </c:pt>
                <c:pt idx="8">
                  <c:v>1.0060619451137058</c:v>
                </c:pt>
                <c:pt idx="9">
                  <c:v>1.4766790125020326</c:v>
                </c:pt>
                <c:pt idx="10">
                  <c:v>1.9789641389984713</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82.003054528266361</c:v>
                </c:pt>
                <c:pt idx="1">
                  <c:v>94.768749402878385</c:v>
                </c:pt>
                <c:pt idx="2">
                  <c:v>145.86987010214884</c:v>
                </c:pt>
                <c:pt idx="3">
                  <c:v>210.72436507719482</c:v>
                </c:pt>
                <c:pt idx="4">
                  <c:v>277.09409130388002</c:v>
                </c:pt>
                <c:pt idx="6">
                  <c:v>82.003054528266361</c:v>
                </c:pt>
                <c:pt idx="7">
                  <c:v>94.76874940287837</c:v>
                </c:pt>
                <c:pt idx="8">
                  <c:v>136.14521209533891</c:v>
                </c:pt>
                <c:pt idx="9">
                  <c:v>182.62778306690217</c:v>
                </c:pt>
                <c:pt idx="10">
                  <c:v>221.67527304310403</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9.319793711684472</c:v>
                </c:pt>
                <c:pt idx="1">
                  <c:v>10.770637750386491</c:v>
                </c:pt>
                <c:pt idx="2">
                  <c:v>16.578371451195483</c:v>
                </c:pt>
                <c:pt idx="3">
                  <c:v>23.949200719933991</c:v>
                </c:pt>
                <c:pt idx="4">
                  <c:v>31.492238728603127</c:v>
                </c:pt>
                <c:pt idx="6">
                  <c:v>9.319793711684472</c:v>
                </c:pt>
                <c:pt idx="7">
                  <c:v>10.77063775038649</c:v>
                </c:pt>
                <c:pt idx="8">
                  <c:v>15.47314668778245</c:v>
                </c:pt>
                <c:pt idx="9">
                  <c:v>20.755973957276126</c:v>
                </c:pt>
                <c:pt idx="10">
                  <c:v>25.193790982882504</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2.3416114933320729</c:v>
                </c:pt>
                <c:pt idx="1">
                  <c:v>2.7061381321349973</c:v>
                </c:pt>
                <c:pt idx="2">
                  <c:v>4.1653395270088289</c:v>
                </c:pt>
                <c:pt idx="3">
                  <c:v>6.0172709178750985</c:v>
                </c:pt>
                <c:pt idx="4">
                  <c:v>7.9124700008329016</c:v>
                </c:pt>
                <c:pt idx="6">
                  <c:v>2.3416114933320729</c:v>
                </c:pt>
                <c:pt idx="7">
                  <c:v>2.7061381321349969</c:v>
                </c:pt>
                <c:pt idx="8">
                  <c:v>4.1653395270088289</c:v>
                </c:pt>
                <c:pt idx="9">
                  <c:v>6.0172709178750976</c:v>
                </c:pt>
                <c:pt idx="10">
                  <c:v>7.9124700008329016</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1.0665760293237074</c:v>
                </c:pt>
                <c:pt idx="1">
                  <c:v>0.85224447525981772</c:v>
                </c:pt>
                <c:pt idx="2">
                  <c:v>0.80820271020033896</c:v>
                </c:pt>
                <c:pt idx="3">
                  <c:v>0.69008554415871037</c:v>
                </c:pt>
                <c:pt idx="4">
                  <c:v>0.54912433800780835</c:v>
                </c:pt>
                <c:pt idx="6">
                  <c:v>1.0665760293237074</c:v>
                </c:pt>
                <c:pt idx="7">
                  <c:v>0.85224447525981772</c:v>
                </c:pt>
                <c:pt idx="8">
                  <c:v>0.88913569533505887</c:v>
                </c:pt>
                <c:pt idx="9">
                  <c:v>0.92391795786241804</c:v>
                </c:pt>
                <c:pt idx="10">
                  <c:v>1.0103447111399277</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6.6185405876675727</c:v>
                </c:pt>
                <c:pt idx="1">
                  <c:v>8.0514891907388684</c:v>
                </c:pt>
                <c:pt idx="2">
                  <c:v>7.6354092915886271</c:v>
                </c:pt>
                <c:pt idx="3">
                  <c:v>6.5195099068082794</c:v>
                </c:pt>
                <c:pt idx="4">
                  <c:v>5.1877938786210658</c:v>
                </c:pt>
                <c:pt idx="6">
                  <c:v>6.6185405876675727</c:v>
                </c:pt>
                <c:pt idx="7">
                  <c:v>8.0514891907388684</c:v>
                </c:pt>
                <c:pt idx="8">
                  <c:v>8.4000150753782723</c:v>
                </c:pt>
                <c:pt idx="9">
                  <c:v>8.7286168075081232</c:v>
                </c:pt>
                <c:pt idx="10">
                  <c:v>9.5451243825116254</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2.1250110068687458E-2</c:v>
                </c:pt>
                <c:pt idx="1">
                  <c:v>0.22722938399699999</c:v>
                </c:pt>
                <c:pt idx="2">
                  <c:v>0.55887953373036414</c:v>
                </c:pt>
                <c:pt idx="3">
                  <c:v>1.0307001368665976</c:v>
                </c:pt>
                <c:pt idx="4">
                  <c:v>1.4508184490037945</c:v>
                </c:pt>
                <c:pt idx="6">
                  <c:v>2.1250110068687458E-2</c:v>
                </c:pt>
                <c:pt idx="7">
                  <c:v>0.22722938399699999</c:v>
                </c:pt>
                <c:pt idx="8">
                  <c:v>0.61484542994009928</c:v>
                </c:pt>
                <c:pt idx="9">
                  <c:v>1.1923973802591366</c:v>
                </c:pt>
                <c:pt idx="10">
                  <c:v>1.7697565369732444</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114.80427633957291</c:v>
                </c:pt>
                <c:pt idx="1">
                  <c:v>132.67624916402971</c:v>
                </c:pt>
                <c:pt idx="2">
                  <c:v>204.21781814300834</c:v>
                </c:pt>
                <c:pt idx="3">
                  <c:v>295.01411110807271</c:v>
                </c:pt>
                <c:pt idx="4">
                  <c:v>387.93172782543201</c:v>
                </c:pt>
                <c:pt idx="6">
                  <c:v>114.80427633957291</c:v>
                </c:pt>
                <c:pt idx="7">
                  <c:v>132.67624916402971</c:v>
                </c:pt>
                <c:pt idx="8">
                  <c:v>190.60329693347444</c:v>
                </c:pt>
                <c:pt idx="9">
                  <c:v>255.67889629366303</c:v>
                </c:pt>
                <c:pt idx="10">
                  <c:v>310.34538226034562</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13.047711196358261</c:v>
                </c:pt>
                <c:pt idx="1">
                  <c:v>15.078892850541084</c:v>
                </c:pt>
                <c:pt idx="2">
                  <c:v>23.209720031673672</c:v>
                </c:pt>
                <c:pt idx="3">
                  <c:v>33.528881007907586</c:v>
                </c:pt>
                <c:pt idx="4">
                  <c:v>44.089134220044372</c:v>
                </c:pt>
                <c:pt idx="6">
                  <c:v>13.047711196358261</c:v>
                </c:pt>
                <c:pt idx="7">
                  <c:v>15.078892850541084</c:v>
                </c:pt>
                <c:pt idx="8">
                  <c:v>21.662405362895427</c:v>
                </c:pt>
                <c:pt idx="9">
                  <c:v>29.058363540186576</c:v>
                </c:pt>
                <c:pt idx="10">
                  <c:v>35.271307376035502</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3.2782560906649021</c:v>
                </c:pt>
                <c:pt idx="1">
                  <c:v>3.7885933849889954</c:v>
                </c:pt>
                <c:pt idx="2">
                  <c:v>5.8314753378123605</c:v>
                </c:pt>
                <c:pt idx="3">
                  <c:v>8.4241792850251365</c:v>
                </c:pt>
                <c:pt idx="4">
                  <c:v>11.077458001166061</c:v>
                </c:pt>
                <c:pt idx="6">
                  <c:v>3.2782560906649021</c:v>
                </c:pt>
                <c:pt idx="7">
                  <c:v>3.7885933849889954</c:v>
                </c:pt>
                <c:pt idx="8">
                  <c:v>5.8314753378123605</c:v>
                </c:pt>
                <c:pt idx="9">
                  <c:v>8.4241792850251365</c:v>
                </c:pt>
                <c:pt idx="10">
                  <c:v>11.077458001166061</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26.664400733092684</c:v>
                </c:pt>
                <c:pt idx="1">
                  <c:v>21.306111881495443</c:v>
                </c:pt>
                <c:pt idx="2">
                  <c:v>20.205067755008475</c:v>
                </c:pt>
                <c:pt idx="3">
                  <c:v>17.252138603967758</c:v>
                </c:pt>
                <c:pt idx="4">
                  <c:v>13.728108450195208</c:v>
                </c:pt>
                <c:pt idx="6">
                  <c:v>26.664400733092684</c:v>
                </c:pt>
                <c:pt idx="7">
                  <c:v>21.306111881495443</c:v>
                </c:pt>
                <c:pt idx="8">
                  <c:v>22.228392383376473</c:v>
                </c:pt>
                <c:pt idx="9">
                  <c:v>23.09794894656045</c:v>
                </c:pt>
                <c:pt idx="10">
                  <c:v>25.258617778498191</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92.659568227346014</c:v>
                </c:pt>
                <c:pt idx="1">
                  <c:v>112.72084867034415</c:v>
                </c:pt>
                <c:pt idx="2">
                  <c:v>106.89573008224077</c:v>
                </c:pt>
                <c:pt idx="3">
                  <c:v>91.273138695315907</c:v>
                </c:pt>
                <c:pt idx="4">
                  <c:v>72.629114300694923</c:v>
                </c:pt>
                <c:pt idx="6">
                  <c:v>92.659568227346014</c:v>
                </c:pt>
                <c:pt idx="7">
                  <c:v>112.72084867034415</c:v>
                </c:pt>
                <c:pt idx="8">
                  <c:v>117.6002110552958</c:v>
                </c:pt>
                <c:pt idx="9">
                  <c:v>122.20063530511372</c:v>
                </c:pt>
                <c:pt idx="10">
                  <c:v>133.63174135516275</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0.53125275171718644</c:v>
                </c:pt>
                <c:pt idx="1">
                  <c:v>5.6807345999249996</c:v>
                </c:pt>
                <c:pt idx="2">
                  <c:v>13.971988343259104</c:v>
                </c:pt>
                <c:pt idx="3">
                  <c:v>25.767503421664941</c:v>
                </c:pt>
                <c:pt idx="4">
                  <c:v>36.270461225094863</c:v>
                </c:pt>
                <c:pt idx="6">
                  <c:v>0.53125275171718644</c:v>
                </c:pt>
                <c:pt idx="7">
                  <c:v>5.6807345999249996</c:v>
                </c:pt>
                <c:pt idx="8">
                  <c:v>15.371135748502482</c:v>
                </c:pt>
                <c:pt idx="9">
                  <c:v>29.809934506478413</c:v>
                </c:pt>
                <c:pt idx="10">
                  <c:v>44.243913424331112</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11.767789562135125</c:v>
                </c:pt>
                <c:pt idx="1">
                  <c:v>9.9332548636701663</c:v>
                </c:pt>
                <c:pt idx="2">
                  <c:v>9.4199302371323217</c:v>
                </c:pt>
                <c:pt idx="3">
                  <c:v>8.0432267815795573</c:v>
                </c:pt>
                <c:pt idx="4">
                  <c:v>6.4002667774558697</c:v>
                </c:pt>
                <c:pt idx="6">
                  <c:v>11.767789562135125</c:v>
                </c:pt>
                <c:pt idx="7">
                  <c:v>9.9332548636701663</c:v>
                </c:pt>
                <c:pt idx="8">
                  <c:v>10.363236989547131</c:v>
                </c:pt>
                <c:pt idx="9">
                  <c:v>10.768638360220741</c:v>
                </c:pt>
                <c:pt idx="10">
                  <c:v>11.775977207543068</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0.91448582588275806</c:v>
                </c:pt>
                <c:pt idx="3">
                  <c:v>1.2120963462165066</c:v>
                </c:pt>
                <c:pt idx="4">
                  <c:v>1.4570907419974535</c:v>
                </c:pt>
                <c:pt idx="6">
                  <c:v>0.53452578037785492</c:v>
                </c:pt>
                <c:pt idx="7">
                  <c:v>0.62821600822404911</c:v>
                </c:pt>
                <c:pt idx="8">
                  <c:v>1.0060619451137058</c:v>
                </c:pt>
                <c:pt idx="9">
                  <c:v>1.4766790125020326</c:v>
                </c:pt>
                <c:pt idx="10">
                  <c:v>1.9789641389984713</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0.02</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0.53</c:v>
                </c:pt>
                <c:pt idx="8">
                  <c:v>0.50349999999999995</c:v>
                </c:pt>
                <c:pt idx="9">
                  <c:v>0.47832499999999994</c:v>
                </c:pt>
                <c:pt idx="10">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0.76</c:v>
                </c:pt>
                <c:pt idx="1">
                  <c:v>0.76</c:v>
                </c:pt>
                <c:pt idx="2">
                  <c:v>0.76</c:v>
                </c:pt>
                <c:pt idx="3">
                  <c:v>0.76</c:v>
                </c:pt>
                <c:pt idx="4">
                  <c:v>0.76</c:v>
                </c:pt>
                <c:pt idx="6">
                  <c:v>0.76</c:v>
                </c:pt>
                <c:pt idx="7">
                  <c:v>0.76</c:v>
                </c:pt>
                <c:pt idx="8">
                  <c:v>0.74099999999999999</c:v>
                </c:pt>
                <c:pt idx="9">
                  <c:v>0.72247499999999998</c:v>
                </c:pt>
                <c:pt idx="10">
                  <c:v>0.70441312499999997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0.25</c:v>
                </c:pt>
                <c:pt idx="8">
                  <c:v>0.23749999999999999</c:v>
                </c:pt>
                <c:pt idx="9">
                  <c:v>0.22562499999999999</c:v>
                </c:pt>
                <c:pt idx="10">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0.31311637080867849</c:v>
                </c:pt>
                <c:pt idx="8">
                  <c:v>0.29746055226824453</c:v>
                </c:pt>
                <c:pt idx="9">
                  <c:v>0.28258752465483228</c:v>
                </c:pt>
                <c:pt idx="10">
                  <c:v>0.26845814842209065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0.46158658486300358</c:v>
                </c:pt>
                <c:pt idx="3">
                  <c:v>0.52879537213067773</c:v>
                </c:pt>
                <c:pt idx="4">
                  <c:v>0.59534489494494469</c:v>
                </c:pt>
                <c:pt idx="6">
                  <c:v>0.41283463855351005</c:v>
                </c:pt>
                <c:pt idx="7">
                  <c:v>0.40790316676191524</c:v>
                </c:pt>
                <c:pt idx="8" formatCode="0%">
                  <c:v>0.39770558759286734</c:v>
                </c:pt>
                <c:pt idx="9" formatCode="0%">
                  <c:v>0.38776294790304566</c:v>
                </c:pt>
                <c:pt idx="10"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8.0274119837508469</c:v>
                </c:pt>
                <c:pt idx="8">
                  <c:v>7.6260413845633037</c:v>
                </c:pt>
                <c:pt idx="9">
                  <c:v>7.2447393153351385</c:v>
                </c:pt>
                <c:pt idx="10">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13.418073439870216</c:v>
                </c:pt>
                <c:pt idx="8">
                  <c:v>12.747169767876706</c:v>
                </c:pt>
                <c:pt idx="9">
                  <c:v>12.109811279482869</c:v>
                </c:pt>
                <c:pt idx="10">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15.663966300310799</c:v>
                </c:pt>
                <c:pt idx="8">
                  <c:v>15.272367142803029</c:v>
                </c:pt>
                <c:pt idx="9">
                  <c:v>14.890557964232952</c:v>
                </c:pt>
                <c:pt idx="10">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1.4534975989004102</c:v>
                </c:pt>
                <c:pt idx="4">
                  <c:v>2.3000370272294726</c:v>
                </c:pt>
                <c:pt idx="5">
                  <c:v>3.4578865447130722</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0.13082195391724327</c:v>
                </c:pt>
                <c:pt idx="1">
                  <c:v>0.1405579466861536</c:v>
                </c:pt>
                <c:pt idx="2">
                  <c:v>0.11438467076498339</c:v>
                </c:pt>
                <c:pt idx="3">
                  <c:v>8.1394675297014663E-2</c:v>
                </c:pt>
                <c:pt idx="4">
                  <c:v>5.7622443374910487E-2</c:v>
                </c:pt>
                <c:pt idx="6">
                  <c:v>0.13082195391724327</c:v>
                </c:pt>
                <c:pt idx="7">
                  <c:v>0.1405579466861536</c:v>
                </c:pt>
                <c:pt idx="8">
                  <c:v>0.27166359306683557</c:v>
                </c:pt>
                <c:pt idx="9">
                  <c:v>0.14691738891111147</c:v>
                </c:pt>
                <c:pt idx="10">
                  <c:v>9.8808084777127755E-2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2.605214709517647</c:v>
                </c:pt>
                <c:pt idx="1">
                  <c:v>3.1864854986218929</c:v>
                </c:pt>
                <c:pt idx="2">
                  <c:v>3.9929578826060155</c:v>
                </c:pt>
                <c:pt idx="3">
                  <c:v>4.7385697563679257</c:v>
                </c:pt>
                <c:pt idx="4">
                  <c:v>5.0769975917845169</c:v>
                </c:pt>
                <c:pt idx="6">
                  <c:v>2.605214709517647</c:v>
                </c:pt>
                <c:pt idx="7">
                  <c:v>3.1864854986218929</c:v>
                </c:pt>
                <c:pt idx="8">
                  <c:v>3.6036444890519284</c:v>
                </c:pt>
                <c:pt idx="9">
                  <c:v>3.8595946826226513</c:v>
                </c:pt>
                <c:pt idx="10">
                  <c:v>3.7320597584434507</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3.282625646516963</c:v>
                </c:pt>
                <c:pt idx="1">
                  <c:v>3.7187795948797335</c:v>
                </c:pt>
                <c:pt idx="2">
                  <c:v>6.671690890434518</c:v>
                </c:pt>
                <c:pt idx="3">
                  <c:v>10.66700192756192</c:v>
                </c:pt>
                <c:pt idx="4">
                  <c:v>15.112321520170545</c:v>
                </c:pt>
                <c:pt idx="6">
                  <c:v>3.282625646516963</c:v>
                </c:pt>
                <c:pt idx="7">
                  <c:v>3.7187795948797335</c:v>
                </c:pt>
                <c:pt idx="8">
                  <c:v>5.6046570936211291</c:v>
                </c:pt>
                <c:pt idx="9">
                  <c:v>7.4358439613607015</c:v>
                </c:pt>
                <c:pt idx="10">
                  <c:v>8.8950280518099447</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0.56388331989065976</c:v>
                </c:pt>
                <c:pt idx="3">
                  <c:v>0.69388240100282472</c:v>
                </c:pt>
                <c:pt idx="4">
                  <c:v>0.8291718065787661</c:v>
                </c:pt>
                <c:pt idx="6">
                  <c:v>0.46210357112254363</c:v>
                </c:pt>
                <c:pt idx="7">
                  <c:v>0.45258326308817937</c:v>
                </c:pt>
                <c:pt idx="8">
                  <c:v>0.56388331989065976</c:v>
                </c:pt>
                <c:pt idx="9">
                  <c:v>0.69388240100282472</c:v>
                </c:pt>
                <c:pt idx="10">
                  <c:v>0.8291718065787661</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6.4807658810743973</c:v>
                </c:pt>
                <c:pt idx="1">
                  <c:v>7.49840630327596</c:v>
                </c:pt>
                <c:pt idx="2">
                  <c:v>11.342916763696177</c:v>
                </c:pt>
                <c:pt idx="3">
                  <c:v>16.180848760229683</c:v>
                </c:pt>
                <c:pt idx="4">
                  <c:v>21.076113361908739</c:v>
                </c:pt>
                <c:pt idx="6">
                  <c:v>6.4807658810743973</c:v>
                </c:pt>
                <c:pt idx="7">
                  <c:v>7.49840630327596</c:v>
                </c:pt>
                <c:pt idx="8">
                  <c:v>10.043848495630552</c:v>
                </c:pt>
                <c:pt idx="9">
                  <c:v>12.136238433897288</c:v>
                </c:pt>
                <c:pt idx="10">
                  <c:v>13.555067701609289</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118.36909055193152</c:v>
                </c:pt>
                <c:pt idx="1">
                  <c:v>126.43014545214132</c:v>
                </c:pt>
                <c:pt idx="2">
                  <c:v>171.97679188830293</c:v>
                </c:pt>
                <c:pt idx="3">
                  <c:v>226.70093715927024</c:v>
                </c:pt>
                <c:pt idx="4">
                  <c:v>279.0876183013587</c:v>
                </c:pt>
                <c:pt idx="6">
                  <c:v>123.8549883701986</c:v>
                </c:pt>
                <c:pt idx="7">
                  <c:v>126.43014545214132</c:v>
                </c:pt>
                <c:pt idx="8">
                  <c:v>152.28083556242578</c:v>
                </c:pt>
                <c:pt idx="9">
                  <c:v>170.03413524976398</c:v>
                </c:pt>
                <c:pt idx="10">
                  <c:v>179.49474344700531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0.25414691943127965</c:v>
                </c:pt>
                <c:pt idx="8">
                  <c:v>0.22936759478672983</c:v>
                </c:pt>
                <c:pt idx="9">
                  <c:v>0.20700425429502367</c:v>
                </c:pt>
                <c:pt idx="10">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0.72585308056872033</c:v>
                </c:pt>
                <c:pt idx="8">
                  <c:v>0.70063240521327019</c:v>
                </c:pt>
                <c:pt idx="9">
                  <c:v>0.64299574570497631</c:v>
                </c:pt>
                <c:pt idx="10">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0.53206565737051803</c:v>
                </c:pt>
                <c:pt idx="8">
                  <c:v>0.48018925577689242</c:v>
                </c:pt>
                <c:pt idx="9">
                  <c:v>0.43337080333864531</c:v>
                </c:pt>
                <c:pt idx="10">
                  <c:v>0.3911171500131273</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0.44593434262948195</c:v>
                </c:pt>
                <c:pt idx="8">
                  <c:v>0.43981074422310762</c:v>
                </c:pt>
                <c:pt idx="9">
                  <c:v>0.39662919666135465</c:v>
                </c:pt>
                <c:pt idx="10">
                  <c:v>0.32888284998687267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0.91563884160628617</c:v>
                </c:pt>
                <c:pt idx="3">
                  <c:v>1.0489593889046893</c:v>
                </c:pt>
                <c:pt idx="4">
                  <c:v>1.1809721682561338</c:v>
                </c:pt>
                <c:pt idx="6">
                  <c:v>0.81893071119533589</c:v>
                </c:pt>
                <c:pt idx="7">
                  <c:v>0.80914826242679105</c:v>
                </c:pt>
                <c:pt idx="8">
                  <c:v>0.76919656696946803</c:v>
                </c:pt>
                <c:pt idx="9">
                  <c:v>0.73121748647535068</c:v>
                </c:pt>
                <c:pt idx="10">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4.93611583937138E-2</c:v>
                </c:pt>
                <c:pt idx="3">
                  <c:v>-8.895938890468913E-2</c:v>
                </c:pt>
                <c:pt idx="4">
                  <c:v>-0.22597216825613375</c:v>
                </c:pt>
                <c:pt idx="6" formatCode="0%">
                  <c:v>0.1760692888046641</c:v>
                </c:pt>
                <c:pt idx="7">
                  <c:v>0.16585173757320892</c:v>
                </c:pt>
                <c:pt idx="8">
                  <c:v>0.19080343303053193</c:v>
                </c:pt>
                <c:pt idx="9">
                  <c:v>0.18878251352464925</c:v>
                </c:pt>
                <c:pt idx="10">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81.009438001127293</c:v>
                </c:pt>
                <c:pt idx="1">
                  <c:v>83.52813729379011</c:v>
                </c:pt>
                <c:pt idx="2">
                  <c:v>86.046836586452926</c:v>
                </c:pt>
                <c:pt idx="3">
                  <c:v>88.565535879115743</c:v>
                </c:pt>
                <c:pt idx="4">
                  <c:v>90.686795310603856</c:v>
                </c:pt>
                <c:pt idx="5">
                  <c:v>92.808054742091983</c:v>
                </c:pt>
                <c:pt idx="6">
                  <c:v>93.443648036302946</c:v>
                </c:pt>
                <c:pt idx="7">
                  <c:v>94.079241330513909</c:v>
                </c:pt>
                <c:pt idx="8">
                  <c:v>94.714834624724887</c:v>
                </c:pt>
                <c:pt idx="9">
                  <c:v>98.857872371786286</c:v>
                </c:pt>
                <c:pt idx="10">
                  <c:v>103.00091011884768</c:v>
                </c:pt>
                <c:pt idx="11">
                  <c:v>107.14394786590908</c:v>
                </c:pt>
                <c:pt idx="12">
                  <c:v>111.28698561297048</c:v>
                </c:pt>
                <c:pt idx="13">
                  <c:v>115.43002336003188</c:v>
                </c:pt>
                <c:pt idx="14">
                  <c:v>119.57306110709328</c:v>
                </c:pt>
                <c:pt idx="15">
                  <c:v>123.71609885415468</c:v>
                </c:pt>
                <c:pt idx="16">
                  <c:v>127.85913660121608</c:v>
                </c:pt>
                <c:pt idx="17">
                  <c:v>132.00217434827749</c:v>
                </c:pt>
                <c:pt idx="18">
                  <c:v>136.14521209533891</c:v>
                </c:pt>
                <c:pt idx="19">
                  <c:v>140.79346919249522</c:v>
                </c:pt>
                <c:pt idx="20">
                  <c:v>145.44172628965154</c:v>
                </c:pt>
                <c:pt idx="21">
                  <c:v>150.08998338680786</c:v>
                </c:pt>
                <c:pt idx="22">
                  <c:v>154.73824048396418</c:v>
                </c:pt>
                <c:pt idx="23">
                  <c:v>159.38649758112049</c:v>
                </c:pt>
                <c:pt idx="24">
                  <c:v>164.03475467827681</c:v>
                </c:pt>
                <c:pt idx="25">
                  <c:v>168.68301177543313</c:v>
                </c:pt>
                <c:pt idx="26">
                  <c:v>173.33126887258945</c:v>
                </c:pt>
                <c:pt idx="27">
                  <c:v>177.97952596974577</c:v>
                </c:pt>
                <c:pt idx="28">
                  <c:v>182.62778306690217</c:v>
                </c:pt>
                <c:pt idx="29">
                  <c:v>202.1515280550031</c:v>
                </c:pt>
                <c:pt idx="30">
                  <c:v>221.67527304310403</c:v>
                </c:pt>
                <c:pt idx="31">
                  <c:v>221.67527304310403</c:v>
                </c:pt>
                <c:pt idx="32">
                  <c:v>221.67527304310403</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9.3016229013555076</c:v>
                </c:pt>
                <c:pt idx="1">
                  <c:v>9.5908236611723368</c:v>
                </c:pt>
                <c:pt idx="2">
                  <c:v>9.8800244209891659</c:v>
                </c:pt>
                <c:pt idx="3">
                  <c:v>10.169225180805997</c:v>
                </c:pt>
                <c:pt idx="4">
                  <c:v>10.41279131080892</c:v>
                </c:pt>
                <c:pt idx="5">
                  <c:v>10.656357440811842</c:v>
                </c:pt>
                <c:pt idx="6">
                  <c:v>10.712422470054557</c:v>
                </c:pt>
                <c:pt idx="7">
                  <c:v>10.768487499297272</c:v>
                </c:pt>
                <c:pt idx="8">
                  <c:v>10.824552528539989</c:v>
                </c:pt>
                <c:pt idx="9">
                  <c:v>11.289411944464236</c:v>
                </c:pt>
                <c:pt idx="10">
                  <c:v>11.754271360388483</c:v>
                </c:pt>
                <c:pt idx="11">
                  <c:v>12.219130776312729</c:v>
                </c:pt>
                <c:pt idx="12">
                  <c:v>12.683990192236976</c:v>
                </c:pt>
                <c:pt idx="13">
                  <c:v>13.148849608161223</c:v>
                </c:pt>
                <c:pt idx="14">
                  <c:v>13.61370902408547</c:v>
                </c:pt>
                <c:pt idx="15">
                  <c:v>14.078568440009716</c:v>
                </c:pt>
                <c:pt idx="16">
                  <c:v>14.543427855933963</c:v>
                </c:pt>
                <c:pt idx="17">
                  <c:v>15.00828727185821</c:v>
                </c:pt>
                <c:pt idx="18">
                  <c:v>15.47314668778245</c:v>
                </c:pt>
                <c:pt idx="19">
                  <c:v>16.001429414731817</c:v>
                </c:pt>
                <c:pt idx="20">
                  <c:v>16.529712141681184</c:v>
                </c:pt>
                <c:pt idx="21">
                  <c:v>17.057994868630551</c:v>
                </c:pt>
                <c:pt idx="22">
                  <c:v>17.586277595579919</c:v>
                </c:pt>
                <c:pt idx="23">
                  <c:v>18.114560322529286</c:v>
                </c:pt>
                <c:pt idx="24">
                  <c:v>18.642843049478653</c:v>
                </c:pt>
                <c:pt idx="25">
                  <c:v>19.171125776428021</c:v>
                </c:pt>
                <c:pt idx="26">
                  <c:v>19.699408503377388</c:v>
                </c:pt>
                <c:pt idx="27">
                  <c:v>20.227691230326755</c:v>
                </c:pt>
                <c:pt idx="28">
                  <c:v>20.755973957276126</c:v>
                </c:pt>
                <c:pt idx="29">
                  <c:v>22.974882470079315</c:v>
                </c:pt>
                <c:pt idx="30">
                  <c:v>25.193790982882504</c:v>
                </c:pt>
                <c:pt idx="31">
                  <c:v>25.193790982882504</c:v>
                </c:pt>
                <c:pt idx="32">
                  <c:v>25.193790982882504</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3.1707811479382442</c:v>
                </c:pt>
                <c:pt idx="1">
                  <c:v>2.9655315533815689</c:v>
                </c:pt>
                <c:pt idx="2">
                  <c:v>2.7602819588248937</c:v>
                </c:pt>
                <c:pt idx="3">
                  <c:v>2.555032364268218</c:v>
                </c:pt>
                <c:pt idx="4">
                  <c:v>2.6162287026256017</c:v>
                </c:pt>
                <c:pt idx="5">
                  <c:v>2.6774250409829849</c:v>
                </c:pt>
                <c:pt idx="6">
                  <c:v>2.6869960713669889</c:v>
                </c:pt>
                <c:pt idx="7">
                  <c:v>2.6965671017509929</c:v>
                </c:pt>
                <c:pt idx="8">
                  <c:v>2.7061381321349973</c:v>
                </c:pt>
                <c:pt idx="9">
                  <c:v>2.8520582716223806</c:v>
                </c:pt>
                <c:pt idx="10">
                  <c:v>2.9979784111097638</c:v>
                </c:pt>
                <c:pt idx="11">
                  <c:v>3.1438985505971471</c:v>
                </c:pt>
                <c:pt idx="12">
                  <c:v>3.2898186900845303</c:v>
                </c:pt>
                <c:pt idx="13">
                  <c:v>3.4357388295719136</c:v>
                </c:pt>
                <c:pt idx="14">
                  <c:v>3.5816589690592968</c:v>
                </c:pt>
                <c:pt idx="15">
                  <c:v>3.7275791085466801</c:v>
                </c:pt>
                <c:pt idx="16">
                  <c:v>3.8734992480340633</c:v>
                </c:pt>
                <c:pt idx="17">
                  <c:v>4.0194193875214461</c:v>
                </c:pt>
                <c:pt idx="18">
                  <c:v>4.1653395270088289</c:v>
                </c:pt>
                <c:pt idx="19">
                  <c:v>4.3505326660954555</c:v>
                </c:pt>
                <c:pt idx="20">
                  <c:v>4.5357258051820821</c:v>
                </c:pt>
                <c:pt idx="21">
                  <c:v>4.7209189442687087</c:v>
                </c:pt>
                <c:pt idx="22">
                  <c:v>4.9061120833553353</c:v>
                </c:pt>
                <c:pt idx="23">
                  <c:v>5.0913052224419619</c:v>
                </c:pt>
                <c:pt idx="24">
                  <c:v>5.2764983615285885</c:v>
                </c:pt>
                <c:pt idx="25">
                  <c:v>5.4616915006152151</c:v>
                </c:pt>
                <c:pt idx="26">
                  <c:v>5.6468846397018417</c:v>
                </c:pt>
                <c:pt idx="27">
                  <c:v>5.8320777787884683</c:v>
                </c:pt>
                <c:pt idx="28">
                  <c:v>6.0172709178750976</c:v>
                </c:pt>
                <c:pt idx="29">
                  <c:v>6.9648704593539996</c:v>
                </c:pt>
                <c:pt idx="30">
                  <c:v>7.9124700008329016</c:v>
                </c:pt>
                <c:pt idx="31">
                  <c:v>7.9124700008329016</c:v>
                </c:pt>
                <c:pt idx="32">
                  <c:v>7.9124700008329016</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1.4990333520535337</c:v>
                </c:pt>
                <c:pt idx="1">
                  <c:v>0.6286609931450593</c:v>
                </c:pt>
                <c:pt idx="2">
                  <c:v>0.63933049657252961</c:v>
                </c:pt>
                <c:pt idx="3">
                  <c:v>0.65</c:v>
                </c:pt>
                <c:pt idx="4">
                  <c:v>0.66077214814486951</c:v>
                </c:pt>
                <c:pt idx="5">
                  <c:v>0.671544296289739</c:v>
                </c:pt>
                <c:pt idx="6">
                  <c:v>0.87798396883399099</c:v>
                </c:pt>
                <c:pt idx="7">
                  <c:v>1.0844236413782431</c:v>
                </c:pt>
                <c:pt idx="8">
                  <c:v>1.290863313922495</c:v>
                </c:pt>
                <c:pt idx="9">
                  <c:v>1.2506905520637515</c:v>
                </c:pt>
                <c:pt idx="10">
                  <c:v>1.2105177902050079</c:v>
                </c:pt>
                <c:pt idx="11">
                  <c:v>1.1703450283462644</c:v>
                </c:pt>
                <c:pt idx="12">
                  <c:v>1.1301722664875209</c:v>
                </c:pt>
                <c:pt idx="13">
                  <c:v>1.0899995046287774</c:v>
                </c:pt>
                <c:pt idx="14">
                  <c:v>1.0498267427700338</c:v>
                </c:pt>
                <c:pt idx="15">
                  <c:v>1.0096539809112903</c:v>
                </c:pt>
                <c:pt idx="16">
                  <c:v>0.96948121905254669</c:v>
                </c:pt>
                <c:pt idx="17">
                  <c:v>0.92930845719380306</c:v>
                </c:pt>
                <c:pt idx="18">
                  <c:v>0.88913569533505887</c:v>
                </c:pt>
                <c:pt idx="19">
                  <c:v>0.89261392158779485</c:v>
                </c:pt>
                <c:pt idx="20">
                  <c:v>0.89609214784053082</c:v>
                </c:pt>
                <c:pt idx="21">
                  <c:v>0.89957037409326679</c:v>
                </c:pt>
                <c:pt idx="22">
                  <c:v>0.90304860034600276</c:v>
                </c:pt>
                <c:pt idx="23">
                  <c:v>0.90652682659873873</c:v>
                </c:pt>
                <c:pt idx="24">
                  <c:v>0.91000505285147471</c:v>
                </c:pt>
                <c:pt idx="25">
                  <c:v>0.91348327910421068</c:v>
                </c:pt>
                <c:pt idx="26">
                  <c:v>0.91696150535694665</c:v>
                </c:pt>
                <c:pt idx="27">
                  <c:v>0.92043973160968262</c:v>
                </c:pt>
                <c:pt idx="28">
                  <c:v>0.92391795786241804</c:v>
                </c:pt>
                <c:pt idx="29">
                  <c:v>0.96713133450117295</c:v>
                </c:pt>
                <c:pt idx="30">
                  <c:v>1.0103447111399277</c:v>
                </c:pt>
                <c:pt idx="31">
                  <c:v>1.0103447111399277</c:v>
                </c:pt>
                <c:pt idx="32">
                  <c:v>1.0103447111399277</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6.2486015268855555</c:v>
                </c:pt>
                <c:pt idx="2">
                  <c:v>6.5743007634427784</c:v>
                </c:pt>
                <c:pt idx="3">
                  <c:v>6.9</c:v>
                </c:pt>
                <c:pt idx="4">
                  <c:v>7.0212765000000008</c:v>
                </c:pt>
                <c:pt idx="5">
                  <c:v>7.1425530000000004</c:v>
                </c:pt>
                <c:pt idx="6">
                  <c:v>7.1844490881851719</c:v>
                </c:pt>
                <c:pt idx="7">
                  <c:v>7.2263451763703435</c:v>
                </c:pt>
                <c:pt idx="8">
                  <c:v>7.2682412645555159</c:v>
                </c:pt>
                <c:pt idx="9">
                  <c:v>7.3814186456377913</c:v>
                </c:pt>
                <c:pt idx="10">
                  <c:v>7.4945960267200666</c:v>
                </c:pt>
                <c:pt idx="11">
                  <c:v>7.607773407802342</c:v>
                </c:pt>
                <c:pt idx="12">
                  <c:v>7.7209507888846174</c:v>
                </c:pt>
                <c:pt idx="13">
                  <c:v>7.8341281699668928</c:v>
                </c:pt>
                <c:pt idx="14">
                  <c:v>7.9473055510491681</c:v>
                </c:pt>
                <c:pt idx="15">
                  <c:v>8.0604829321314444</c:v>
                </c:pt>
                <c:pt idx="16">
                  <c:v>8.1736603132137198</c:v>
                </c:pt>
                <c:pt idx="17">
                  <c:v>8.2868376942959951</c:v>
                </c:pt>
                <c:pt idx="18">
                  <c:v>8.4000150753782723</c:v>
                </c:pt>
                <c:pt idx="19">
                  <c:v>8.432875248591257</c:v>
                </c:pt>
                <c:pt idx="20">
                  <c:v>8.4657354218042418</c:v>
                </c:pt>
                <c:pt idx="21">
                  <c:v>8.4985955950172265</c:v>
                </c:pt>
                <c:pt idx="22">
                  <c:v>8.5314557682302112</c:v>
                </c:pt>
                <c:pt idx="23">
                  <c:v>8.564315941443196</c:v>
                </c:pt>
                <c:pt idx="24">
                  <c:v>8.5971761146561807</c:v>
                </c:pt>
                <c:pt idx="25">
                  <c:v>8.6300362878691654</c:v>
                </c:pt>
                <c:pt idx="26">
                  <c:v>8.6628964610821502</c:v>
                </c:pt>
                <c:pt idx="27">
                  <c:v>8.6957566342951349</c:v>
                </c:pt>
                <c:pt idx="28">
                  <c:v>8.7286168075081232</c:v>
                </c:pt>
                <c:pt idx="29">
                  <c:v>9.1368705950098743</c:v>
                </c:pt>
                <c:pt idx="30">
                  <c:v>9.5451243825116254</c:v>
                </c:pt>
                <c:pt idx="31">
                  <c:v>9.5451243825116254</c:v>
                </c:pt>
                <c:pt idx="32">
                  <c:v>9.5451243825116254</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2.1759818838773513E-2</c:v>
                </c:pt>
                <c:pt idx="2">
                  <c:v>2.2269527608859568E-2</c:v>
                </c:pt>
                <c:pt idx="3">
                  <c:v>2.2779236378945623E-2</c:v>
                </c:pt>
                <c:pt idx="4">
                  <c:v>2.3332554130568846E-2</c:v>
                </c:pt>
                <c:pt idx="5">
                  <c:v>2.3885871882192072E-2</c:v>
                </c:pt>
                <c:pt idx="6">
                  <c:v>9.1667042587128045E-2</c:v>
                </c:pt>
                <c:pt idx="7">
                  <c:v>0.15944821329206402</c:v>
                </c:pt>
                <c:pt idx="8">
                  <c:v>0.22722938399699999</c:v>
                </c:pt>
                <c:pt idx="9">
                  <c:v>0.26599098859130993</c:v>
                </c:pt>
                <c:pt idx="10">
                  <c:v>0.30475259318561987</c:v>
                </c:pt>
                <c:pt idx="11">
                  <c:v>0.34351419777992981</c:v>
                </c:pt>
                <c:pt idx="12">
                  <c:v>0.38227580237423975</c:v>
                </c:pt>
                <c:pt idx="13">
                  <c:v>0.42103740696854969</c:v>
                </c:pt>
                <c:pt idx="14">
                  <c:v>0.45979901156285963</c:v>
                </c:pt>
                <c:pt idx="15">
                  <c:v>0.49856061615716957</c:v>
                </c:pt>
                <c:pt idx="16">
                  <c:v>0.53732222075147951</c:v>
                </c:pt>
                <c:pt idx="17">
                  <c:v>0.57608382534578939</c:v>
                </c:pt>
                <c:pt idx="18">
                  <c:v>0.61484542994009928</c:v>
                </c:pt>
                <c:pt idx="19">
                  <c:v>0.67260062497200301</c:v>
                </c:pt>
                <c:pt idx="20">
                  <c:v>0.73035582000390675</c:v>
                </c:pt>
                <c:pt idx="21">
                  <c:v>0.78811101503581049</c:v>
                </c:pt>
                <c:pt idx="22">
                  <c:v>0.84586621006771423</c:v>
                </c:pt>
                <c:pt idx="23">
                  <c:v>0.90362140509961797</c:v>
                </c:pt>
                <c:pt idx="24">
                  <c:v>0.96137660013152171</c:v>
                </c:pt>
                <c:pt idx="25">
                  <c:v>1.0191317951634253</c:v>
                </c:pt>
                <c:pt idx="26">
                  <c:v>1.0768869901953291</c:v>
                </c:pt>
                <c:pt idx="27">
                  <c:v>1.1346421852272328</c:v>
                </c:pt>
                <c:pt idx="28">
                  <c:v>1.1923973802591366</c:v>
                </c:pt>
                <c:pt idx="29">
                  <c:v>1.4810769586161905</c:v>
                </c:pt>
                <c:pt idx="30">
                  <c:v>1.7697565369732444</c:v>
                </c:pt>
                <c:pt idx="31">
                  <c:v>1.7697565369732444</c:v>
                </c:pt>
                <c:pt idx="32">
                  <c:v>1.7697565369732444</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13.650717462928288</c:v>
                </c:pt>
                <c:pt idx="2">
                  <c:v>12.899493276556735</c:v>
                </c:pt>
                <c:pt idx="3">
                  <c:v>12.148269090185179</c:v>
                </c:pt>
                <c:pt idx="4">
                  <c:v>10.936267314541286</c:v>
                </c:pt>
                <c:pt idx="5">
                  <c:v>9.7242655388973933</c:v>
                </c:pt>
                <c:pt idx="6">
                  <c:v>9.7939286471549849</c:v>
                </c:pt>
                <c:pt idx="7">
                  <c:v>9.8635917554125765</c:v>
                </c:pt>
                <c:pt idx="8">
                  <c:v>9.9332548636701663</c:v>
                </c:pt>
                <c:pt idx="9">
                  <c:v>9.9762530762578621</c:v>
                </c:pt>
                <c:pt idx="10">
                  <c:v>10.019251288845558</c:v>
                </c:pt>
                <c:pt idx="11">
                  <c:v>10.062249501433254</c:v>
                </c:pt>
                <c:pt idx="12">
                  <c:v>10.105247714020949</c:v>
                </c:pt>
                <c:pt idx="13">
                  <c:v>10.148245926608645</c:v>
                </c:pt>
                <c:pt idx="14">
                  <c:v>10.191244139196341</c:v>
                </c:pt>
                <c:pt idx="15">
                  <c:v>10.234242351784037</c:v>
                </c:pt>
                <c:pt idx="16">
                  <c:v>10.277240564371732</c:v>
                </c:pt>
                <c:pt idx="17">
                  <c:v>10.320238776959428</c:v>
                </c:pt>
                <c:pt idx="18">
                  <c:v>10.363236989547131</c:v>
                </c:pt>
                <c:pt idx="19">
                  <c:v>10.403777126614493</c:v>
                </c:pt>
                <c:pt idx="20">
                  <c:v>10.444317263681853</c:v>
                </c:pt>
                <c:pt idx="21">
                  <c:v>10.484857400749213</c:v>
                </c:pt>
                <c:pt idx="22">
                  <c:v>10.525397537816573</c:v>
                </c:pt>
                <c:pt idx="23">
                  <c:v>10.565937674883934</c:v>
                </c:pt>
                <c:pt idx="24">
                  <c:v>10.606477811951294</c:v>
                </c:pt>
                <c:pt idx="25">
                  <c:v>10.647017949018654</c:v>
                </c:pt>
                <c:pt idx="26">
                  <c:v>10.687558086086014</c:v>
                </c:pt>
                <c:pt idx="27">
                  <c:v>10.728098223153374</c:v>
                </c:pt>
                <c:pt idx="28">
                  <c:v>10.768638360220741</c:v>
                </c:pt>
                <c:pt idx="29">
                  <c:v>11.272307783881905</c:v>
                </c:pt>
                <c:pt idx="30">
                  <c:v>11.775977207543068</c:v>
                </c:pt>
                <c:pt idx="31">
                  <c:v>11.775977207543068</c:v>
                </c:pt>
                <c:pt idx="32">
                  <c:v>11.775977207543068</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0.55248564192940541</c:v>
                </c:pt>
                <c:pt idx="2">
                  <c:v>0.57044550348095591</c:v>
                </c:pt>
                <c:pt idx="3">
                  <c:v>0.58840536503250629</c:v>
                </c:pt>
                <c:pt idx="4">
                  <c:v>0.60651580293507878</c:v>
                </c:pt>
                <c:pt idx="5">
                  <c:v>0.62462624083765128</c:v>
                </c:pt>
                <c:pt idx="6">
                  <c:v>0.62582282996645056</c:v>
                </c:pt>
                <c:pt idx="7">
                  <c:v>0.62701941909524983</c:v>
                </c:pt>
                <c:pt idx="8">
                  <c:v>0.62821600822404911</c:v>
                </c:pt>
                <c:pt idx="9">
                  <c:v>0.6660006019130148</c:v>
                </c:pt>
                <c:pt idx="10">
                  <c:v>0.7037851956019805</c:v>
                </c:pt>
                <c:pt idx="11">
                  <c:v>0.74156978929094619</c:v>
                </c:pt>
                <c:pt idx="12">
                  <c:v>0.77935438297991189</c:v>
                </c:pt>
                <c:pt idx="13">
                  <c:v>0.81713897666887758</c:v>
                </c:pt>
                <c:pt idx="14">
                  <c:v>0.85492357035784328</c:v>
                </c:pt>
                <c:pt idx="15">
                  <c:v>0.89270816404680897</c:v>
                </c:pt>
                <c:pt idx="16">
                  <c:v>0.93049275773577467</c:v>
                </c:pt>
                <c:pt idx="17">
                  <c:v>0.96827735142474036</c:v>
                </c:pt>
                <c:pt idx="18">
                  <c:v>1.0060619451137058</c:v>
                </c:pt>
                <c:pt idx="19">
                  <c:v>1.0531236518525384</c:v>
                </c:pt>
                <c:pt idx="20">
                  <c:v>1.100185358591371</c:v>
                </c:pt>
                <c:pt idx="21">
                  <c:v>1.1472470653302036</c:v>
                </c:pt>
                <c:pt idx="22">
                  <c:v>1.1943087720690362</c:v>
                </c:pt>
                <c:pt idx="23">
                  <c:v>1.2413704788078688</c:v>
                </c:pt>
                <c:pt idx="24">
                  <c:v>1.2884321855467014</c:v>
                </c:pt>
                <c:pt idx="25">
                  <c:v>1.3354938922855339</c:v>
                </c:pt>
                <c:pt idx="26">
                  <c:v>1.3825555990243665</c:v>
                </c:pt>
                <c:pt idx="27">
                  <c:v>1.4296173057631991</c:v>
                </c:pt>
                <c:pt idx="28">
                  <c:v>1.4766790125020326</c:v>
                </c:pt>
                <c:pt idx="29">
                  <c:v>1.727821575750252</c:v>
                </c:pt>
                <c:pt idx="30">
                  <c:v>1.9789641389984713</c:v>
                </c:pt>
                <c:pt idx="31">
                  <c:v>1.9789641389984713</c:v>
                </c:pt>
                <c:pt idx="32">
                  <c:v>1.9789641389984713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PTRA!$S$149:$W$149</c:f>
              <c:numCache>
                <c:formatCode>0.0</c:formatCode>
                <c:ptCount val="5"/>
                <c:pt idx="0">
                  <c:v>82.003054528266361</c:v>
                </c:pt>
                <c:pt idx="1">
                  <c:v>94.76874940287837</c:v>
                </c:pt>
                <c:pt idx="2">
                  <c:v>136.14521209533891</c:v>
                </c:pt>
                <c:pt idx="3">
                  <c:v>182.62778306690217</c:v>
                </c:pt>
                <c:pt idx="4">
                  <c:v>221.67527304310403</c:v>
                </c:pt>
              </c:numCache>
            </c:numRef>
          </c:val>
          <c:smooth val="0"/>
          <c:extLst>
            <c:ext xmlns:c16="http://schemas.microsoft.com/office/drawing/2014/chart" uri="{C3380CC4-5D6E-409C-BE32-E72D297353CC}">
              <c16:uniqueId val="{00000000-A8E1-4C28-B798-65D90931AA20}"/>
            </c:ext>
          </c:extLst>
        </c:ser>
        <c:ser>
          <c:idx val="0"/>
          <c:order val="1"/>
          <c:spPr>
            <a:ln w="28575" cap="rnd">
              <a:solidFill>
                <a:schemeClr val="accent1"/>
              </a:solidFill>
              <a:round/>
            </a:ln>
            <a:effectLst/>
          </c:spPr>
          <c:marker>
            <c:symbol val="none"/>
          </c:marker>
          <c:val>
            <c:numRef>
              <c:f>PTRA!$M$149:$Q$149</c:f>
              <c:numCache>
                <c:formatCode>0.0</c:formatCode>
                <c:ptCount val="5"/>
                <c:pt idx="0">
                  <c:v>82.003054528266361</c:v>
                </c:pt>
                <c:pt idx="1">
                  <c:v>94.768749402878385</c:v>
                </c:pt>
                <c:pt idx="2">
                  <c:v>145.86987010214884</c:v>
                </c:pt>
                <c:pt idx="3">
                  <c:v>210.72436507719482</c:v>
                </c:pt>
                <c:pt idx="4">
                  <c:v>277.09409130388002</c:v>
                </c:pt>
              </c:numCache>
            </c:numRef>
          </c:val>
          <c:smooth val="0"/>
          <c:extLst>
            <c:ext xmlns:c16="http://schemas.microsoft.com/office/drawing/2014/chart" uri="{C3380CC4-5D6E-409C-BE32-E72D297353CC}">
              <c16:uniqueId val="{00000001-A8E1-4C28-B798-65D90931AA20}"/>
            </c:ext>
          </c:extLst>
        </c:ser>
        <c:dLbls>
          <c:showLegendKey val="0"/>
          <c:showVal val="0"/>
          <c:showCatName val="0"/>
          <c:showSerName val="0"/>
          <c:showPercent val="0"/>
          <c:showBubbleSize val="0"/>
        </c:dLbls>
        <c:smooth val="0"/>
        <c:axId val="1655065120"/>
        <c:axId val="2069850112"/>
      </c:lineChart>
      <c:catAx>
        <c:axId val="1655065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0112"/>
        <c:crosses val="autoZero"/>
        <c:auto val="1"/>
        <c:lblAlgn val="ctr"/>
        <c:lblOffset val="100"/>
        <c:noMultiLvlLbl val="0"/>
      </c:catAx>
      <c:valAx>
        <c:axId val="206985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6512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PTRA!$G$181:$K$181</c:f>
              <c:numCache>
                <c:formatCode>0.0%</c:formatCode>
                <c:ptCount val="5"/>
                <c:pt idx="0">
                  <c:v>0.54041013652689895</c:v>
                </c:pt>
                <c:pt idx="1">
                  <c:v>0.50211152235356848</c:v>
                </c:pt>
                <c:pt idx="2">
                  <c:v>0.56697772952463987</c:v>
                </c:pt>
                <c:pt idx="3">
                  <c:v>0.6100980639304393</c:v>
                </c:pt>
                <c:pt idx="4">
                  <c:v>0.62186976044523634</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PTRA!$G$182:$K$182</c:f>
              <c:numCache>
                <c:formatCode>0.0%</c:formatCode>
                <c:ptCount val="5"/>
                <c:pt idx="0">
                  <c:v>0.45958986347310105</c:v>
                </c:pt>
                <c:pt idx="1">
                  <c:v>0.49788847764643152</c:v>
                </c:pt>
                <c:pt idx="2">
                  <c:v>0.43302227047536013</c:v>
                </c:pt>
                <c:pt idx="3">
                  <c:v>0.3899019360695607</c:v>
                </c:pt>
                <c:pt idx="4">
                  <c:v>0.37813023955476366</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271742</xdr:colOff>
      <xdr:row>82</xdr:row>
      <xdr:rowOff>80262</xdr:rowOff>
    </xdr:from>
    <xdr:to>
      <xdr:col>33</xdr:col>
      <xdr:colOff>2801</xdr:colOff>
      <xdr:row>96</xdr:row>
      <xdr:rowOff>145256</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61162</xdr:colOff>
      <xdr:row>1</xdr:row>
      <xdr:rowOff>130969</xdr:rowOff>
    </xdr:from>
    <xdr:to>
      <xdr:col>40</xdr:col>
      <xdr:colOff>450734</xdr:colOff>
      <xdr:row>26</xdr:row>
      <xdr:rowOff>71437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19968412" y="321469"/>
          <a:ext cx="9497853" cy="4750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31908</xdr:colOff>
      <xdr:row>141</xdr:row>
      <xdr:rowOff>54293</xdr:rowOff>
    </xdr:from>
    <xdr:to>
      <xdr:col>64</xdr:col>
      <xdr:colOff>150495</xdr:colOff>
      <xdr:row>162</xdr:row>
      <xdr:rowOff>953</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130968</xdr:colOff>
      <xdr:row>145</xdr:row>
      <xdr:rowOff>190499</xdr:rowOff>
    </xdr:from>
    <xdr:to>
      <xdr:col>62</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94848</xdr:colOff>
      <xdr:row>0</xdr:row>
      <xdr:rowOff>0</xdr:rowOff>
    </xdr:from>
    <xdr:to>
      <xdr:col>27</xdr:col>
      <xdr:colOff>405092</xdr:colOff>
      <xdr:row>15</xdr:row>
      <xdr:rowOff>10680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50</xdr:col>
      <xdr:colOff>595312</xdr:colOff>
      <xdr:row>164</xdr:row>
      <xdr:rowOff>30616</xdr:rowOff>
    </xdr:from>
    <xdr:to>
      <xdr:col>61</xdr:col>
      <xdr:colOff>332691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464343</xdr:colOff>
      <xdr:row>140</xdr:row>
      <xdr:rowOff>190499</xdr:rowOff>
    </xdr:from>
    <xdr:to>
      <xdr:col>35</xdr:col>
      <xdr:colOff>101201</xdr:colOff>
      <xdr:row>155</xdr:row>
      <xdr:rowOff>55959</xdr:rowOff>
    </xdr:to>
    <xdr:graphicFrame macro="">
      <xdr:nvGraphicFramePr>
        <xdr:cNvPr id="21" name="Chart 20">
          <a:extLst>
            <a:ext uri="{FF2B5EF4-FFF2-40B4-BE49-F238E27FC236}">
              <a16:creationId xmlns:a16="http://schemas.microsoft.com/office/drawing/2014/main" id="{4FAD850E-BE01-4643-9C5C-01E2C106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38851</xdr:colOff>
      <xdr:row>182</xdr:row>
      <xdr:rowOff>94749</xdr:rowOff>
    </xdr:from>
    <xdr:to>
      <xdr:col>10</xdr:col>
      <xdr:colOff>676776</xdr:colOff>
      <xdr:row>196</xdr:row>
      <xdr:rowOff>137862</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1" t="s">
        <v>216</v>
      </c>
      <c r="B1" s="91" t="s">
        <v>32</v>
      </c>
      <c r="C1" s="91" t="s">
        <v>218</v>
      </c>
      <c r="D1" s="91" t="s">
        <v>214</v>
      </c>
    </row>
    <row r="2" spans="1:4">
      <c r="A2" s="90">
        <v>41499</v>
      </c>
      <c r="B2" s="89" t="s">
        <v>217</v>
      </c>
      <c r="C2" s="89" t="s">
        <v>219</v>
      </c>
      <c r="D2" t="s">
        <v>215</v>
      </c>
    </row>
    <row r="3" spans="1:4">
      <c r="A3" s="90">
        <v>41500</v>
      </c>
      <c r="B3" t="s">
        <v>222</v>
      </c>
      <c r="C3" s="4" t="s">
        <v>223</v>
      </c>
      <c r="D3" s="4" t="s">
        <v>215</v>
      </c>
    </row>
    <row r="4" spans="1:4">
      <c r="A4" s="90">
        <v>41502</v>
      </c>
      <c r="B4" t="s">
        <v>224</v>
      </c>
      <c r="C4" s="4" t="s">
        <v>223</v>
      </c>
      <c r="D4" s="4" t="s">
        <v>215</v>
      </c>
    </row>
    <row r="5" spans="1:4">
      <c r="A5" s="90">
        <v>41505</v>
      </c>
      <c r="B5" t="s">
        <v>226</v>
      </c>
      <c r="C5" s="4" t="s">
        <v>261</v>
      </c>
      <c r="D5" t="s">
        <v>225</v>
      </c>
    </row>
    <row r="7" spans="1:4">
      <c r="A7" s="90">
        <v>41599</v>
      </c>
      <c r="B7" t="s">
        <v>267</v>
      </c>
      <c r="C7" s="4" t="s">
        <v>4</v>
      </c>
      <c r="D7" t="s">
        <v>225</v>
      </c>
    </row>
    <row r="9" spans="1:4">
      <c r="A9" s="90" t="s">
        <v>407</v>
      </c>
      <c r="B9" t="s">
        <v>408</v>
      </c>
      <c r="D9" t="s">
        <v>409</v>
      </c>
    </row>
    <row r="11" spans="1:4">
      <c r="A11" s="90">
        <v>42467</v>
      </c>
      <c r="B11" t="s">
        <v>430</v>
      </c>
      <c r="C11" s="4" t="s">
        <v>431</v>
      </c>
      <c r="D11" t="s">
        <v>432</v>
      </c>
    </row>
    <row r="13" spans="1:4">
      <c r="A13" s="153">
        <v>42963</v>
      </c>
      <c r="B13" t="s">
        <v>447</v>
      </c>
      <c r="C13" s="4" t="s">
        <v>446</v>
      </c>
      <c r="D13" t="s">
        <v>225</v>
      </c>
    </row>
    <row r="14" spans="1:4">
      <c r="B14" t="s">
        <v>448</v>
      </c>
      <c r="D14" s="4"/>
    </row>
    <row r="15" spans="1:4">
      <c r="B15" t="s">
        <v>449</v>
      </c>
    </row>
    <row r="17" spans="1:4">
      <c r="A17" s="153">
        <v>43007</v>
      </c>
      <c r="B17" t="s">
        <v>501</v>
      </c>
      <c r="D17" t="s">
        <v>225</v>
      </c>
    </row>
    <row r="18" spans="1:4">
      <c r="B18" t="s">
        <v>502</v>
      </c>
    </row>
    <row r="20" spans="1:4">
      <c r="A20" s="153">
        <v>43039</v>
      </c>
      <c r="B20" t="s">
        <v>518</v>
      </c>
      <c r="C20" s="4" t="s">
        <v>519</v>
      </c>
      <c r="D20" t="s">
        <v>520</v>
      </c>
    </row>
    <row r="21" spans="1:4">
      <c r="B21" t="s">
        <v>521</v>
      </c>
      <c r="C21" s="4" t="s">
        <v>4</v>
      </c>
      <c r="D21" t="s">
        <v>520</v>
      </c>
    </row>
    <row r="24" spans="1:4" s="199" customFormat="1">
      <c r="A24" s="231">
        <v>44007.756886921299</v>
      </c>
      <c r="B24" s="199" t="s">
        <v>606</v>
      </c>
      <c r="C24" s="199" t="s">
        <v>607</v>
      </c>
      <c r="D24" s="199" t="s">
        <v>608</v>
      </c>
    </row>
    <row r="25" spans="1:4" s="199" customFormat="1"/>
    <row r="26" spans="1:4" s="199" customFormat="1"/>
    <row r="27" spans="1:4" s="199" customFormat="1"/>
    <row r="28" spans="1:4" s="199" customFormat="1"/>
    <row r="29" spans="1:4" s="199" customFormat="1"/>
    <row r="30" spans="1:4" s="199" customFormat="1"/>
    <row r="31" spans="1:4" s="199" customFormat="1"/>
    <row r="32" spans="1:4" s="199" customFormat="1"/>
    <row r="33" spans="1:2" s="199" customFormat="1"/>
    <row r="34" spans="1:2" s="199" customFormat="1"/>
    <row r="35" spans="1:2" s="199" customFormat="1"/>
    <row r="37" spans="1:2">
      <c r="A37" s="231">
        <f ca="1">NOW()</f>
        <v>44050.654609953701</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404</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645</v>
      </c>
      <c r="C7" s="4" t="str">
        <f>"DriversGams!"&amp;ADDRESS(ROW(DriversGams!A5),COLUMN(DriversGams!A5),4)</f>
        <v>DriversGams!A5</v>
      </c>
      <c r="D7" s="4">
        <v>1</v>
      </c>
      <c r="E7" s="4">
        <v>1</v>
      </c>
      <c r="F7" s="4"/>
    </row>
    <row r="8" spans="1:6">
      <c r="A8" s="4" t="s">
        <v>302</v>
      </c>
      <c r="B8" s="4" t="s">
        <v>617</v>
      </c>
      <c r="C8" s="4" t="str">
        <f>"DriversGams!"&amp;ADDRESS(ROW(DriversGams!A42),COLUMN(DriversGams!A42),4)</f>
        <v>DriversGams!A42</v>
      </c>
      <c r="D8" s="4"/>
      <c r="E8" s="4">
        <v>1</v>
      </c>
      <c r="F8" s="4"/>
    </row>
    <row r="9" spans="1:6">
      <c r="A9" s="4" t="s">
        <v>302</v>
      </c>
      <c r="B9" s="4" t="s">
        <v>646</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648</v>
      </c>
      <c r="C12" s="298"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A8" sqref="A8:XFD10"/>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99"/>
      <c r="D10" s="4"/>
      <c r="E10" s="4"/>
    </row>
    <row r="11" spans="1:5">
      <c r="D11" s="4"/>
      <c r="E11" s="4"/>
    </row>
    <row r="13" spans="1:5">
      <c r="C13" s="4"/>
      <c r="D13" s="4"/>
      <c r="E13" s="4"/>
    </row>
    <row r="14" spans="1:5" s="4" customFormat="1">
      <c r="A14" s="199"/>
      <c r="B14" s="199"/>
      <c r="C14" s="36"/>
      <c r="D14" s="19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Y22" sqref="Y22"/>
    </sheetView>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51" workbookViewId="0">
      <selection activeCell="A71" sqref="A71:AM71"/>
    </sheetView>
  </sheetViews>
  <sheetFormatPr defaultColWidth="8.7109375" defaultRowHeight="15"/>
  <cols>
    <col min="1" max="16384" width="8.7109375" style="199"/>
  </cols>
  <sheetData>
    <row r="4" spans="1:40">
      <c r="A4" s="199" t="s">
        <v>612</v>
      </c>
    </row>
    <row r="5" spans="1:40">
      <c r="B5" s="36" t="s">
        <v>557</v>
      </c>
      <c r="C5" s="36" t="s">
        <v>566</v>
      </c>
      <c r="D5" s="36" t="s">
        <v>567</v>
      </c>
      <c r="E5" s="36" t="s">
        <v>558</v>
      </c>
      <c r="F5" s="36" t="s">
        <v>568</v>
      </c>
      <c r="G5" s="36" t="s">
        <v>569</v>
      </c>
      <c r="H5" s="36" t="s">
        <v>570</v>
      </c>
      <c r="I5" s="36" t="s">
        <v>571</v>
      </c>
      <c r="J5" s="36" t="s">
        <v>559</v>
      </c>
      <c r="K5" s="36" t="s">
        <v>572</v>
      </c>
      <c r="L5" s="36" t="s">
        <v>573</v>
      </c>
      <c r="M5" s="36" t="s">
        <v>574</v>
      </c>
      <c r="N5" s="36" t="s">
        <v>575</v>
      </c>
      <c r="O5" s="36" t="s">
        <v>560</v>
      </c>
      <c r="P5" s="36" t="s">
        <v>576</v>
      </c>
      <c r="Q5" s="36" t="s">
        <v>577</v>
      </c>
      <c r="R5" s="36" t="s">
        <v>578</v>
      </c>
      <c r="S5" s="36" t="s">
        <v>579</v>
      </c>
      <c r="T5" s="36" t="s">
        <v>561</v>
      </c>
      <c r="U5" s="36" t="s">
        <v>580</v>
      </c>
      <c r="V5" s="36" t="s">
        <v>581</v>
      </c>
      <c r="W5" s="36" t="s">
        <v>582</v>
      </c>
      <c r="X5" s="36" t="s">
        <v>583</v>
      </c>
      <c r="Y5" s="36" t="s">
        <v>562</v>
      </c>
      <c r="Z5" s="36" t="s">
        <v>584</v>
      </c>
      <c r="AA5" s="36" t="s">
        <v>585</v>
      </c>
      <c r="AB5" s="36" t="s">
        <v>586</v>
      </c>
      <c r="AC5" s="36" t="s">
        <v>587</v>
      </c>
      <c r="AD5" s="36" t="s">
        <v>563</v>
      </c>
      <c r="AE5" s="36" t="s">
        <v>588</v>
      </c>
      <c r="AF5" s="36" t="s">
        <v>589</v>
      </c>
      <c r="AG5" s="36" t="s">
        <v>590</v>
      </c>
      <c r="AH5" s="36" t="s">
        <v>591</v>
      </c>
      <c r="AI5" s="36" t="s">
        <v>564</v>
      </c>
      <c r="AJ5" s="36" t="s">
        <v>592</v>
      </c>
      <c r="AK5" s="36" t="s">
        <v>593</v>
      </c>
      <c r="AL5" s="36" t="s">
        <v>594</v>
      </c>
      <c r="AM5" s="36" t="s">
        <v>595</v>
      </c>
      <c r="AN5" s="36" t="s">
        <v>565</v>
      </c>
    </row>
    <row r="6" spans="1:40">
      <c r="A6" s="36" t="s">
        <v>4</v>
      </c>
      <c r="B6" s="300">
        <v>1833.85</v>
      </c>
      <c r="C6" s="300">
        <v>1884.55</v>
      </c>
      <c r="D6" s="300">
        <v>1927.88</v>
      </c>
      <c r="E6" s="300">
        <v>1957.41</v>
      </c>
      <c r="F6" s="300">
        <v>1982.72</v>
      </c>
      <c r="G6" s="300">
        <v>2007.4</v>
      </c>
      <c r="H6" s="300">
        <v>2036.6</v>
      </c>
      <c r="I6" s="300">
        <v>2071.14</v>
      </c>
      <c r="J6" s="300">
        <v>1915.6</v>
      </c>
      <c r="K6" s="300">
        <v>1994.8603392660509</v>
      </c>
      <c r="L6" s="300">
        <v>2066.85982042161</v>
      </c>
      <c r="M6" s="300">
        <v>2144.8246137664132</v>
      </c>
      <c r="N6" s="300">
        <v>2234.7683727554477</v>
      </c>
      <c r="O6" s="300">
        <v>2333.0848389663406</v>
      </c>
      <c r="P6" s="300">
        <v>2443.4189438340218</v>
      </c>
      <c r="Q6" s="300">
        <v>2562.8702114155644</v>
      </c>
      <c r="R6" s="300">
        <v>2692.5214860629872</v>
      </c>
      <c r="S6" s="300">
        <v>2839.2275592547094</v>
      </c>
      <c r="T6" s="300">
        <v>2995.6115538425747</v>
      </c>
      <c r="U6" s="300">
        <v>3156.1625655350422</v>
      </c>
      <c r="V6" s="300">
        <v>3327.9094143671055</v>
      </c>
      <c r="W6" s="300">
        <v>3509.788592493026</v>
      </c>
      <c r="X6" s="300">
        <v>3702.8829442648207</v>
      </c>
      <c r="Y6" s="300">
        <v>3895.6002341639869</v>
      </c>
      <c r="Z6" s="300">
        <v>4097.2219852078397</v>
      </c>
      <c r="AA6" s="300">
        <v>4322.2119040983498</v>
      </c>
      <c r="AB6" s="300">
        <v>4563.8988961668201</v>
      </c>
      <c r="AC6" s="300">
        <v>4820.8520599480789</v>
      </c>
      <c r="AD6" s="300">
        <v>5090.7896877003686</v>
      </c>
      <c r="AE6" s="300">
        <v>5373.5377508671127</v>
      </c>
      <c r="AF6" s="300">
        <v>5673.833693488391</v>
      </c>
      <c r="AG6" s="300">
        <v>5992.0932504493467</v>
      </c>
      <c r="AH6" s="300">
        <v>6329.727986708861</v>
      </c>
      <c r="AI6" s="300">
        <v>6683.1123073382978</v>
      </c>
      <c r="AJ6" s="300">
        <v>7044.7919891643905</v>
      </c>
      <c r="AK6" s="300">
        <v>7425.3344328724534</v>
      </c>
      <c r="AL6" s="300">
        <v>7825.890160586503</v>
      </c>
      <c r="AM6" s="300">
        <v>8248.3251451631404</v>
      </c>
      <c r="AN6" s="300">
        <v>8695.7332276081215</v>
      </c>
    </row>
    <row r="7" spans="1:40">
      <c r="A7" s="36" t="s">
        <v>647</v>
      </c>
      <c r="B7" s="300">
        <v>69.819999999999993</v>
      </c>
      <c r="C7" s="300">
        <v>72.77</v>
      </c>
      <c r="D7" s="300">
        <v>75.510000000000005</v>
      </c>
      <c r="E7" s="300">
        <v>74.36</v>
      </c>
      <c r="F7" s="300">
        <v>73.55</v>
      </c>
      <c r="G7" s="300">
        <v>76</v>
      </c>
      <c r="H7" s="300">
        <v>74.78</v>
      </c>
      <c r="I7" s="300">
        <v>73.53</v>
      </c>
      <c r="J7" s="300">
        <v>70.959999999999994</v>
      </c>
      <c r="K7" s="300">
        <v>73.969354882249334</v>
      </c>
      <c r="L7" s="300">
        <v>76.547401572731289</v>
      </c>
      <c r="M7" s="300">
        <v>78.949004002930323</v>
      </c>
      <c r="N7" s="300">
        <v>81.644680200179067</v>
      </c>
      <c r="O7" s="300">
        <v>84.605022787763843</v>
      </c>
      <c r="P7" s="300">
        <v>87.75161209446027</v>
      </c>
      <c r="Q7" s="300">
        <v>90.996225990144666</v>
      </c>
      <c r="R7" s="300">
        <v>94.231037426891902</v>
      </c>
      <c r="S7" s="300">
        <v>97.887354596395895</v>
      </c>
      <c r="T7" s="300">
        <v>101.55347422476528</v>
      </c>
      <c r="U7" s="300">
        <v>105.19018647639355</v>
      </c>
      <c r="V7" s="300">
        <v>108.90531839920246</v>
      </c>
      <c r="W7" s="300">
        <v>112.62045032197796</v>
      </c>
      <c r="X7" s="300">
        <v>116.58064371726222</v>
      </c>
      <c r="Y7" s="300">
        <v>120.24676334546632</v>
      </c>
      <c r="Z7" s="300">
        <v>124.06972231606426</v>
      </c>
      <c r="AA7" s="300">
        <v>128.60826078643456</v>
      </c>
      <c r="AB7" s="300">
        <v>133.53889761282349</v>
      </c>
      <c r="AC7" s="300">
        <v>138.763608206214</v>
      </c>
      <c r="AD7" s="300">
        <v>144.32160240220801</v>
      </c>
      <c r="AE7" s="300">
        <v>150.1442629884946</v>
      </c>
      <c r="AF7" s="300">
        <v>156.3590219307855</v>
      </c>
      <c r="AG7" s="300">
        <v>163.05410135918632</v>
      </c>
      <c r="AH7" s="300">
        <v>170.20989635589095</v>
      </c>
      <c r="AI7" s="300">
        <v>177.66956757848172</v>
      </c>
      <c r="AJ7" s="300">
        <v>185.12923880103136</v>
      </c>
      <c r="AK7" s="300">
        <v>193.16725509868724</v>
      </c>
      <c r="AL7" s="300">
        <v>201.74440663584227</v>
      </c>
      <c r="AM7" s="300">
        <v>210.77247128238685</v>
      </c>
      <c r="AN7" s="300">
        <v>220.27105395611983</v>
      </c>
    </row>
    <row r="8" spans="1:40">
      <c r="A8" s="36" t="s">
        <v>387</v>
      </c>
      <c r="B8" s="300">
        <v>205.45</v>
      </c>
      <c r="C8" s="300">
        <v>210.29</v>
      </c>
      <c r="D8" s="300">
        <v>210.09</v>
      </c>
      <c r="E8" s="300">
        <v>214.84</v>
      </c>
      <c r="F8" s="300">
        <v>210.99</v>
      </c>
      <c r="G8" s="300">
        <v>215.85</v>
      </c>
      <c r="H8" s="300">
        <v>213.65</v>
      </c>
      <c r="I8" s="300">
        <v>210.07</v>
      </c>
      <c r="J8" s="300">
        <v>193.07</v>
      </c>
      <c r="K8" s="300">
        <v>198.29404481500649</v>
      </c>
      <c r="L8" s="300">
        <v>202.649007220024</v>
      </c>
      <c r="M8" s="300">
        <v>207.25227888500945</v>
      </c>
      <c r="N8" s="300">
        <v>212.74373367223615</v>
      </c>
      <c r="O8" s="300">
        <v>218.7031559109507</v>
      </c>
      <c r="P8" s="300">
        <v>225.76086910726582</v>
      </c>
      <c r="Q8" s="300">
        <v>233.64946328888254</v>
      </c>
      <c r="R8" s="300">
        <v>242.36893845579499</v>
      </c>
      <c r="S8" s="300">
        <v>251.96704638876358</v>
      </c>
      <c r="T8" s="300">
        <v>261.95671892397382</v>
      </c>
      <c r="U8" s="300">
        <v>271.64078006224878</v>
      </c>
      <c r="V8" s="300">
        <v>282.06021862427485</v>
      </c>
      <c r="W8" s="300">
        <v>292.79481893931535</v>
      </c>
      <c r="X8" s="300">
        <v>303.90188314428747</v>
      </c>
      <c r="Y8" s="300">
        <v>314.89434307538914</v>
      </c>
      <c r="Z8" s="300">
        <v>325.60029232186952</v>
      </c>
      <c r="AA8" s="300">
        <v>336.6309536775172</v>
      </c>
      <c r="AB8" s="300">
        <v>349.23742379835801</v>
      </c>
      <c r="AC8" s="300">
        <v>362.74162739753228</v>
      </c>
      <c r="AD8" s="300">
        <v>376.895255215063</v>
      </c>
      <c r="AE8" s="300">
        <v>392.33818111318595</v>
      </c>
      <c r="AF8" s="300">
        <v>409.09905616035451</v>
      </c>
      <c r="AG8" s="300">
        <v>427.37843783577188</v>
      </c>
      <c r="AH8" s="300">
        <v>447.26227934480767</v>
      </c>
      <c r="AI8" s="300">
        <v>468.55002320824985</v>
      </c>
      <c r="AJ8" s="300">
        <v>490.64954734462754</v>
      </c>
      <c r="AK8" s="300">
        <v>514.5922902184285</v>
      </c>
      <c r="AL8" s="300">
        <v>540.52150717193774</v>
      </c>
      <c r="AM8" s="300">
        <v>568.59955425974522</v>
      </c>
      <c r="AN8" s="300">
        <v>599.16069394718772</v>
      </c>
    </row>
    <row r="9" spans="1:40">
      <c r="A9" s="36" t="s">
        <v>523</v>
      </c>
      <c r="B9" s="300">
        <v>93.1</v>
      </c>
      <c r="C9" s="300">
        <v>94.81</v>
      </c>
      <c r="D9" s="300">
        <v>96.04</v>
      </c>
      <c r="E9" s="300">
        <v>96.13</v>
      </c>
      <c r="F9" s="300">
        <v>97.44</v>
      </c>
      <c r="G9" s="300">
        <v>97.81</v>
      </c>
      <c r="H9" s="300">
        <v>98.48</v>
      </c>
      <c r="I9" s="300">
        <v>97.71</v>
      </c>
      <c r="J9" s="300">
        <v>92.79</v>
      </c>
      <c r="K9" s="300">
        <v>97.164896707550014</v>
      </c>
      <c r="L9" s="300">
        <v>100.84274488289863</v>
      </c>
      <c r="M9" s="300">
        <v>104.4472195285134</v>
      </c>
      <c r="N9" s="300">
        <v>108.53779380835738</v>
      </c>
      <c r="O9" s="300">
        <v>112.95854897181287</v>
      </c>
      <c r="P9" s="300">
        <v>117.53522288584188</v>
      </c>
      <c r="Q9" s="300">
        <v>122.34118908014129</v>
      </c>
      <c r="R9" s="300">
        <v>127.38561924592128</v>
      </c>
      <c r="S9" s="300">
        <v>133.12709794378537</v>
      </c>
      <c r="T9" s="300">
        <v>139.06118215706289</v>
      </c>
      <c r="U9" s="300">
        <v>144.60088364818583</v>
      </c>
      <c r="V9" s="300">
        <v>150.38822080199571</v>
      </c>
      <c r="W9" s="300">
        <v>156.07466935243968</v>
      </c>
      <c r="X9" s="300">
        <v>162.24721753707666</v>
      </c>
      <c r="Y9" s="300">
        <v>168.09875652926692</v>
      </c>
      <c r="Z9" s="300">
        <v>173.98698228627208</v>
      </c>
      <c r="AA9" s="300">
        <v>180.59977164896804</v>
      </c>
      <c r="AB9" s="300">
        <v>187.60694373373019</v>
      </c>
      <c r="AC9" s="300">
        <v>195.19193236478739</v>
      </c>
      <c r="AD9" s="300">
        <v>203.3914243069818</v>
      </c>
      <c r="AE9" s="300">
        <v>211.8935820591185</v>
      </c>
      <c r="AF9" s="300">
        <v>220.95521297511701</v>
      </c>
      <c r="AG9" s="300">
        <v>230.658862275877</v>
      </c>
      <c r="AH9" s="300">
        <v>240.93115643170387</v>
      </c>
      <c r="AI9" s="300">
        <v>251.47860132383192</v>
      </c>
      <c r="AJ9" s="300">
        <v>261.95267268623104</v>
      </c>
      <c r="AK9" s="300">
        <v>273.07793412459421</v>
      </c>
      <c r="AL9" s="300">
        <v>284.77184041801735</v>
      </c>
      <c r="AM9" s="300">
        <v>296.91515958075252</v>
      </c>
      <c r="AN9" s="300">
        <v>309.58126514248795</v>
      </c>
    </row>
    <row r="10" spans="1:40">
      <c r="A10" s="36" t="s">
        <v>524</v>
      </c>
      <c r="B10" s="300">
        <v>235.5</v>
      </c>
      <c r="C10" s="300">
        <v>241.63</v>
      </c>
      <c r="D10" s="300">
        <v>245.65</v>
      </c>
      <c r="E10" s="300">
        <v>248.47</v>
      </c>
      <c r="F10" s="300">
        <v>251.07</v>
      </c>
      <c r="G10" s="300">
        <v>252.54</v>
      </c>
      <c r="H10" s="300">
        <v>254.74</v>
      </c>
      <c r="I10" s="300">
        <v>254.67</v>
      </c>
      <c r="J10" s="300">
        <v>230.24</v>
      </c>
      <c r="K10" s="300">
        <v>240.59417139393693</v>
      </c>
      <c r="L10" s="300">
        <v>249.7968040999923</v>
      </c>
      <c r="M10" s="300">
        <v>259.56069095638566</v>
      </c>
      <c r="N10" s="300">
        <v>270.67932921019093</v>
      </c>
      <c r="O10" s="300">
        <v>282.67855587229479</v>
      </c>
      <c r="P10" s="300">
        <v>295.97447315762054</v>
      </c>
      <c r="Q10" s="300">
        <v>310.18000923832312</v>
      </c>
      <c r="R10" s="300">
        <v>325.51773041540525</v>
      </c>
      <c r="S10" s="300">
        <v>342.87790189288529</v>
      </c>
      <c r="T10" s="300">
        <v>361.07995459585732</v>
      </c>
      <c r="U10" s="300">
        <v>379.78520067496476</v>
      </c>
      <c r="V10" s="300">
        <v>399.56457107626096</v>
      </c>
      <c r="W10" s="300">
        <v>420.26323706861029</v>
      </c>
      <c r="X10" s="300">
        <v>442.34568484540824</v>
      </c>
      <c r="Y10" s="300">
        <v>464.31201107380878</v>
      </c>
      <c r="Z10" s="300">
        <v>487.28472405452015</v>
      </c>
      <c r="AA10" s="300">
        <v>513.10241496972685</v>
      </c>
      <c r="AB10" s="300">
        <v>540.24582689519559</v>
      </c>
      <c r="AC10" s="300">
        <v>568.79237419648973</v>
      </c>
      <c r="AD10" s="300">
        <v>598.4033690242585</v>
      </c>
      <c r="AE10" s="300">
        <v>629.46588320632691</v>
      </c>
      <c r="AF10" s="300">
        <v>662.53149409734397</v>
      </c>
      <c r="AG10" s="300">
        <v>697.65826247147993</v>
      </c>
      <c r="AH10" s="300">
        <v>734.91392589860072</v>
      </c>
      <c r="AI10" s="300">
        <v>773.82432138961917</v>
      </c>
      <c r="AJ10" s="300">
        <v>813.38306219219305</v>
      </c>
      <c r="AK10" s="300">
        <v>855.11908202622328</v>
      </c>
      <c r="AL10" s="300">
        <v>899.1581792357498</v>
      </c>
      <c r="AM10" s="300">
        <v>945.59712177772496</v>
      </c>
      <c r="AN10" s="300">
        <v>994.85201186705478</v>
      </c>
    </row>
    <row r="11" spans="1:40">
      <c r="A11" s="36" t="s">
        <v>525</v>
      </c>
      <c r="B11" s="300">
        <v>17.78</v>
      </c>
      <c r="C11" s="300">
        <v>18.190000000000001</v>
      </c>
      <c r="D11" s="300">
        <v>18.54</v>
      </c>
      <c r="E11" s="300">
        <v>18.73</v>
      </c>
      <c r="F11" s="300">
        <v>19.13</v>
      </c>
      <c r="G11" s="300">
        <v>19.23</v>
      </c>
      <c r="H11" s="300">
        <v>19.5</v>
      </c>
      <c r="I11" s="300">
        <v>19.52</v>
      </c>
      <c r="J11" s="300">
        <v>18.16</v>
      </c>
      <c r="K11" s="300">
        <v>18.941916037731868</v>
      </c>
      <c r="L11" s="300">
        <v>19.626092570589773</v>
      </c>
      <c r="M11" s="300">
        <v>20.359138855827979</v>
      </c>
      <c r="N11" s="300">
        <v>21.199698596337456</v>
      </c>
      <c r="O11" s="300">
        <v>22.186867594037498</v>
      </c>
      <c r="P11" s="300">
        <v>23.183810542175578</v>
      </c>
      <c r="Q11" s="300">
        <v>24.258945094120527</v>
      </c>
      <c r="R11" s="300">
        <v>25.412271249867906</v>
      </c>
      <c r="S11" s="300">
        <v>26.68288481133504</v>
      </c>
      <c r="T11" s="300">
        <v>28.012142075635538</v>
      </c>
      <c r="U11" s="300">
        <v>29.312077488450718</v>
      </c>
      <c r="V11" s="300">
        <v>30.690204505057096</v>
      </c>
      <c r="W11" s="300">
        <v>32.12697522449362</v>
      </c>
      <c r="X11" s="300">
        <v>33.622389646758698</v>
      </c>
      <c r="Y11" s="300">
        <v>34.951646910847074</v>
      </c>
      <c r="Z11" s="300">
        <v>36.43728738254871</v>
      </c>
      <c r="AA11" s="300">
        <v>38.079311061856721</v>
      </c>
      <c r="AB11" s="300">
        <v>39.848396097331893</v>
      </c>
      <c r="AC11" s="300">
        <v>41.724994588015043</v>
      </c>
      <c r="AD11" s="300">
        <v>43.70910653390311</v>
      </c>
      <c r="AE11" s="300">
        <v>45.849601687378026</v>
      </c>
      <c r="AF11" s="300">
        <v>48.146480048435208</v>
      </c>
      <c r="AG11" s="300">
        <v>50.589967666593921</v>
      </c>
      <c r="AH11" s="300">
        <v>53.189838492327119</v>
      </c>
      <c r="AI11" s="300">
        <v>55.887448822774303</v>
      </c>
      <c r="AJ11" s="300">
        <v>58.614381004602329</v>
      </c>
      <c r="AK11" s="300">
        <v>61.497696393998346</v>
      </c>
      <c r="AL11" s="300">
        <v>64.537394990959541</v>
      </c>
      <c r="AM11" s="300">
        <v>67.743250745958846</v>
      </c>
      <c r="AN11" s="300">
        <v>71.134811559944438</v>
      </c>
    </row>
    <row r="12" spans="1:40">
      <c r="A12" s="36" t="s">
        <v>526</v>
      </c>
      <c r="B12" s="300">
        <v>52.81</v>
      </c>
      <c r="C12" s="300">
        <v>54.31</v>
      </c>
      <c r="D12" s="300">
        <v>55.26</v>
      </c>
      <c r="E12" s="300">
        <v>55.73</v>
      </c>
      <c r="F12" s="300">
        <v>56.3</v>
      </c>
      <c r="G12" s="300">
        <v>56.6</v>
      </c>
      <c r="H12" s="300">
        <v>57.09</v>
      </c>
      <c r="I12" s="300">
        <v>56.96</v>
      </c>
      <c r="J12" s="300">
        <v>52.37</v>
      </c>
      <c r="K12" s="300">
        <v>54.620084822891016</v>
      </c>
      <c r="L12" s="300">
        <v>56.570802136994082</v>
      </c>
      <c r="M12" s="300">
        <v>58.62774663158558</v>
      </c>
      <c r="N12" s="300">
        <v>61.003372667703147</v>
      </c>
      <c r="O12" s="300">
        <v>63.610767097641222</v>
      </c>
      <c r="P12" s="300">
        <v>66.391987822930645</v>
      </c>
      <c r="Q12" s="300">
        <v>69.376005892799427</v>
      </c>
      <c r="R12" s="300">
        <v>72.611106389295344</v>
      </c>
      <c r="S12" s="300">
        <v>76.26145859138704</v>
      </c>
      <c r="T12" s="300">
        <v>80.124265154454321</v>
      </c>
      <c r="U12" s="300">
        <v>83.871187520555438</v>
      </c>
      <c r="V12" s="300">
        <v>87.840221264040096</v>
      </c>
      <c r="W12" s="300">
        <v>91.96376727003711</v>
      </c>
      <c r="X12" s="300">
        <v>96.338395702641634</v>
      </c>
      <c r="Y12" s="300">
        <v>100.59713993828771</v>
      </c>
      <c r="Z12" s="300">
        <v>105.00073942003478</v>
      </c>
      <c r="AA12" s="300">
        <v>109.91616077143787</v>
      </c>
      <c r="AB12" s="300">
        <v>115.15026366430418</v>
      </c>
      <c r="AC12" s="300">
        <v>120.7127051150395</v>
      </c>
      <c r="AD12" s="300">
        <v>126.54554302518582</v>
      </c>
      <c r="AE12" s="300">
        <v>132.82260369010405</v>
      </c>
      <c r="AF12" s="300">
        <v>139.5535441261988</v>
      </c>
      <c r="AG12" s="300">
        <v>146.75767836628384</v>
      </c>
      <c r="AH12" s="300">
        <v>154.44466342676407</v>
      </c>
      <c r="AI12" s="300">
        <v>162.48895809432148</v>
      </c>
      <c r="AJ12" s="300">
        <v>170.71673607359702</v>
      </c>
      <c r="AK12" s="300">
        <v>179.42736487326002</v>
      </c>
      <c r="AL12" s="300">
        <v>188.66912957535061</v>
      </c>
      <c r="AM12" s="300">
        <v>198.43237316345707</v>
      </c>
      <c r="AN12" s="300">
        <v>208.83297983447909</v>
      </c>
    </row>
    <row r="13" spans="1:40">
      <c r="A13" s="36" t="s">
        <v>527</v>
      </c>
      <c r="B13" s="300">
        <v>14.11</v>
      </c>
      <c r="C13" s="300">
        <v>14.52</v>
      </c>
      <c r="D13" s="300">
        <v>14.79</v>
      </c>
      <c r="E13" s="300">
        <v>15.03</v>
      </c>
      <c r="F13" s="300">
        <v>15.21</v>
      </c>
      <c r="G13" s="300">
        <v>15.35</v>
      </c>
      <c r="H13" s="300">
        <v>15.51</v>
      </c>
      <c r="I13" s="300">
        <v>15.54</v>
      </c>
      <c r="J13" s="300">
        <v>14.21</v>
      </c>
      <c r="K13" s="300">
        <v>14.824012344662277</v>
      </c>
      <c r="L13" s="300">
        <v>15.369801095329013</v>
      </c>
      <c r="M13" s="300">
        <v>15.964320984497457</v>
      </c>
      <c r="N13" s="300">
        <v>16.636810695282954</v>
      </c>
      <c r="O13" s="300">
        <v>17.358031544559537</v>
      </c>
      <c r="P13" s="300">
        <v>18.166968443145585</v>
      </c>
      <c r="Q13" s="300">
        <v>19.034382707918397</v>
      </c>
      <c r="R13" s="300">
        <v>19.960274338873962</v>
      </c>
      <c r="S13" s="300">
        <v>21.012866929936997</v>
      </c>
      <c r="T13" s="300">
        <v>22.123936887172817</v>
      </c>
      <c r="U13" s="300">
        <v>23.254499299766032</v>
      </c>
      <c r="V13" s="300">
        <v>24.443539078528438</v>
      </c>
      <c r="W13" s="300">
        <v>25.710548678862427</v>
      </c>
      <c r="X13" s="300">
        <v>27.045781873062417</v>
      </c>
      <c r="Y13" s="300">
        <v>28.381015067214289</v>
      </c>
      <c r="Z13" s="300">
        <v>29.764979399826899</v>
      </c>
      <c r="AA13" s="300">
        <v>31.32437583101219</v>
      </c>
      <c r="AB13" s="300">
        <v>32.951995856053834</v>
      </c>
      <c r="AC13" s="300">
        <v>34.6575857026506</v>
      </c>
      <c r="AD13" s="300">
        <v>36.431399143100343</v>
      </c>
      <c r="AE13" s="300">
        <v>38.312421088201233</v>
      </c>
      <c r="AF13" s="300">
        <v>40.300651537950152</v>
      </c>
      <c r="AG13" s="300">
        <v>42.415582947743054</v>
      </c>
      <c r="AH13" s="300">
        <v>44.64746908987734</v>
      </c>
      <c r="AI13" s="300">
        <v>46.976817508952436</v>
      </c>
      <c r="AJ13" s="300">
        <v>49.345150838774209</v>
      </c>
      <c r="AK13" s="300">
        <v>51.840185128630452</v>
      </c>
      <c r="AL13" s="300">
        <v>54.452174150820298</v>
      </c>
      <c r="AM13" s="300">
        <v>57.210356588436404</v>
      </c>
      <c r="AN13" s="300">
        <v>60.124478669174067</v>
      </c>
    </row>
    <row r="14" spans="1:40">
      <c r="A14" s="36" t="s">
        <v>388</v>
      </c>
      <c r="B14" s="300">
        <v>13.35</v>
      </c>
      <c r="C14" s="300">
        <v>13.74</v>
      </c>
      <c r="D14" s="300">
        <v>13.91</v>
      </c>
      <c r="E14" s="300">
        <v>14.13</v>
      </c>
      <c r="F14" s="300">
        <v>14.15</v>
      </c>
      <c r="G14" s="300">
        <v>14.18</v>
      </c>
      <c r="H14" s="300">
        <v>14.21</v>
      </c>
      <c r="I14" s="300">
        <v>14.08</v>
      </c>
      <c r="J14" s="300">
        <v>12.26</v>
      </c>
      <c r="K14" s="300">
        <v>12.778840124390374</v>
      </c>
      <c r="L14" s="300">
        <v>13.163166142179319</v>
      </c>
      <c r="M14" s="300">
        <v>13.557100310408256</v>
      </c>
      <c r="N14" s="300">
        <v>14.018291531880806</v>
      </c>
      <c r="O14" s="300">
        <v>14.517915355188556</v>
      </c>
      <c r="P14" s="300">
        <v>15.055971780327514</v>
      </c>
      <c r="Q14" s="300">
        <v>15.632460807293949</v>
      </c>
      <c r="R14" s="300">
        <v>16.23777428561954</v>
      </c>
      <c r="S14" s="300">
        <v>16.919952967623679</v>
      </c>
      <c r="T14" s="300">
        <v>17.621347950516579</v>
      </c>
      <c r="U14" s="300">
        <v>18.274702181055108</v>
      </c>
      <c r="V14" s="300">
        <v>18.947272712484722</v>
      </c>
      <c r="W14" s="300">
        <v>19.64866769526693</v>
      </c>
      <c r="X14" s="300">
        <v>20.359670828476606</v>
      </c>
      <c r="Y14" s="300">
        <v>21.032241359807486</v>
      </c>
      <c r="Z14" s="300">
        <v>21.695203740646768</v>
      </c>
      <c r="AA14" s="300">
        <v>22.34855797099625</v>
      </c>
      <c r="AB14" s="300">
        <v>23.136426307758093</v>
      </c>
      <c r="AC14" s="300">
        <v>23.962727246325755</v>
      </c>
      <c r="AD14" s="300">
        <v>24.817852636238026</v>
      </c>
      <c r="AE14" s="300">
        <v>25.845924734376961</v>
      </c>
      <c r="AF14" s="300">
        <v>26.970078337062869</v>
      </c>
      <c r="AG14" s="300">
        <v>28.180705293832322</v>
      </c>
      <c r="AH14" s="300">
        <v>29.487413755138995</v>
      </c>
      <c r="AI14" s="300">
        <v>30.870987420063372</v>
      </c>
      <c r="AJ14" s="300">
        <v>32.302601837230874</v>
      </c>
      <c r="AK14" s="300">
        <v>33.83990590938226</v>
      </c>
      <c r="AL14" s="300">
        <v>35.492507786970137</v>
      </c>
      <c r="AM14" s="300">
        <v>37.260407469990298</v>
      </c>
      <c r="AN14" s="300">
        <v>39.182037560263602</v>
      </c>
    </row>
    <row r="15" spans="1:40">
      <c r="A15" s="36" t="s">
        <v>528</v>
      </c>
      <c r="B15" s="300">
        <v>10.11</v>
      </c>
      <c r="C15" s="300">
        <v>8.43</v>
      </c>
      <c r="D15" s="300">
        <v>7.26</v>
      </c>
      <c r="E15" s="300">
        <v>6.85</v>
      </c>
      <c r="F15" s="300">
        <v>6.43</v>
      </c>
      <c r="G15" s="300">
        <v>5.96</v>
      </c>
      <c r="H15" s="300">
        <v>5.84</v>
      </c>
      <c r="I15" s="300">
        <v>5.52</v>
      </c>
      <c r="J15" s="300">
        <v>4.53</v>
      </c>
      <c r="K15" s="300">
        <v>4.7307978715016317</v>
      </c>
      <c r="L15" s="300">
        <v>4.8191489344975622</v>
      </c>
      <c r="M15" s="300">
        <v>4.9074999974787676</v>
      </c>
      <c r="N15" s="300">
        <v>5.0520744646627449</v>
      </c>
      <c r="O15" s="300">
        <v>5.228776591371334</v>
      </c>
      <c r="P15" s="300">
        <v>5.421542547824111</v>
      </c>
      <c r="Q15" s="300">
        <v>5.6384042489017565</v>
      </c>
      <c r="R15" s="300">
        <v>5.863297864831841</v>
      </c>
      <c r="S15" s="300">
        <v>6.1363829700245045</v>
      </c>
      <c r="T15" s="300">
        <v>6.4415957347061434</v>
      </c>
      <c r="U15" s="300">
        <v>6.7146808398290121</v>
      </c>
      <c r="V15" s="300">
        <v>6.9797340300399977</v>
      </c>
      <c r="W15" s="300">
        <v>7.2046276458290173</v>
      </c>
      <c r="X15" s="300">
        <v>7.4054255169607703</v>
      </c>
      <c r="Y15" s="300">
        <v>7.5740957285646378</v>
      </c>
      <c r="Z15" s="300">
        <v>7.7026063657722439</v>
      </c>
      <c r="AA15" s="300">
        <v>7.8070212583419396</v>
      </c>
      <c r="AB15" s="300">
        <v>7.8873404062788577</v>
      </c>
      <c r="AC15" s="300">
        <v>7.9756914690807896</v>
      </c>
      <c r="AD15" s="300">
        <v>8.0640425318738256</v>
      </c>
      <c r="AE15" s="300">
        <v>8.232712743373904</v>
      </c>
      <c r="AF15" s="300">
        <v>8.4415425292115298</v>
      </c>
      <c r="AG15" s="300">
        <v>8.6985638042495044</v>
      </c>
      <c r="AH15" s="300">
        <v>9.0118084833488119</v>
      </c>
      <c r="AI15" s="300">
        <v>9.3652127367630946</v>
      </c>
      <c r="AJ15" s="300">
        <v>9.7507446496186301</v>
      </c>
      <c r="AK15" s="300">
        <v>10.192499966513008</v>
      </c>
      <c r="AL15" s="300">
        <v>10.69851060230534</v>
      </c>
      <c r="AM15" s="300">
        <v>11.268776556987625</v>
      </c>
      <c r="AN15" s="300">
        <v>11.927393575148884</v>
      </c>
    </row>
    <row r="16" spans="1:40">
      <c r="A16" s="36" t="s">
        <v>603</v>
      </c>
      <c r="B16" s="300"/>
      <c r="C16" s="300"/>
      <c r="D16" s="300"/>
      <c r="E16" s="300"/>
      <c r="F16" s="300"/>
      <c r="G16" s="300"/>
      <c r="H16" s="300"/>
      <c r="I16" s="300"/>
      <c r="J16" s="300"/>
      <c r="K16" s="300">
        <v>0</v>
      </c>
      <c r="L16" s="300">
        <v>0</v>
      </c>
      <c r="M16" s="300">
        <v>0</v>
      </c>
      <c r="N16" s="300">
        <v>0</v>
      </c>
      <c r="O16" s="300">
        <v>0</v>
      </c>
      <c r="P16" s="300">
        <v>0</v>
      </c>
      <c r="Q16" s="300">
        <v>0</v>
      </c>
      <c r="R16" s="300">
        <v>0</v>
      </c>
      <c r="S16" s="300">
        <v>0</v>
      </c>
      <c r="T16" s="300">
        <v>0</v>
      </c>
      <c r="U16" s="300">
        <v>0</v>
      </c>
      <c r="V16" s="300">
        <v>0</v>
      </c>
      <c r="W16" s="300">
        <v>0</v>
      </c>
      <c r="X16" s="300">
        <v>0</v>
      </c>
      <c r="Y16" s="300">
        <v>0</v>
      </c>
      <c r="Z16" s="300">
        <v>0</v>
      </c>
      <c r="AA16" s="300">
        <v>0</v>
      </c>
      <c r="AB16" s="300">
        <v>0</v>
      </c>
      <c r="AC16" s="300">
        <v>0</v>
      </c>
      <c r="AD16" s="300">
        <v>0</v>
      </c>
      <c r="AE16" s="300">
        <v>0</v>
      </c>
      <c r="AF16" s="300">
        <v>0</v>
      </c>
      <c r="AG16" s="300">
        <v>0</v>
      </c>
      <c r="AH16" s="300">
        <v>0</v>
      </c>
      <c r="AI16" s="300">
        <v>0</v>
      </c>
      <c r="AJ16" s="300">
        <v>0</v>
      </c>
      <c r="AK16" s="300">
        <v>0</v>
      </c>
      <c r="AL16" s="300">
        <v>0</v>
      </c>
      <c r="AM16" s="300">
        <v>0</v>
      </c>
      <c r="AN16" s="300">
        <v>0</v>
      </c>
    </row>
    <row r="17" spans="1:40">
      <c r="A17" s="36" t="s">
        <v>529</v>
      </c>
      <c r="B17" s="300">
        <v>84.25</v>
      </c>
      <c r="C17" s="300">
        <v>83.73</v>
      </c>
      <c r="D17" s="300">
        <v>83.25</v>
      </c>
      <c r="E17" s="300">
        <v>82.69</v>
      </c>
      <c r="F17" s="300">
        <v>81.209999999999994</v>
      </c>
      <c r="G17" s="300">
        <v>80.83</v>
      </c>
      <c r="H17" s="300">
        <v>80.180000000000007</v>
      </c>
      <c r="I17" s="300">
        <v>78.209999999999994</v>
      </c>
      <c r="J17" s="300">
        <v>76.040000000000006</v>
      </c>
      <c r="K17" s="300">
        <v>79.868832789361164</v>
      </c>
      <c r="L17" s="300">
        <v>80.787339845850937</v>
      </c>
      <c r="M17" s="300">
        <v>82.128979367024627</v>
      </c>
      <c r="N17" s="300">
        <v>82.882361559221735</v>
      </c>
      <c r="O17" s="300">
        <v>81.035027139198789</v>
      </c>
      <c r="P17" s="300">
        <v>84.110477735106869</v>
      </c>
      <c r="Q17" s="300">
        <v>85.957812153019546</v>
      </c>
      <c r="R17" s="300">
        <v>87.26849076206102</v>
      </c>
      <c r="S17" s="300">
        <v>89.67312159680472</v>
      </c>
      <c r="T17" s="300">
        <v>91.210846894169521</v>
      </c>
      <c r="U17" s="300">
        <v>95.359609107557191</v>
      </c>
      <c r="V17" s="300">
        <v>98.011927238600578</v>
      </c>
      <c r="W17" s="300">
        <v>100.65392506560029</v>
      </c>
      <c r="X17" s="300">
        <v>103.37848532469806</v>
      </c>
      <c r="Y17" s="300">
        <v>106.47457652832807</v>
      </c>
      <c r="Z17" s="300">
        <v>111.34576002258379</v>
      </c>
      <c r="AA17" s="300">
        <v>117.16641148620606</v>
      </c>
      <c r="AB17" s="300">
        <v>120.41730724997892</v>
      </c>
      <c r="AC17" s="300">
        <v>125.30913135213515</v>
      </c>
      <c r="AD17" s="300">
        <v>130.2112757582662</v>
      </c>
      <c r="AE17" s="300">
        <v>133.67889790627359</v>
      </c>
      <c r="AF17" s="300">
        <v>136.31057542904583</v>
      </c>
      <c r="AG17" s="300">
        <v>139.06609659997619</v>
      </c>
      <c r="AH17" s="300">
        <v>141.8628989869452</v>
      </c>
      <c r="AI17" s="300">
        <v>144.72162319798196</v>
      </c>
      <c r="AJ17" s="300">
        <v>147.57002710498378</v>
      </c>
      <c r="AK17" s="300">
        <v>150.4081107079511</v>
      </c>
      <c r="AL17" s="300">
        <v>153.33907704702921</v>
      </c>
      <c r="AM17" s="300">
        <v>156.32164490615958</v>
      </c>
      <c r="AN17" s="300">
        <v>159.35581428534195</v>
      </c>
    </row>
    <row r="18" spans="1:40">
      <c r="A18" s="36" t="s">
        <v>597</v>
      </c>
      <c r="B18" s="300">
        <v>21.15</v>
      </c>
      <c r="C18" s="300">
        <v>22.37</v>
      </c>
      <c r="D18" s="300">
        <v>23.86</v>
      </c>
      <c r="E18" s="300">
        <v>24.79</v>
      </c>
      <c r="F18" s="300">
        <v>25.39</v>
      </c>
      <c r="G18" s="300">
        <v>26.91</v>
      </c>
      <c r="H18" s="300">
        <v>28.69</v>
      </c>
      <c r="I18" s="300">
        <v>29.81</v>
      </c>
      <c r="J18" s="300">
        <v>28.74</v>
      </c>
      <c r="K18" s="300">
        <v>30.22671499076683</v>
      </c>
      <c r="L18" s="300">
        <v>31.552448103408469</v>
      </c>
      <c r="M18" s="300">
        <v>33.010754527365201</v>
      </c>
      <c r="N18" s="300">
        <v>34.724738051742897</v>
      </c>
      <c r="O18" s="300">
        <v>36.628112020855937</v>
      </c>
      <c r="P18" s="300">
        <v>38.853449746041001</v>
      </c>
      <c r="Q18" s="300">
        <v>41.306056004898913</v>
      </c>
      <c r="R18" s="300">
        <v>43.96699175294566</v>
      </c>
      <c r="S18" s="300">
        <v>47.129812179560112</v>
      </c>
      <c r="T18" s="300">
        <v>50.718761106821802</v>
      </c>
      <c r="U18" s="300">
        <v>54.648612834578742</v>
      </c>
      <c r="V18" s="300">
        <v>59.070879718626777</v>
      </c>
      <c r="W18" s="300">
        <v>63.90033605881748</v>
      </c>
      <c r="X18" s="300">
        <v>69.127512332906761</v>
      </c>
      <c r="Y18" s="300">
        <v>74.468322873771484</v>
      </c>
      <c r="Z18" s="300">
        <v>80.017462903785244</v>
      </c>
      <c r="AA18" s="300">
        <v>86.267347579272993</v>
      </c>
      <c r="AB18" s="300">
        <v>93.056995022196489</v>
      </c>
      <c r="AC18" s="300">
        <v>100.39587475478656</v>
      </c>
      <c r="AD18" s="300">
        <v>108.2839867770379</v>
      </c>
      <c r="AE18" s="300">
        <v>116.48459303302971</v>
      </c>
      <c r="AF18" s="300">
        <v>125.06398017841776</v>
      </c>
      <c r="AG18" s="300">
        <v>134.06002630214692</v>
      </c>
      <c r="AH18" s="300">
        <v>143.52007901539781</v>
      </c>
      <c r="AI18" s="300">
        <v>153.33997357356841</v>
      </c>
      <c r="AJ18" s="300">
        <v>163.13145956496945</v>
      </c>
      <c r="AK18" s="300">
        <v>173.43429975707159</v>
      </c>
      <c r="AL18" s="300">
        <v>184.30531128328985</v>
      </c>
      <c r="AM18" s="300">
        <v>195.76343318809407</v>
      </c>
      <c r="AN18" s="300">
        <v>207.94123878278739</v>
      </c>
    </row>
    <row r="19" spans="1:40">
      <c r="A19" s="36" t="s">
        <v>598</v>
      </c>
      <c r="B19" s="300">
        <v>135.96</v>
      </c>
      <c r="C19" s="300">
        <v>139.72999999999999</v>
      </c>
      <c r="D19" s="300">
        <v>142.69999999999999</v>
      </c>
      <c r="E19" s="300">
        <v>144.16</v>
      </c>
      <c r="F19" s="300">
        <v>145.31</v>
      </c>
      <c r="G19" s="300">
        <v>147.16</v>
      </c>
      <c r="H19" s="300">
        <v>148.75</v>
      </c>
      <c r="I19" s="300">
        <v>149.16999999999999</v>
      </c>
      <c r="J19" s="300">
        <v>138.22</v>
      </c>
      <c r="K19" s="300">
        <v>143.53280403176132</v>
      </c>
      <c r="L19" s="300">
        <v>148.17787859489698</v>
      </c>
      <c r="M19" s="300">
        <v>153.21971994368354</v>
      </c>
      <c r="N19" s="300">
        <v>159.08412657982095</v>
      </c>
      <c r="O19" s="300">
        <v>165.34530000159904</v>
      </c>
      <c r="P19" s="300">
        <v>172.24517117588886</v>
      </c>
      <c r="Q19" s="300">
        <v>179.65793599991073</v>
      </c>
      <c r="R19" s="300">
        <v>187.67068962173454</v>
      </c>
      <c r="S19" s="300">
        <v>196.75761673642197</v>
      </c>
      <c r="T19" s="300">
        <v>206.20260168203126</v>
      </c>
      <c r="U19" s="300">
        <v>215.62823215024673</v>
      </c>
      <c r="V19" s="300">
        <v>225.62481970022623</v>
      </c>
      <c r="W19" s="300">
        <v>236.14397813859347</v>
      </c>
      <c r="X19" s="300">
        <v>247.17603022667146</v>
      </c>
      <c r="Y19" s="300">
        <v>257.95647410916763</v>
      </c>
      <c r="Z19" s="300">
        <v>269.17239373197702</v>
      </c>
      <c r="AA19" s="300">
        <v>282.04312116808433</v>
      </c>
      <c r="AB19" s="300">
        <v>295.60093255003414</v>
      </c>
      <c r="AC19" s="300">
        <v>309.96195474191705</v>
      </c>
      <c r="AD19" s="300">
        <v>325.04876983433491</v>
      </c>
      <c r="AE19" s="300">
        <v>341.29685356763213</v>
      </c>
      <c r="AF19" s="300">
        <v>358.68685146445546</v>
      </c>
      <c r="AG19" s="300">
        <v>377.24779524082408</v>
      </c>
      <c r="AH19" s="300">
        <v>397.01839385143137</v>
      </c>
      <c r="AI19" s="300">
        <v>417.71800737472</v>
      </c>
      <c r="AJ19" s="300">
        <v>438.75632425155931</v>
      </c>
      <c r="AK19" s="300">
        <v>461.08171387202378</v>
      </c>
      <c r="AL19" s="300">
        <v>484.71353071345879</v>
      </c>
      <c r="AM19" s="300">
        <v>509.7195154465806</v>
      </c>
      <c r="AN19" s="300">
        <v>536.30289008354384</v>
      </c>
    </row>
    <row r="20" spans="1:40">
      <c r="A20" s="36" t="s">
        <v>599</v>
      </c>
      <c r="B20" s="300">
        <v>11.26</v>
      </c>
      <c r="C20" s="300">
        <v>11.57</v>
      </c>
      <c r="D20" s="300">
        <v>11.91</v>
      </c>
      <c r="E20" s="300">
        <v>12.12</v>
      </c>
      <c r="F20" s="300">
        <v>12.2</v>
      </c>
      <c r="G20" s="300">
        <v>12.36</v>
      </c>
      <c r="H20" s="300">
        <v>12.64</v>
      </c>
      <c r="I20" s="300">
        <v>12.79</v>
      </c>
      <c r="J20" s="300">
        <v>12</v>
      </c>
      <c r="K20" s="300">
        <v>12.53097345031931</v>
      </c>
      <c r="L20" s="300">
        <v>12.936444084849176</v>
      </c>
      <c r="M20" s="300">
        <v>13.341914719348784</v>
      </c>
      <c r="N20" s="300">
        <v>13.795655667561395</v>
      </c>
      <c r="O20" s="300">
        <v>14.268704741237839</v>
      </c>
      <c r="P20" s="300">
        <v>14.790024128617974</v>
      </c>
      <c r="Q20" s="300">
        <v>15.340305704203608</v>
      </c>
      <c r="R20" s="300">
        <v>15.890587279754614</v>
      </c>
      <c r="S20" s="300">
        <v>16.508447294489393</v>
      </c>
      <c r="T20" s="300">
        <v>17.155269497422296</v>
      </c>
      <c r="U20" s="300">
        <v>17.763475449341964</v>
      </c>
      <c r="V20" s="300">
        <v>18.419951714946997</v>
      </c>
      <c r="W20" s="300">
        <v>19.115044231490334</v>
      </c>
      <c r="X20" s="300">
        <v>19.800482685255876</v>
      </c>
      <c r="Y20" s="300">
        <v>20.45695895076134</v>
      </c>
      <c r="Z20" s="300">
        <v>21.084473028010532</v>
      </c>
      <c r="AA20" s="300">
        <v>21.798873669902882</v>
      </c>
      <c r="AB20" s="300">
        <v>22.580852750949852</v>
      </c>
      <c r="AC20" s="300">
        <v>23.411102145665787</v>
      </c>
      <c r="AD20" s="300">
        <v>24.299275916787984</v>
      </c>
      <c r="AE20" s="300">
        <v>25.264682189792484</v>
      </c>
      <c r="AF20" s="300">
        <v>26.268704713717415</v>
      </c>
      <c r="AG20" s="300">
        <v>27.359613802256224</v>
      </c>
      <c r="AH20" s="300">
        <v>28.489139141711082</v>
      </c>
      <c r="AI20" s="300">
        <v>29.686242920295815</v>
      </c>
      <c r="AJ20" s="300">
        <v>30.854384510627639</v>
      </c>
      <c r="AK20" s="300">
        <v>32.099758602824444</v>
      </c>
      <c r="AL20" s="300">
        <v>33.393403008670809</v>
      </c>
      <c r="AM20" s="300">
        <v>34.764279916376736</v>
      </c>
      <c r="AN20" s="300">
        <v>36.173773074992027</v>
      </c>
    </row>
    <row r="21" spans="1:40">
      <c r="A21" s="36" t="s">
        <v>600</v>
      </c>
      <c r="B21" s="300">
        <v>1.1399999999999999</v>
      </c>
      <c r="C21" s="300">
        <v>1.1599999999999999</v>
      </c>
      <c r="D21" s="300">
        <v>1.1399999999999999</v>
      </c>
      <c r="E21" s="300">
        <v>1.1299999999999999</v>
      </c>
      <c r="F21" s="300">
        <v>1.1499999999999999</v>
      </c>
      <c r="G21" s="300">
        <v>1.1499999999999999</v>
      </c>
      <c r="H21" s="300">
        <v>1.1200000000000001</v>
      </c>
      <c r="I21" s="300">
        <v>1.0900000000000001</v>
      </c>
      <c r="J21" s="300">
        <v>0.99</v>
      </c>
      <c r="K21" s="300">
        <v>0.99980197920811664</v>
      </c>
      <c r="L21" s="300">
        <v>1.0292079187640339</v>
      </c>
      <c r="M21" s="300">
        <v>1.0684158384613154</v>
      </c>
      <c r="N21" s="300">
        <v>1.1174257382830033</v>
      </c>
      <c r="O21" s="300">
        <v>1.1664356380617003</v>
      </c>
      <c r="P21" s="300">
        <v>1.2252475179427544</v>
      </c>
      <c r="Q21" s="300">
        <v>1.2938613779124597</v>
      </c>
      <c r="R21" s="300">
        <v>1.382079198086734</v>
      </c>
      <c r="S21" s="300">
        <v>1.4800989983197652</v>
      </c>
      <c r="T21" s="300">
        <v>1.5781187984878831</v>
      </c>
      <c r="U21" s="300">
        <v>1.6957425588126054</v>
      </c>
      <c r="V21" s="300">
        <v>1.8133663190693374</v>
      </c>
      <c r="W21" s="300">
        <v>1.9407920593602679</v>
      </c>
      <c r="X21" s="300">
        <v>2.0780197796796709</v>
      </c>
      <c r="Y21" s="300">
        <v>2.2250494800225482</v>
      </c>
      <c r="Z21" s="300">
        <v>2.3916831404684293</v>
      </c>
      <c r="AA21" s="300">
        <v>2.5681187809258881</v>
      </c>
      <c r="AB21" s="300">
        <v>2.7641583814682615</v>
      </c>
      <c r="AC21" s="300">
        <v>2.96999996201377</v>
      </c>
      <c r="AD21" s="300">
        <v>3.1758415424913444</v>
      </c>
      <c r="AE21" s="300">
        <v>3.4012870830381723</v>
      </c>
      <c r="AF21" s="300">
        <v>3.646336583647166</v>
      </c>
      <c r="AG21" s="300">
        <v>3.9109900443121512</v>
      </c>
      <c r="AH21" s="300">
        <v>4.1952474650277596</v>
      </c>
      <c r="AI21" s="300">
        <v>4.4893068657331385</v>
      </c>
      <c r="AJ21" s="300">
        <v>4.8029702264824037</v>
      </c>
      <c r="AK21" s="300">
        <v>5.1362375472717465</v>
      </c>
      <c r="AL21" s="300">
        <v>5.4989108081480129</v>
      </c>
      <c r="AM21" s="300">
        <v>5.881188029056486</v>
      </c>
      <c r="AN21" s="300">
        <v>6.2928711900416285</v>
      </c>
    </row>
    <row r="22" spans="1:40">
      <c r="A22" s="36" t="s">
        <v>530</v>
      </c>
      <c r="B22" s="300">
        <v>27.52</v>
      </c>
      <c r="C22" s="300">
        <v>27.49</v>
      </c>
      <c r="D22" s="300">
        <v>27.45</v>
      </c>
      <c r="E22" s="300">
        <v>27.42</v>
      </c>
      <c r="F22" s="300">
        <v>27.39</v>
      </c>
      <c r="G22" s="300">
        <v>27.36</v>
      </c>
      <c r="H22" s="300">
        <v>27.33</v>
      </c>
      <c r="I22" s="300">
        <v>27.24</v>
      </c>
      <c r="J22" s="300">
        <v>27.16</v>
      </c>
      <c r="K22" s="300">
        <v>27.12836956416427</v>
      </c>
      <c r="L22" s="300">
        <v>27.128369563109924</v>
      </c>
      <c r="M22" s="300">
        <v>27.117826083795933</v>
      </c>
      <c r="N22" s="300">
        <v>27.117826082741587</v>
      </c>
      <c r="O22" s="300">
        <v>26.527391299193273</v>
      </c>
      <c r="P22" s="300">
        <v>26.527391298138923</v>
      </c>
      <c r="Q22" s="300">
        <v>26.516847818826591</v>
      </c>
      <c r="R22" s="300">
        <v>26.516847817772245</v>
      </c>
      <c r="S22" s="300">
        <v>26.537934773232188</v>
      </c>
      <c r="T22" s="300">
        <v>26.506304337407663</v>
      </c>
      <c r="U22" s="300">
        <v>25.778804336668198</v>
      </c>
      <c r="V22" s="300">
        <v>25.051304335958491</v>
      </c>
      <c r="W22" s="300">
        <v>25.662826073719142</v>
      </c>
      <c r="X22" s="300">
        <v>25.082934768639912</v>
      </c>
      <c r="Y22" s="300">
        <v>24.513586941839613</v>
      </c>
      <c r="Z22" s="300">
        <v>23.817717376014585</v>
      </c>
      <c r="AA22" s="300">
        <v>22.700108680074987</v>
      </c>
      <c r="AB22" s="300">
        <v>21.392717375630689</v>
      </c>
      <c r="AC22" s="300">
        <v>20.095869549503451</v>
      </c>
      <c r="AD22" s="300">
        <v>18.788478245192184</v>
      </c>
      <c r="AE22" s="300">
        <v>19.062608678676323</v>
      </c>
      <c r="AF22" s="300">
        <v>19.347282590396201</v>
      </c>
      <c r="AG22" s="300">
        <v>19.621413023850234</v>
      </c>
      <c r="AH22" s="300">
        <v>19.906086935539296</v>
      </c>
      <c r="AI22" s="300">
        <v>20.19076084721328</v>
      </c>
      <c r="AJ22" s="300">
        <v>20.475434758872403</v>
      </c>
      <c r="AK22" s="300">
        <v>20.749565192268761</v>
      </c>
      <c r="AL22" s="300">
        <v>21.034239103898756</v>
      </c>
      <c r="AM22" s="300">
        <v>21.318913015514482</v>
      </c>
      <c r="AN22" s="300">
        <v>21.603586927116126</v>
      </c>
    </row>
    <row r="23" spans="1:40">
      <c r="A23" s="36" t="s">
        <v>604</v>
      </c>
      <c r="B23" s="300">
        <v>66.42</v>
      </c>
      <c r="C23" s="300">
        <v>65.98</v>
      </c>
      <c r="D23" s="300">
        <v>65.72</v>
      </c>
      <c r="E23" s="300">
        <v>65.459999999999994</v>
      </c>
      <c r="F23" s="300">
        <v>64.28</v>
      </c>
      <c r="G23" s="300">
        <v>63.85</v>
      </c>
      <c r="H23" s="300">
        <v>63.13</v>
      </c>
      <c r="I23" s="300">
        <v>62.24</v>
      </c>
      <c r="J23" s="300">
        <v>61.58</v>
      </c>
      <c r="K23" s="300">
        <v>61.25417989313442</v>
      </c>
      <c r="L23" s="300">
        <v>61.001932068231298</v>
      </c>
      <c r="M23" s="300">
        <v>61.306731520996301</v>
      </c>
      <c r="N23" s="300">
        <v>61.769185863658223</v>
      </c>
      <c r="O23" s="300">
        <v>62.610011942070962</v>
      </c>
      <c r="P23" s="300">
        <v>62.179088575301975</v>
      </c>
      <c r="Q23" s="300">
        <v>62.010923358363861</v>
      </c>
      <c r="R23" s="300">
        <v>62.45235704900896</v>
      </c>
      <c r="S23" s="300">
        <v>62.799197805713334</v>
      </c>
      <c r="T23" s="300">
        <v>63.209100518366384</v>
      </c>
      <c r="U23" s="300">
        <v>62.925321715524937</v>
      </c>
      <c r="V23" s="300">
        <v>62.862259758521539</v>
      </c>
      <c r="W23" s="300">
        <v>62.052964656095284</v>
      </c>
      <c r="X23" s="300">
        <v>61.811227157234974</v>
      </c>
      <c r="Y23" s="300">
        <v>60.66560162310725</v>
      </c>
      <c r="Z23" s="300">
        <v>59.530486414990719</v>
      </c>
      <c r="AA23" s="300">
        <v>58.910377180461147</v>
      </c>
      <c r="AB23" s="300">
        <v>57.743730994411983</v>
      </c>
      <c r="AC23" s="300">
        <v>56.577084808384058</v>
      </c>
      <c r="AD23" s="300">
        <v>55.389417970396636</v>
      </c>
      <c r="AE23" s="300">
        <v>54.769308735912702</v>
      </c>
      <c r="AF23" s="300">
        <v>54.159709827430859</v>
      </c>
      <c r="AG23" s="300">
        <v>53.550110918960847</v>
      </c>
      <c r="AH23" s="300">
        <v>52.951022336492571</v>
      </c>
      <c r="AI23" s="300">
        <v>52.341423428046618</v>
      </c>
      <c r="AJ23" s="300">
        <v>51.742334845602265</v>
      </c>
      <c r="AK23" s="300">
        <v>51.143246263170084</v>
      </c>
      <c r="AL23" s="300">
        <v>50.533647354761293</v>
      </c>
      <c r="AM23" s="300">
        <v>49.934558772353881</v>
      </c>
      <c r="AN23" s="300">
        <v>49.335470189959082</v>
      </c>
    </row>
    <row r="24" spans="1:40">
      <c r="B24" s="300"/>
      <c r="C24" s="300"/>
      <c r="D24" s="300"/>
      <c r="E24" s="300"/>
      <c r="F24" s="300"/>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row>
    <row r="25" spans="1:40">
      <c r="B25" s="300"/>
      <c r="C25" s="300"/>
      <c r="D25" s="300"/>
      <c r="E25" s="300"/>
      <c r="F25" s="300"/>
      <c r="G25" s="300"/>
      <c r="H25" s="300"/>
      <c r="I25" s="300"/>
      <c r="J25" s="300"/>
      <c r="K25" s="300"/>
      <c r="L25" s="300"/>
      <c r="M25" s="300"/>
      <c r="N25" s="300"/>
      <c r="O25" s="300"/>
      <c r="P25" s="300"/>
      <c r="Q25" s="300"/>
      <c r="R25" s="300"/>
      <c r="S25" s="300"/>
      <c r="T25" s="300"/>
      <c r="U25" s="300"/>
      <c r="V25" s="300"/>
      <c r="W25" s="300"/>
      <c r="X25" s="300"/>
      <c r="Y25" s="300"/>
      <c r="Z25" s="300"/>
      <c r="AA25" s="300"/>
      <c r="AB25" s="300"/>
      <c r="AC25" s="300"/>
      <c r="AD25" s="300"/>
      <c r="AE25" s="300"/>
      <c r="AF25" s="300"/>
      <c r="AG25" s="300"/>
      <c r="AH25" s="300"/>
      <c r="AI25" s="300"/>
      <c r="AJ25" s="300"/>
      <c r="AK25" s="300"/>
      <c r="AL25" s="300"/>
      <c r="AM25" s="300"/>
      <c r="AN25" s="300"/>
    </row>
    <row r="41" spans="1:39">
      <c r="A41" s="144"/>
      <c r="B41" s="144"/>
      <c r="C41" s="144"/>
      <c r="D41" s="144"/>
      <c r="E41" s="144"/>
      <c r="F41" s="144"/>
      <c r="G41" s="144"/>
      <c r="H41" s="144"/>
      <c r="I41" s="144"/>
    </row>
    <row r="42" spans="1:39">
      <c r="A42" s="36" t="s">
        <v>557</v>
      </c>
      <c r="B42" s="36" t="s">
        <v>566</v>
      </c>
      <c r="C42" s="36" t="s">
        <v>567</v>
      </c>
      <c r="D42" s="36" t="s">
        <v>558</v>
      </c>
      <c r="E42" s="36" t="s">
        <v>568</v>
      </c>
      <c r="F42" s="36" t="s">
        <v>569</v>
      </c>
      <c r="G42" s="36" t="s">
        <v>570</v>
      </c>
      <c r="H42" s="36" t="s">
        <v>571</v>
      </c>
      <c r="I42" s="36" t="s">
        <v>559</v>
      </c>
      <c r="J42" s="36" t="s">
        <v>572</v>
      </c>
      <c r="K42" s="36" t="s">
        <v>573</v>
      </c>
      <c r="L42" s="36" t="s">
        <v>574</v>
      </c>
      <c r="M42" s="36" t="s">
        <v>575</v>
      </c>
      <c r="N42" s="36" t="s">
        <v>560</v>
      </c>
      <c r="O42" s="36" t="s">
        <v>576</v>
      </c>
      <c r="P42" s="36" t="s">
        <v>577</v>
      </c>
      <c r="Q42" s="36" t="s">
        <v>578</v>
      </c>
      <c r="R42" s="36" t="s">
        <v>579</v>
      </c>
      <c r="S42" s="36" t="s">
        <v>561</v>
      </c>
      <c r="T42" s="36" t="s">
        <v>580</v>
      </c>
      <c r="U42" s="36" t="s">
        <v>581</v>
      </c>
      <c r="V42" s="36" t="s">
        <v>582</v>
      </c>
      <c r="W42" s="36" t="s">
        <v>583</v>
      </c>
      <c r="X42" s="36" t="s">
        <v>562</v>
      </c>
      <c r="Y42" s="36" t="s">
        <v>584</v>
      </c>
      <c r="Z42" s="36" t="s">
        <v>585</v>
      </c>
      <c r="AA42" s="36" t="s">
        <v>586</v>
      </c>
      <c r="AB42" s="36" t="s">
        <v>587</v>
      </c>
      <c r="AC42" s="36" t="s">
        <v>563</v>
      </c>
      <c r="AD42" s="36" t="s">
        <v>588</v>
      </c>
      <c r="AE42" s="36" t="s">
        <v>589</v>
      </c>
      <c r="AF42" s="36" t="s">
        <v>590</v>
      </c>
      <c r="AG42" s="36" t="s">
        <v>591</v>
      </c>
      <c r="AH42" s="36" t="s">
        <v>564</v>
      </c>
      <c r="AI42" s="36" t="s">
        <v>592</v>
      </c>
      <c r="AJ42" s="36" t="s">
        <v>593</v>
      </c>
      <c r="AK42" s="36" t="s">
        <v>594</v>
      </c>
      <c r="AL42" s="36" t="s">
        <v>595</v>
      </c>
      <c r="AM42" s="36" t="s">
        <v>565</v>
      </c>
    </row>
    <row r="43" spans="1:39">
      <c r="A43" s="199">
        <v>52325.432882070083</v>
      </c>
      <c r="B43" s="199">
        <v>53104.386458423345</v>
      </c>
      <c r="C43" s="199">
        <v>53912.365691429273</v>
      </c>
      <c r="D43" s="199">
        <v>54750.491457321114</v>
      </c>
      <c r="E43" s="199">
        <v>55619.940469824825</v>
      </c>
      <c r="F43" s="199">
        <v>56521.948041648095</v>
      </c>
      <c r="G43" s="199">
        <v>57436.000617299658</v>
      </c>
      <c r="H43" s="199">
        <v>58364.834921819442</v>
      </c>
      <c r="I43" s="199">
        <v>59308.69</v>
      </c>
      <c r="J43" s="199">
        <v>59991.580449204266</v>
      </c>
      <c r="K43" s="199">
        <v>60682.333816399376</v>
      </c>
      <c r="L43" s="199">
        <v>61381.040636574369</v>
      </c>
      <c r="M43" s="199">
        <v>62087.792487153696</v>
      </c>
      <c r="N43" s="199">
        <v>62802.682000000023</v>
      </c>
      <c r="O43" s="199">
        <v>63421.065342005146</v>
      </c>
      <c r="P43" s="199">
        <v>64045.537563425794</v>
      </c>
      <c r="Q43" s="199">
        <v>64676.158618096451</v>
      </c>
      <c r="R43" s="199">
        <v>65312.989050183925</v>
      </c>
      <c r="S43" s="199">
        <v>65956.09</v>
      </c>
      <c r="T43" s="199">
        <v>66518.97719068767</v>
      </c>
      <c r="U43" s="199">
        <v>67086.668213583107</v>
      </c>
      <c r="V43" s="199">
        <v>67659.20406589545</v>
      </c>
      <c r="W43" s="199">
        <v>68236.62609471516</v>
      </c>
      <c r="X43" s="199">
        <v>68818.97600000001</v>
      </c>
      <c r="Y43" s="199">
        <v>69322.810489383541</v>
      </c>
      <c r="Z43" s="199">
        <v>69830.333629884059</v>
      </c>
      <c r="AA43" s="199">
        <v>70341.572426693441</v>
      </c>
      <c r="AB43" s="199">
        <v>70856.554082712813</v>
      </c>
      <c r="AC43" s="199">
        <v>71375.305999999997</v>
      </c>
      <c r="AD43" s="199">
        <v>71818.612994947311</v>
      </c>
      <c r="AE43" s="199">
        <v>72264.673338395412</v>
      </c>
      <c r="AF43" s="199">
        <v>72713.504131197798</v>
      </c>
      <c r="AG43" s="199">
        <v>73165.122580420139</v>
      </c>
      <c r="AH43" s="199">
        <v>73619.545999999973</v>
      </c>
      <c r="AI43" s="199">
        <v>73995.362001779533</v>
      </c>
      <c r="AJ43" s="199">
        <v>74373.096484110356</v>
      </c>
      <c r="AK43" s="199">
        <v>74752.759240528656</v>
      </c>
      <c r="AL43" s="199">
        <v>75134.360114565105</v>
      </c>
      <c r="AM43" s="199">
        <v>75517.908999999985</v>
      </c>
    </row>
    <row r="49" spans="1:40">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row>
    <row r="60" spans="1:40">
      <c r="B60" s="36" t="s">
        <v>557</v>
      </c>
      <c r="C60" s="36" t="s">
        <v>566</v>
      </c>
      <c r="D60" s="36" t="s">
        <v>567</v>
      </c>
      <c r="E60" s="36" t="s">
        <v>558</v>
      </c>
      <c r="F60" s="36" t="s">
        <v>568</v>
      </c>
      <c r="G60" s="36" t="s">
        <v>569</v>
      </c>
      <c r="H60" s="36" t="s">
        <v>570</v>
      </c>
      <c r="I60" s="36" t="s">
        <v>571</v>
      </c>
      <c r="J60" s="36" t="s">
        <v>559</v>
      </c>
      <c r="K60" s="36" t="s">
        <v>572</v>
      </c>
      <c r="L60" s="36" t="s">
        <v>573</v>
      </c>
      <c r="M60" s="36" t="s">
        <v>574</v>
      </c>
      <c r="N60" s="36" t="s">
        <v>575</v>
      </c>
      <c r="O60" s="36" t="s">
        <v>560</v>
      </c>
      <c r="P60" s="36" t="s">
        <v>576</v>
      </c>
      <c r="Q60" s="36" t="s">
        <v>577</v>
      </c>
      <c r="R60" s="36" t="s">
        <v>578</v>
      </c>
      <c r="S60" s="36" t="s">
        <v>579</v>
      </c>
      <c r="T60" s="36" t="s">
        <v>561</v>
      </c>
      <c r="U60" s="36" t="s">
        <v>580</v>
      </c>
      <c r="V60" s="36" t="s">
        <v>581</v>
      </c>
      <c r="W60" s="36" t="s">
        <v>582</v>
      </c>
      <c r="X60" s="36" t="s">
        <v>583</v>
      </c>
      <c r="Y60" s="36" t="s">
        <v>562</v>
      </c>
      <c r="Z60" s="36" t="s">
        <v>584</v>
      </c>
      <c r="AA60" s="36" t="s">
        <v>585</v>
      </c>
      <c r="AB60" s="36" t="s">
        <v>586</v>
      </c>
      <c r="AC60" s="36" t="s">
        <v>587</v>
      </c>
      <c r="AD60" s="36" t="s">
        <v>563</v>
      </c>
      <c r="AE60" s="36" t="s">
        <v>588</v>
      </c>
      <c r="AF60" s="36" t="s">
        <v>589</v>
      </c>
      <c r="AG60" s="36" t="s">
        <v>590</v>
      </c>
      <c r="AH60" s="36" t="s">
        <v>591</v>
      </c>
      <c r="AI60" s="36" t="s">
        <v>564</v>
      </c>
      <c r="AJ60" s="36" t="s">
        <v>592</v>
      </c>
      <c r="AK60" s="36" t="s">
        <v>593</v>
      </c>
      <c r="AL60" s="36" t="s">
        <v>594</v>
      </c>
      <c r="AM60" s="36" t="s">
        <v>595</v>
      </c>
      <c r="AN60" s="36" t="s">
        <v>565</v>
      </c>
    </row>
    <row r="61" spans="1:40">
      <c r="A61" s="36" t="s">
        <v>275</v>
      </c>
      <c r="B61" s="199">
        <v>0.50003199863472492</v>
      </c>
      <c r="C61" s="199">
        <v>0.49674335943460585</v>
      </c>
      <c r="D61" s="199">
        <v>0.48822868689454441</v>
      </c>
      <c r="E61" s="199">
        <v>0.48147500627885365</v>
      </c>
      <c r="F61" s="199">
        <v>0.47737656478533347</v>
      </c>
      <c r="G61" s="199">
        <v>0.47023794558911891</v>
      </c>
      <c r="H61" s="199">
        <v>0.46353394236211087</v>
      </c>
      <c r="I61" s="199">
        <v>0.46108769196199162</v>
      </c>
      <c r="J61" s="199">
        <v>0.47398769619141334</v>
      </c>
      <c r="K61" s="199">
        <v>0.48048204001899236</v>
      </c>
      <c r="L61" s="199">
        <v>0.46632260330648179</v>
      </c>
      <c r="M61" s="199">
        <v>0.45300257157848828</v>
      </c>
      <c r="N61" s="199">
        <v>0.4383019395470128</v>
      </c>
      <c r="O61" s="199">
        <v>0.42309324660385594</v>
      </c>
      <c r="P61" s="199">
        <v>0.40826007694324618</v>
      </c>
      <c r="Q61" s="199">
        <v>0.39299615998795007</v>
      </c>
      <c r="R61" s="199">
        <v>0.37789791506907178</v>
      </c>
      <c r="S61" s="199">
        <v>0.36226951963365644</v>
      </c>
      <c r="T61" s="199">
        <v>0.34685097544437032</v>
      </c>
      <c r="U61" s="199">
        <v>0.33263631471972044</v>
      </c>
      <c r="V61" s="199">
        <v>0.31889658049946834</v>
      </c>
      <c r="W61" s="199">
        <v>0.30575326561032051</v>
      </c>
      <c r="X61" s="199">
        <v>0.29312905643528181</v>
      </c>
      <c r="Y61" s="199">
        <v>0.28141052105932723</v>
      </c>
      <c r="Z61" s="199">
        <v>0.27064183869216824</v>
      </c>
      <c r="AA61" s="199">
        <v>0.25930987140118861</v>
      </c>
      <c r="AB61" s="199">
        <v>0.24835342739275609</v>
      </c>
      <c r="AC61" s="199">
        <v>0.23803758192513916</v>
      </c>
      <c r="AD61" s="199">
        <v>0.22807517013521361</v>
      </c>
      <c r="AE61" s="199">
        <v>0.2187533568861037</v>
      </c>
      <c r="AF61" s="199">
        <v>0.20991751494381938</v>
      </c>
      <c r="AG61" s="199">
        <v>0.20139092746951501</v>
      </c>
      <c r="AH61" s="199">
        <v>0.19314046005590704</v>
      </c>
      <c r="AI61" s="199">
        <v>0.18524342631999047</v>
      </c>
      <c r="AJ61" s="199">
        <v>0.17810848395159587</v>
      </c>
      <c r="AK61" s="199">
        <v>0.17139324407545983</v>
      </c>
      <c r="AL61" s="199">
        <v>0.16492098985273657</v>
      </c>
      <c r="AM61" s="199">
        <v>0.15866963167857043</v>
      </c>
      <c r="AN61" s="199">
        <v>0.1526060351456778</v>
      </c>
    </row>
    <row r="62" spans="1:40">
      <c r="A62" s="36" t="s">
        <v>276</v>
      </c>
      <c r="B62" s="199">
        <v>0.30001919918083497</v>
      </c>
      <c r="C62" s="199">
        <v>0.29644362454654938</v>
      </c>
      <c r="D62" s="199">
        <v>0.29989890368726985</v>
      </c>
      <c r="E62" s="199">
        <v>0.30319595185227072</v>
      </c>
      <c r="F62" s="199">
        <v>0.30522800836475233</v>
      </c>
      <c r="G62" s="199">
        <v>0.30605482173653453</v>
      </c>
      <c r="H62" s="199">
        <v>0.30932373575545163</v>
      </c>
      <c r="I62" s="199">
        <v>0.31228368417755731</v>
      </c>
      <c r="J62" s="199">
        <v>0.32375163521226069</v>
      </c>
      <c r="K62" s="199">
        <v>0.31007808577642904</v>
      </c>
      <c r="L62" s="199">
        <v>0.31742933525837452</v>
      </c>
      <c r="M62" s="199">
        <v>0.32340320310815612</v>
      </c>
      <c r="N62" s="199">
        <v>0.32959823883114625</v>
      </c>
      <c r="O62" s="199">
        <v>0.33633843730358653</v>
      </c>
      <c r="P62" s="199">
        <v>0.34171991379260791</v>
      </c>
      <c r="Q62" s="199">
        <v>0.34765271854906404</v>
      </c>
      <c r="R62" s="199">
        <v>0.35335492305300714</v>
      </c>
      <c r="S62" s="199">
        <v>0.35882669039922782</v>
      </c>
      <c r="T62" s="199">
        <v>0.3648028168763679</v>
      </c>
      <c r="U62" s="199">
        <v>0.36945447891612304</v>
      </c>
      <c r="V62" s="199">
        <v>0.37410426288303206</v>
      </c>
      <c r="W62" s="199">
        <v>0.37845444222098673</v>
      </c>
      <c r="X62" s="199">
        <v>0.38260088146586674</v>
      </c>
      <c r="Y62" s="199">
        <v>0.38673209101811257</v>
      </c>
      <c r="Z62" s="199">
        <v>0.38955170464331734</v>
      </c>
      <c r="AA62" s="199">
        <v>0.39212763822087277</v>
      </c>
      <c r="AB62" s="199">
        <v>0.39511646256846666</v>
      </c>
      <c r="AC62" s="199">
        <v>0.39762237118576232</v>
      </c>
      <c r="AD62" s="199">
        <v>0.40005310990863213</v>
      </c>
      <c r="AE62" s="199">
        <v>0.40166701636128477</v>
      </c>
      <c r="AF62" s="199">
        <v>0.40297118523651337</v>
      </c>
      <c r="AG62" s="199">
        <v>0.40411450699483698</v>
      </c>
      <c r="AH62" s="199">
        <v>0.40513939150298151</v>
      </c>
      <c r="AI62" s="199">
        <v>0.40606127973837347</v>
      </c>
      <c r="AJ62" s="199">
        <v>0.4062118011468015</v>
      </c>
      <c r="AK62" s="199">
        <v>0.40610030287348792</v>
      </c>
      <c r="AL62" s="199">
        <v>0.40587567537895236</v>
      </c>
      <c r="AM62" s="199">
        <v>0.40554145734916591</v>
      </c>
      <c r="AN62" s="199">
        <v>0.40511223227252768</v>
      </c>
    </row>
    <row r="63" spans="1:40">
      <c r="A63" s="36" t="s">
        <v>277</v>
      </c>
      <c r="B63" s="199">
        <v>0.19994880218444011</v>
      </c>
      <c r="C63" s="199">
        <v>0.20681301601884478</v>
      </c>
      <c r="D63" s="199">
        <v>0.21187240941818569</v>
      </c>
      <c r="E63" s="199">
        <v>0.21532904186887569</v>
      </c>
      <c r="F63" s="199">
        <v>0.21739542684991425</v>
      </c>
      <c r="G63" s="199">
        <v>0.22370723267434656</v>
      </c>
      <c r="H63" s="199">
        <v>0.22714232188243744</v>
      </c>
      <c r="I63" s="199">
        <v>0.22662862386045102</v>
      </c>
      <c r="J63" s="199">
        <v>0.20226066859632597</v>
      </c>
      <c r="K63" s="199">
        <v>0.20943987420457857</v>
      </c>
      <c r="L63" s="199">
        <v>0.21624806143514369</v>
      </c>
      <c r="M63" s="199">
        <v>0.22359422531335565</v>
      </c>
      <c r="N63" s="199">
        <v>0.23209982162184098</v>
      </c>
      <c r="O63" s="199">
        <v>0.24056831609255752</v>
      </c>
      <c r="P63" s="199">
        <v>0.25002000926414591</v>
      </c>
      <c r="Q63" s="199">
        <v>0.25935112146298583</v>
      </c>
      <c r="R63" s="199">
        <v>0.26874716187792108</v>
      </c>
      <c r="S63" s="199">
        <v>0.27890378996711568</v>
      </c>
      <c r="T63" s="199">
        <v>0.28834620767926183</v>
      </c>
      <c r="U63" s="199">
        <v>0.29790920636415652</v>
      </c>
      <c r="V63" s="199">
        <v>0.3069991566174996</v>
      </c>
      <c r="W63" s="199">
        <v>0.3157922921686927</v>
      </c>
      <c r="X63" s="199">
        <v>0.32427006209885151</v>
      </c>
      <c r="Y63" s="199">
        <v>0.33185738792256025</v>
      </c>
      <c r="Z63" s="199">
        <v>0.33980645666451437</v>
      </c>
      <c r="AA63" s="199">
        <v>0.34856249037793868</v>
      </c>
      <c r="AB63" s="199">
        <v>0.35653011003877721</v>
      </c>
      <c r="AC63" s="199">
        <v>0.36434004688909855</v>
      </c>
      <c r="AD63" s="199">
        <v>0.37187171995615426</v>
      </c>
      <c r="AE63" s="199">
        <v>0.37957962675261148</v>
      </c>
      <c r="AF63" s="199">
        <v>0.38711129981966724</v>
      </c>
      <c r="AG63" s="199">
        <v>0.39449456553564799</v>
      </c>
      <c r="AH63" s="199">
        <v>0.40172014844111148</v>
      </c>
      <c r="AI63" s="199">
        <v>0.40869529394163606</v>
      </c>
      <c r="AJ63" s="199">
        <v>0.41567971490160266</v>
      </c>
      <c r="AK63" s="199">
        <v>0.42250645305105222</v>
      </c>
      <c r="AL63" s="199">
        <v>0.42920333476831102</v>
      </c>
      <c r="AM63" s="199">
        <v>0.43578891097226369</v>
      </c>
      <c r="AN63" s="199">
        <v>0.44228173258179448</v>
      </c>
    </row>
    <row r="64" spans="1:40">
      <c r="A64" s="36"/>
    </row>
    <row r="65" spans="1:39">
      <c r="A65" s="36"/>
    </row>
    <row r="66" spans="1:39">
      <c r="A66" s="36"/>
    </row>
    <row r="70" spans="1:39">
      <c r="A70" s="36" t="s">
        <v>557</v>
      </c>
      <c r="B70" s="36" t="s">
        <v>566</v>
      </c>
      <c r="C70" s="36" t="s">
        <v>567</v>
      </c>
      <c r="D70" s="36" t="s">
        <v>558</v>
      </c>
      <c r="E70" s="36" t="s">
        <v>568</v>
      </c>
      <c r="F70" s="36" t="s">
        <v>569</v>
      </c>
      <c r="G70" s="36" t="s">
        <v>570</v>
      </c>
      <c r="H70" s="36" t="s">
        <v>571</v>
      </c>
      <c r="I70" s="36" t="s">
        <v>559</v>
      </c>
      <c r="J70" s="36" t="s">
        <v>572</v>
      </c>
      <c r="K70" s="36" t="s">
        <v>573</v>
      </c>
      <c r="L70" s="36" t="s">
        <v>574</v>
      </c>
      <c r="M70" s="36" t="s">
        <v>575</v>
      </c>
      <c r="N70" s="36" t="s">
        <v>560</v>
      </c>
      <c r="O70" s="36" t="s">
        <v>576</v>
      </c>
      <c r="P70" s="36" t="s">
        <v>577</v>
      </c>
      <c r="Q70" s="36" t="s">
        <v>578</v>
      </c>
      <c r="R70" s="36" t="s">
        <v>579</v>
      </c>
      <c r="S70" s="36" t="s">
        <v>561</v>
      </c>
      <c r="T70" s="36" t="s">
        <v>580</v>
      </c>
      <c r="U70" s="36" t="s">
        <v>581</v>
      </c>
      <c r="V70" s="36" t="s">
        <v>582</v>
      </c>
      <c r="W70" s="36" t="s">
        <v>583</v>
      </c>
      <c r="X70" s="36" t="s">
        <v>562</v>
      </c>
      <c r="Y70" s="36" t="s">
        <v>584</v>
      </c>
      <c r="Z70" s="36" t="s">
        <v>585</v>
      </c>
      <c r="AA70" s="36" t="s">
        <v>586</v>
      </c>
      <c r="AB70" s="36" t="s">
        <v>587</v>
      </c>
      <c r="AC70" s="36" t="s">
        <v>563</v>
      </c>
      <c r="AD70" s="36" t="s">
        <v>588</v>
      </c>
      <c r="AE70" s="36" t="s">
        <v>589</v>
      </c>
      <c r="AF70" s="36" t="s">
        <v>590</v>
      </c>
      <c r="AG70" s="36" t="s">
        <v>591</v>
      </c>
      <c r="AH70" s="36" t="s">
        <v>564</v>
      </c>
      <c r="AI70" s="36" t="s">
        <v>592</v>
      </c>
      <c r="AJ70" s="36" t="s">
        <v>593</v>
      </c>
      <c r="AK70" s="36" t="s">
        <v>594</v>
      </c>
      <c r="AL70" s="36" t="s">
        <v>595</v>
      </c>
      <c r="AM70" s="36" t="s">
        <v>565</v>
      </c>
    </row>
    <row r="71" spans="1:39">
      <c r="A71" s="300">
        <v>0.29299999999999998</v>
      </c>
      <c r="B71" s="300">
        <v>0.29799999999999999</v>
      </c>
      <c r="C71" s="300">
        <v>0.30099999999999999</v>
      </c>
      <c r="D71" s="300">
        <v>0.30299999999999999</v>
      </c>
      <c r="E71" s="300">
        <v>0.30299999999999999</v>
      </c>
      <c r="F71" s="300">
        <v>0.307</v>
      </c>
      <c r="G71" s="300">
        <v>0.308</v>
      </c>
      <c r="H71" s="300">
        <v>0.30599999999999999</v>
      </c>
      <c r="I71" s="300">
        <v>0.27900000000000003</v>
      </c>
      <c r="J71" s="300">
        <v>0.29081079913606916</v>
      </c>
      <c r="K71" s="300">
        <v>0.29743930885529163</v>
      </c>
      <c r="L71" s="300">
        <v>0.30520810765907963</v>
      </c>
      <c r="M71" s="300">
        <v>0.31461781026748631</v>
      </c>
      <c r="N71" s="300">
        <v>0.3244725037381625</v>
      </c>
      <c r="O71" s="300">
        <v>0.33579195879714235</v>
      </c>
      <c r="P71" s="300">
        <v>0.34753786343246384</v>
      </c>
      <c r="Q71" s="300">
        <v>0.39310307360026581</v>
      </c>
      <c r="R71" s="300">
        <v>0.40956773550423659</v>
      </c>
      <c r="S71" s="300">
        <v>0.42587479647782017</v>
      </c>
      <c r="T71" s="300">
        <v>0.4432850639641136</v>
      </c>
      <c r="U71" s="300">
        <v>0.46098272138228935</v>
      </c>
      <c r="V71" s="300">
        <v>0.4793200531649775</v>
      </c>
      <c r="W71" s="300">
        <v>0.49854736667220462</v>
      </c>
      <c r="X71" s="300">
        <v>0.51659730852301033</v>
      </c>
      <c r="Y71" s="300">
        <v>0.536260342249543</v>
      </c>
      <c r="Z71" s="300">
        <v>0.5601786010965274</v>
      </c>
      <c r="AA71" s="300">
        <v>0.62079006479481613</v>
      </c>
      <c r="AB71" s="300">
        <v>0.64689619538129239</v>
      </c>
      <c r="AC71" s="300">
        <v>0.67391084897823539</v>
      </c>
      <c r="AD71" s="300">
        <v>0.701685695298222</v>
      </c>
      <c r="AE71" s="300">
        <v>0.7310272802791159</v>
      </c>
      <c r="AF71" s="300">
        <v>0.76197268649277261</v>
      </c>
      <c r="AG71" s="300">
        <v>0.79467024422661536</v>
      </c>
      <c r="AH71" s="300">
        <v>0.82848027911613187</v>
      </c>
      <c r="AI71" s="300">
        <v>0.862002924073766</v>
      </c>
      <c r="AJ71" s="300">
        <v>0.89707376640637937</v>
      </c>
      <c r="AK71" s="300">
        <v>0.9338411364013951</v>
      </c>
      <c r="AL71" s="300">
        <v>0.97244409370327267</v>
      </c>
      <c r="AM71" s="300">
        <v>1.0131607576009301</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557</v>
      </c>
      <c r="D101" s="36" t="s">
        <v>566</v>
      </c>
      <c r="E101" s="36" t="s">
        <v>567</v>
      </c>
      <c r="F101" s="36" t="s">
        <v>558</v>
      </c>
      <c r="G101" s="36" t="s">
        <v>568</v>
      </c>
      <c r="H101" s="36" t="s">
        <v>569</v>
      </c>
      <c r="I101" s="36" t="s">
        <v>570</v>
      </c>
      <c r="J101" s="36" t="s">
        <v>571</v>
      </c>
      <c r="K101" s="36" t="s">
        <v>559</v>
      </c>
      <c r="L101" s="36" t="s">
        <v>572</v>
      </c>
      <c r="M101" s="36" t="s">
        <v>573</v>
      </c>
      <c r="N101" s="36" t="s">
        <v>574</v>
      </c>
      <c r="O101" s="36" t="s">
        <v>575</v>
      </c>
      <c r="P101" s="36" t="s">
        <v>560</v>
      </c>
      <c r="Q101" s="36" t="s">
        <v>576</v>
      </c>
      <c r="R101" s="36" t="s">
        <v>577</v>
      </c>
      <c r="S101" s="36" t="s">
        <v>578</v>
      </c>
      <c r="T101" s="36" t="s">
        <v>579</v>
      </c>
      <c r="U101" s="36" t="s">
        <v>561</v>
      </c>
      <c r="V101" s="36" t="s">
        <v>580</v>
      </c>
      <c r="W101" s="36" t="s">
        <v>581</v>
      </c>
      <c r="X101" s="36" t="s">
        <v>582</v>
      </c>
      <c r="Y101" s="36" t="s">
        <v>583</v>
      </c>
      <c r="Z101" s="36" t="s">
        <v>562</v>
      </c>
      <c r="AA101" s="36" t="s">
        <v>584</v>
      </c>
      <c r="AB101" s="36" t="s">
        <v>585</v>
      </c>
      <c r="AC101" s="36" t="s">
        <v>586</v>
      </c>
      <c r="AD101" s="36" t="s">
        <v>587</v>
      </c>
      <c r="AE101" s="36" t="s">
        <v>563</v>
      </c>
      <c r="AF101" s="36" t="s">
        <v>588</v>
      </c>
      <c r="AG101" s="36" t="s">
        <v>589</v>
      </c>
      <c r="AH101" s="36" t="s">
        <v>590</v>
      </c>
      <c r="AI101" s="36" t="s">
        <v>591</v>
      </c>
      <c r="AJ101" s="36" t="s">
        <v>564</v>
      </c>
      <c r="AK101" s="36" t="s">
        <v>592</v>
      </c>
      <c r="AL101" s="36" t="s">
        <v>593</v>
      </c>
      <c r="AM101" s="36" t="s">
        <v>594</v>
      </c>
      <c r="AN101" s="36" t="s">
        <v>595</v>
      </c>
      <c r="AO101" s="36" t="s">
        <v>565</v>
      </c>
      <c r="AP101" s="36"/>
      <c r="AQ101" s="36"/>
      <c r="AR101" s="36"/>
      <c r="AS101" s="36"/>
      <c r="AT101" s="36"/>
      <c r="AU101" s="36"/>
    </row>
    <row r="102" spans="1:47">
      <c r="A102" s="300" t="s">
        <v>275</v>
      </c>
      <c r="B102" s="300" t="s">
        <v>531</v>
      </c>
      <c r="C102" s="300" t="s">
        <v>395</v>
      </c>
      <c r="D102" s="300" t="s">
        <v>395</v>
      </c>
      <c r="E102" s="300" t="s">
        <v>395</v>
      </c>
      <c r="F102" s="300" t="s">
        <v>395</v>
      </c>
      <c r="G102" s="300" t="s">
        <v>395</v>
      </c>
      <c r="H102" s="300" t="s">
        <v>395</v>
      </c>
      <c r="I102" s="300" t="s">
        <v>395</v>
      </c>
      <c r="J102" s="300" t="s">
        <v>395</v>
      </c>
      <c r="K102" s="300" t="s">
        <v>395</v>
      </c>
      <c r="L102" s="300" t="s">
        <v>395</v>
      </c>
      <c r="M102" s="300" t="s">
        <v>395</v>
      </c>
      <c r="N102" s="300" t="s">
        <v>395</v>
      </c>
      <c r="O102" s="300" t="s">
        <v>395</v>
      </c>
      <c r="P102" s="300" t="s">
        <v>395</v>
      </c>
      <c r="Q102" s="300" t="s">
        <v>395</v>
      </c>
      <c r="R102" s="300" t="s">
        <v>395</v>
      </c>
      <c r="S102" s="300" t="s">
        <v>395</v>
      </c>
      <c r="T102" s="300" t="s">
        <v>395</v>
      </c>
      <c r="U102" s="300" t="s">
        <v>395</v>
      </c>
      <c r="V102" s="300" t="s">
        <v>395</v>
      </c>
      <c r="W102" s="300" t="s">
        <v>395</v>
      </c>
      <c r="X102" s="300" t="s">
        <v>395</v>
      </c>
      <c r="Y102" s="300" t="s">
        <v>395</v>
      </c>
      <c r="Z102" s="300" t="s">
        <v>395</v>
      </c>
      <c r="AA102" s="300" t="s">
        <v>395</v>
      </c>
      <c r="AB102" s="300" t="s">
        <v>395</v>
      </c>
      <c r="AC102" s="300" t="s">
        <v>395</v>
      </c>
      <c r="AD102" s="300" t="s">
        <v>395</v>
      </c>
      <c r="AE102" s="300" t="s">
        <v>395</v>
      </c>
      <c r="AF102" s="300" t="s">
        <v>395</v>
      </c>
      <c r="AG102" s="300" t="s">
        <v>395</v>
      </c>
      <c r="AH102" s="300" t="s">
        <v>395</v>
      </c>
      <c r="AI102" s="300" t="s">
        <v>395</v>
      </c>
      <c r="AJ102" s="300" t="s">
        <v>395</v>
      </c>
      <c r="AK102" s="300" t="s">
        <v>395</v>
      </c>
      <c r="AL102" s="300" t="s">
        <v>395</v>
      </c>
      <c r="AM102" s="300" t="s">
        <v>395</v>
      </c>
      <c r="AN102" s="300" t="s">
        <v>395</v>
      </c>
      <c r="AO102" s="300" t="s">
        <v>395</v>
      </c>
    </row>
    <row r="103" spans="1:47">
      <c r="A103" s="300" t="s">
        <v>275</v>
      </c>
      <c r="B103" s="300" t="s">
        <v>532</v>
      </c>
      <c r="C103" s="300" t="s">
        <v>395</v>
      </c>
      <c r="D103" s="300" t="s">
        <v>395</v>
      </c>
      <c r="E103" s="300" t="s">
        <v>395</v>
      </c>
      <c r="F103" s="300" t="s">
        <v>395</v>
      </c>
      <c r="G103" s="300" t="s">
        <v>395</v>
      </c>
      <c r="H103" s="300" t="s">
        <v>395</v>
      </c>
      <c r="I103" s="300" t="s">
        <v>395</v>
      </c>
      <c r="J103" s="300" t="s">
        <v>395</v>
      </c>
      <c r="K103" s="300" t="s">
        <v>395</v>
      </c>
      <c r="L103" s="300" t="s">
        <v>395</v>
      </c>
      <c r="M103" s="300" t="s">
        <v>395</v>
      </c>
      <c r="N103" s="300" t="s">
        <v>395</v>
      </c>
      <c r="O103" s="300" t="s">
        <v>395</v>
      </c>
      <c r="P103" s="300" t="s">
        <v>395</v>
      </c>
      <c r="Q103" s="300" t="s">
        <v>395</v>
      </c>
      <c r="R103" s="300" t="s">
        <v>395</v>
      </c>
      <c r="S103" s="300" t="s">
        <v>395</v>
      </c>
      <c r="T103" s="300" t="s">
        <v>395</v>
      </c>
      <c r="U103" s="300" t="s">
        <v>395</v>
      </c>
      <c r="V103" s="300" t="s">
        <v>395</v>
      </c>
      <c r="W103" s="300" t="s">
        <v>395</v>
      </c>
      <c r="X103" s="300" t="s">
        <v>395</v>
      </c>
      <c r="Y103" s="300" t="s">
        <v>395</v>
      </c>
      <c r="Z103" s="300" t="s">
        <v>395</v>
      </c>
      <c r="AA103" s="300" t="s">
        <v>395</v>
      </c>
      <c r="AB103" s="300" t="s">
        <v>395</v>
      </c>
      <c r="AC103" s="300" t="s">
        <v>395</v>
      </c>
      <c r="AD103" s="300" t="s">
        <v>395</v>
      </c>
      <c r="AE103" s="300" t="s">
        <v>395</v>
      </c>
      <c r="AF103" s="300" t="s">
        <v>395</v>
      </c>
      <c r="AG103" s="300"/>
      <c r="AH103" s="300"/>
      <c r="AI103" s="300"/>
      <c r="AJ103" s="300"/>
      <c r="AK103" s="300"/>
      <c r="AL103" s="300"/>
      <c r="AM103" s="300"/>
      <c r="AN103" s="300"/>
      <c r="AO103" s="300"/>
    </row>
    <row r="104" spans="1:47">
      <c r="A104" s="300" t="s">
        <v>275</v>
      </c>
      <c r="B104" s="300" t="s">
        <v>533</v>
      </c>
      <c r="C104" s="300" t="s">
        <v>395</v>
      </c>
      <c r="D104" s="300" t="s">
        <v>395</v>
      </c>
      <c r="E104" s="300" t="s">
        <v>395</v>
      </c>
      <c r="F104" s="300" t="s">
        <v>395</v>
      </c>
      <c r="G104" s="300" t="s">
        <v>395</v>
      </c>
      <c r="H104" s="300" t="s">
        <v>395</v>
      </c>
      <c r="I104" s="300" t="s">
        <v>395</v>
      </c>
      <c r="J104" s="300" t="s">
        <v>395</v>
      </c>
      <c r="K104" s="300" t="s">
        <v>395</v>
      </c>
      <c r="L104" s="300" t="s">
        <v>395</v>
      </c>
      <c r="M104" s="300" t="s">
        <v>395</v>
      </c>
      <c r="N104" s="300" t="s">
        <v>395</v>
      </c>
      <c r="O104" s="300" t="s">
        <v>395</v>
      </c>
      <c r="P104" s="300" t="s">
        <v>395</v>
      </c>
      <c r="Q104" s="300" t="s">
        <v>395</v>
      </c>
      <c r="R104" s="300" t="s">
        <v>395</v>
      </c>
      <c r="S104" s="300" t="s">
        <v>395</v>
      </c>
      <c r="T104" s="300" t="s">
        <v>395</v>
      </c>
      <c r="U104" s="300" t="s">
        <v>395</v>
      </c>
      <c r="V104" s="300" t="s">
        <v>395</v>
      </c>
      <c r="W104" s="300" t="s">
        <v>395</v>
      </c>
      <c r="X104" s="300"/>
      <c r="Y104" s="300"/>
      <c r="Z104" s="300"/>
      <c r="AA104" s="300"/>
      <c r="AB104" s="300"/>
      <c r="AC104" s="300"/>
      <c r="AD104" s="300"/>
      <c r="AE104" s="300"/>
      <c r="AF104" s="300"/>
      <c r="AG104" s="300"/>
      <c r="AH104" s="300"/>
      <c r="AI104" s="300"/>
      <c r="AJ104" s="300"/>
      <c r="AK104" s="300"/>
      <c r="AL104" s="300"/>
      <c r="AM104" s="300"/>
      <c r="AN104" s="300"/>
      <c r="AO104" s="300"/>
    </row>
    <row r="105" spans="1:47">
      <c r="A105" s="300" t="s">
        <v>275</v>
      </c>
      <c r="B105" s="300" t="s">
        <v>534</v>
      </c>
      <c r="C105" s="300" t="s">
        <v>395</v>
      </c>
      <c r="D105" s="300" t="s">
        <v>395</v>
      </c>
      <c r="E105" s="300" t="s">
        <v>395</v>
      </c>
      <c r="F105" s="300" t="s">
        <v>395</v>
      </c>
      <c r="G105" s="300" t="s">
        <v>395</v>
      </c>
      <c r="H105" s="300" t="s">
        <v>395</v>
      </c>
      <c r="I105" s="300" t="s">
        <v>395</v>
      </c>
      <c r="J105" s="300" t="s">
        <v>395</v>
      </c>
      <c r="K105" s="300" t="s">
        <v>395</v>
      </c>
      <c r="L105" s="300" t="s">
        <v>395</v>
      </c>
      <c r="M105" s="300" t="s">
        <v>395</v>
      </c>
      <c r="N105" s="300" t="s">
        <v>395</v>
      </c>
      <c r="O105" s="300" t="s">
        <v>395</v>
      </c>
      <c r="P105" s="300" t="s">
        <v>395</v>
      </c>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row>
    <row r="106" spans="1:47">
      <c r="A106" s="300" t="s">
        <v>276</v>
      </c>
      <c r="B106" s="300" t="s">
        <v>532</v>
      </c>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t="s">
        <v>395</v>
      </c>
      <c r="AH106" s="300" t="s">
        <v>395</v>
      </c>
      <c r="AI106" s="300" t="s">
        <v>395</v>
      </c>
      <c r="AJ106" s="300" t="s">
        <v>395</v>
      </c>
      <c r="AK106" s="300" t="s">
        <v>395</v>
      </c>
      <c r="AL106" s="300" t="s">
        <v>395</v>
      </c>
      <c r="AM106" s="300" t="s">
        <v>395</v>
      </c>
      <c r="AN106" s="300" t="s">
        <v>395</v>
      </c>
      <c r="AO106" s="300" t="s">
        <v>395</v>
      </c>
    </row>
    <row r="107" spans="1:47">
      <c r="A107" s="300" t="s">
        <v>276</v>
      </c>
      <c r="B107" s="300" t="s">
        <v>533</v>
      </c>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t="s">
        <v>395</v>
      </c>
      <c r="Y107" s="300" t="s">
        <v>395</v>
      </c>
      <c r="Z107" s="300" t="s">
        <v>395</v>
      </c>
      <c r="AA107" s="300" t="s">
        <v>395</v>
      </c>
      <c r="AB107" s="300" t="s">
        <v>395</v>
      </c>
      <c r="AC107" s="300" t="s">
        <v>395</v>
      </c>
      <c r="AD107" s="300" t="s">
        <v>395</v>
      </c>
      <c r="AE107" s="300" t="s">
        <v>395</v>
      </c>
      <c r="AF107" s="300" t="s">
        <v>395</v>
      </c>
      <c r="AG107" s="300" t="s">
        <v>395</v>
      </c>
      <c r="AH107" s="300" t="s">
        <v>395</v>
      </c>
      <c r="AI107" s="300" t="s">
        <v>395</v>
      </c>
      <c r="AJ107" s="300" t="s">
        <v>395</v>
      </c>
      <c r="AK107" s="300" t="s">
        <v>395</v>
      </c>
      <c r="AL107" s="300" t="s">
        <v>395</v>
      </c>
      <c r="AM107" s="300" t="s">
        <v>395</v>
      </c>
      <c r="AN107" s="300" t="s">
        <v>395</v>
      </c>
      <c r="AO107" s="300" t="s">
        <v>395</v>
      </c>
    </row>
    <row r="108" spans="1:47">
      <c r="A108" s="300" t="s">
        <v>276</v>
      </c>
      <c r="B108" s="300" t="s">
        <v>534</v>
      </c>
      <c r="C108" s="300"/>
      <c r="D108" s="300"/>
      <c r="E108" s="300"/>
      <c r="F108" s="300"/>
      <c r="G108" s="300"/>
      <c r="H108" s="300"/>
      <c r="I108" s="300"/>
      <c r="J108" s="300"/>
      <c r="K108" s="300"/>
      <c r="L108" s="300"/>
      <c r="M108" s="300"/>
      <c r="N108" s="300"/>
      <c r="O108" s="300"/>
      <c r="P108" s="300"/>
      <c r="Q108" s="300" t="s">
        <v>395</v>
      </c>
      <c r="R108" s="300" t="s">
        <v>395</v>
      </c>
      <c r="S108" s="300" t="s">
        <v>395</v>
      </c>
      <c r="T108" s="300" t="s">
        <v>395</v>
      </c>
      <c r="U108" s="300" t="s">
        <v>395</v>
      </c>
      <c r="V108" s="300" t="s">
        <v>395</v>
      </c>
      <c r="W108" s="300" t="s">
        <v>395</v>
      </c>
      <c r="X108" s="300" t="s">
        <v>395</v>
      </c>
      <c r="Y108" s="300" t="s">
        <v>395</v>
      </c>
      <c r="Z108" s="300" t="s">
        <v>395</v>
      </c>
      <c r="AA108" s="300" t="s">
        <v>395</v>
      </c>
      <c r="AB108" s="300" t="s">
        <v>395</v>
      </c>
      <c r="AC108" s="300" t="s">
        <v>395</v>
      </c>
      <c r="AD108" s="300" t="s">
        <v>395</v>
      </c>
      <c r="AE108" s="300" t="s">
        <v>395</v>
      </c>
      <c r="AF108" s="300" t="s">
        <v>395</v>
      </c>
      <c r="AG108" s="300" t="s">
        <v>395</v>
      </c>
      <c r="AH108" s="300" t="s">
        <v>395</v>
      </c>
      <c r="AI108" s="300" t="s">
        <v>395</v>
      </c>
      <c r="AJ108" s="300" t="s">
        <v>395</v>
      </c>
      <c r="AK108" s="300" t="s">
        <v>395</v>
      </c>
      <c r="AL108" s="300" t="s">
        <v>395</v>
      </c>
      <c r="AM108" s="300" t="s">
        <v>395</v>
      </c>
      <c r="AN108" s="300" t="s">
        <v>395</v>
      </c>
      <c r="AO108" s="300" t="s">
        <v>395</v>
      </c>
    </row>
    <row r="109" spans="1:47">
      <c r="A109" s="300" t="s">
        <v>276</v>
      </c>
      <c r="B109" s="300" t="s">
        <v>535</v>
      </c>
      <c r="C109" s="300" t="s">
        <v>395</v>
      </c>
      <c r="D109" s="300" t="s">
        <v>395</v>
      </c>
      <c r="E109" s="300" t="s">
        <v>395</v>
      </c>
      <c r="F109" s="300" t="s">
        <v>395</v>
      </c>
      <c r="G109" s="300" t="s">
        <v>395</v>
      </c>
      <c r="H109" s="300" t="s">
        <v>395</v>
      </c>
      <c r="I109" s="300" t="s">
        <v>395</v>
      </c>
      <c r="J109" s="300" t="s">
        <v>395</v>
      </c>
      <c r="K109" s="300" t="s">
        <v>395</v>
      </c>
      <c r="L109" s="300" t="s">
        <v>395</v>
      </c>
      <c r="M109" s="300" t="s">
        <v>395</v>
      </c>
      <c r="N109" s="300" t="s">
        <v>395</v>
      </c>
      <c r="O109" s="300" t="s">
        <v>395</v>
      </c>
      <c r="P109" s="300" t="s">
        <v>395</v>
      </c>
      <c r="Q109" s="300" t="s">
        <v>395</v>
      </c>
      <c r="R109" s="300" t="s">
        <v>395</v>
      </c>
      <c r="S109" s="300" t="s">
        <v>395</v>
      </c>
      <c r="T109" s="300" t="s">
        <v>395</v>
      </c>
      <c r="U109" s="300" t="s">
        <v>395</v>
      </c>
      <c r="V109" s="300" t="s">
        <v>395</v>
      </c>
      <c r="W109" s="300" t="s">
        <v>395</v>
      </c>
      <c r="X109" s="300" t="s">
        <v>395</v>
      </c>
      <c r="Y109" s="300" t="s">
        <v>395</v>
      </c>
      <c r="Z109" s="300" t="s">
        <v>395</v>
      </c>
      <c r="AA109" s="300" t="s">
        <v>395</v>
      </c>
      <c r="AB109" s="300" t="s">
        <v>395</v>
      </c>
      <c r="AC109" s="300" t="s">
        <v>395</v>
      </c>
      <c r="AD109" s="300" t="s">
        <v>395</v>
      </c>
      <c r="AE109" s="300" t="s">
        <v>395</v>
      </c>
      <c r="AF109" s="300" t="s">
        <v>395</v>
      </c>
      <c r="AG109" s="300" t="s">
        <v>395</v>
      </c>
      <c r="AH109" s="300" t="s">
        <v>395</v>
      </c>
      <c r="AI109" s="300" t="s">
        <v>395</v>
      </c>
      <c r="AJ109" s="300" t="s">
        <v>395</v>
      </c>
      <c r="AK109" s="300" t="s">
        <v>395</v>
      </c>
      <c r="AL109" s="300" t="s">
        <v>395</v>
      </c>
      <c r="AM109" s="300" t="s">
        <v>395</v>
      </c>
      <c r="AN109" s="300" t="s">
        <v>395</v>
      </c>
      <c r="AO109" s="300" t="s">
        <v>395</v>
      </c>
    </row>
    <row r="110" spans="1:47">
      <c r="A110" s="300" t="s">
        <v>276</v>
      </c>
      <c r="B110" s="300" t="s">
        <v>536</v>
      </c>
      <c r="C110" s="300" t="s">
        <v>395</v>
      </c>
      <c r="D110" s="300" t="s">
        <v>395</v>
      </c>
      <c r="E110" s="300" t="s">
        <v>395</v>
      </c>
      <c r="F110" s="300" t="s">
        <v>395</v>
      </c>
      <c r="G110" s="300" t="s">
        <v>395</v>
      </c>
      <c r="H110" s="300" t="s">
        <v>395</v>
      </c>
      <c r="I110" s="300" t="s">
        <v>395</v>
      </c>
      <c r="J110" s="300" t="s">
        <v>395</v>
      </c>
      <c r="K110" s="300" t="s">
        <v>395</v>
      </c>
      <c r="L110" s="300" t="s">
        <v>395</v>
      </c>
      <c r="M110" s="300" t="s">
        <v>395</v>
      </c>
      <c r="N110" s="300" t="s">
        <v>395</v>
      </c>
      <c r="O110" s="300" t="s">
        <v>395</v>
      </c>
      <c r="P110" s="300" t="s">
        <v>395</v>
      </c>
      <c r="Q110" s="300" t="s">
        <v>395</v>
      </c>
      <c r="R110" s="300" t="s">
        <v>395</v>
      </c>
      <c r="S110" s="300" t="s">
        <v>395</v>
      </c>
      <c r="T110" s="300" t="s">
        <v>395</v>
      </c>
      <c r="U110" s="300" t="s">
        <v>395</v>
      </c>
      <c r="V110" s="300" t="s">
        <v>395</v>
      </c>
      <c r="W110" s="300" t="s">
        <v>395</v>
      </c>
      <c r="X110" s="300" t="s">
        <v>395</v>
      </c>
      <c r="Y110" s="300" t="s">
        <v>395</v>
      </c>
      <c r="Z110" s="300" t="s">
        <v>395</v>
      </c>
      <c r="AA110" s="300" t="s">
        <v>395</v>
      </c>
      <c r="AB110" s="300" t="s">
        <v>395</v>
      </c>
      <c r="AC110" s="300"/>
      <c r="AD110" s="300"/>
      <c r="AE110" s="300"/>
      <c r="AF110" s="300"/>
      <c r="AG110" s="300"/>
      <c r="AH110" s="300"/>
      <c r="AI110" s="300"/>
      <c r="AJ110" s="300"/>
      <c r="AK110" s="300"/>
      <c r="AL110" s="300"/>
      <c r="AM110" s="300"/>
      <c r="AN110" s="300"/>
      <c r="AO110" s="300"/>
    </row>
    <row r="111" spans="1:47">
      <c r="A111" s="300" t="s">
        <v>276</v>
      </c>
      <c r="B111" s="300" t="s">
        <v>537</v>
      </c>
      <c r="C111" s="300" t="s">
        <v>395</v>
      </c>
      <c r="D111" s="300" t="s">
        <v>395</v>
      </c>
      <c r="E111" s="300" t="s">
        <v>395</v>
      </c>
      <c r="F111" s="300" t="s">
        <v>395</v>
      </c>
      <c r="G111" s="300" t="s">
        <v>395</v>
      </c>
      <c r="H111" s="300" t="s">
        <v>395</v>
      </c>
      <c r="I111" s="300" t="s">
        <v>395</v>
      </c>
      <c r="J111" s="300" t="s">
        <v>395</v>
      </c>
      <c r="K111" s="300" t="s">
        <v>395</v>
      </c>
      <c r="L111" s="300" t="s">
        <v>395</v>
      </c>
      <c r="M111" s="300" t="s">
        <v>395</v>
      </c>
      <c r="N111" s="300" t="s">
        <v>395</v>
      </c>
      <c r="O111" s="300" t="s">
        <v>395</v>
      </c>
      <c r="P111" s="300" t="s">
        <v>395</v>
      </c>
      <c r="Q111" s="300" t="s">
        <v>395</v>
      </c>
      <c r="R111" s="300" t="s">
        <v>395</v>
      </c>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row>
    <row r="112" spans="1:47">
      <c r="A112" s="300" t="s">
        <v>277</v>
      </c>
      <c r="B112" s="300" t="s">
        <v>536</v>
      </c>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t="s">
        <v>395</v>
      </c>
      <c r="AD112" s="300" t="s">
        <v>395</v>
      </c>
      <c r="AE112" s="300" t="s">
        <v>395</v>
      </c>
      <c r="AF112" s="300" t="s">
        <v>395</v>
      </c>
      <c r="AG112" s="300" t="s">
        <v>395</v>
      </c>
      <c r="AH112" s="300" t="s">
        <v>395</v>
      </c>
      <c r="AI112" s="300" t="s">
        <v>395</v>
      </c>
      <c r="AJ112" s="300" t="s">
        <v>395</v>
      </c>
      <c r="AK112" s="300" t="s">
        <v>395</v>
      </c>
      <c r="AL112" s="300" t="s">
        <v>395</v>
      </c>
      <c r="AM112" s="300" t="s">
        <v>395</v>
      </c>
      <c r="AN112" s="300" t="s">
        <v>395</v>
      </c>
      <c r="AO112" s="300" t="s">
        <v>395</v>
      </c>
    </row>
    <row r="113" spans="1:41">
      <c r="A113" s="300" t="s">
        <v>277</v>
      </c>
      <c r="B113" s="300" t="s">
        <v>537</v>
      </c>
      <c r="C113" s="300"/>
      <c r="D113" s="300"/>
      <c r="E113" s="300"/>
      <c r="F113" s="300"/>
      <c r="G113" s="300"/>
      <c r="H113" s="300"/>
      <c r="I113" s="300"/>
      <c r="J113" s="300"/>
      <c r="K113" s="300"/>
      <c r="L113" s="300"/>
      <c r="M113" s="300"/>
      <c r="N113" s="300"/>
      <c r="O113" s="300"/>
      <c r="P113" s="300"/>
      <c r="Q113" s="300"/>
      <c r="R113" s="300"/>
      <c r="S113" s="300" t="s">
        <v>395</v>
      </c>
      <c r="T113" s="300" t="s">
        <v>395</v>
      </c>
      <c r="U113" s="300" t="s">
        <v>395</v>
      </c>
      <c r="V113" s="300" t="s">
        <v>395</v>
      </c>
      <c r="W113" s="300" t="s">
        <v>395</v>
      </c>
      <c r="X113" s="300" t="s">
        <v>395</v>
      </c>
      <c r="Y113" s="300" t="s">
        <v>395</v>
      </c>
      <c r="Z113" s="300" t="s">
        <v>395</v>
      </c>
      <c r="AA113" s="300" t="s">
        <v>395</v>
      </c>
      <c r="AB113" s="300" t="s">
        <v>395</v>
      </c>
      <c r="AC113" s="300" t="s">
        <v>395</v>
      </c>
      <c r="AD113" s="300" t="s">
        <v>395</v>
      </c>
      <c r="AE113" s="300" t="s">
        <v>395</v>
      </c>
      <c r="AF113" s="300" t="s">
        <v>395</v>
      </c>
      <c r="AG113" s="300" t="s">
        <v>395</v>
      </c>
      <c r="AH113" s="300" t="s">
        <v>395</v>
      </c>
      <c r="AI113" s="300" t="s">
        <v>395</v>
      </c>
      <c r="AJ113" s="300" t="s">
        <v>395</v>
      </c>
      <c r="AK113" s="300" t="s">
        <v>395</v>
      </c>
      <c r="AL113" s="300" t="s">
        <v>395</v>
      </c>
      <c r="AM113" s="300" t="s">
        <v>395</v>
      </c>
      <c r="AN113" s="300" t="s">
        <v>395</v>
      </c>
      <c r="AO113" s="300" t="s">
        <v>395</v>
      </c>
    </row>
    <row r="114" spans="1:41">
      <c r="A114" s="300" t="s">
        <v>277</v>
      </c>
      <c r="B114" s="300" t="s">
        <v>538</v>
      </c>
      <c r="C114" s="300" t="s">
        <v>395</v>
      </c>
      <c r="D114" s="300" t="s">
        <v>395</v>
      </c>
      <c r="E114" s="300" t="s">
        <v>395</v>
      </c>
      <c r="F114" s="300" t="s">
        <v>395</v>
      </c>
      <c r="G114" s="300" t="s">
        <v>395</v>
      </c>
      <c r="H114" s="300" t="s">
        <v>395</v>
      </c>
      <c r="I114" s="300" t="s">
        <v>395</v>
      </c>
      <c r="J114" s="300" t="s">
        <v>395</v>
      </c>
      <c r="K114" s="300" t="s">
        <v>395</v>
      </c>
      <c r="L114" s="300" t="s">
        <v>395</v>
      </c>
      <c r="M114" s="300" t="s">
        <v>395</v>
      </c>
      <c r="N114" s="300" t="s">
        <v>395</v>
      </c>
      <c r="O114" s="300" t="s">
        <v>395</v>
      </c>
      <c r="P114" s="300" t="s">
        <v>395</v>
      </c>
      <c r="Q114" s="300" t="s">
        <v>395</v>
      </c>
      <c r="R114" s="300" t="s">
        <v>395</v>
      </c>
      <c r="S114" s="300" t="s">
        <v>395</v>
      </c>
      <c r="T114" s="300" t="s">
        <v>395</v>
      </c>
      <c r="U114" s="300" t="s">
        <v>395</v>
      </c>
      <c r="V114" s="300" t="s">
        <v>395</v>
      </c>
      <c r="W114" s="300" t="s">
        <v>395</v>
      </c>
      <c r="X114" s="300" t="s">
        <v>395</v>
      </c>
      <c r="Y114" s="300" t="s">
        <v>395</v>
      </c>
      <c r="Z114" s="300" t="s">
        <v>395</v>
      </c>
      <c r="AA114" s="300" t="s">
        <v>395</v>
      </c>
      <c r="AB114" s="300" t="s">
        <v>395</v>
      </c>
      <c r="AC114" s="300" t="s">
        <v>395</v>
      </c>
      <c r="AD114" s="300" t="s">
        <v>395</v>
      </c>
      <c r="AE114" s="300" t="s">
        <v>395</v>
      </c>
      <c r="AF114" s="300" t="s">
        <v>395</v>
      </c>
      <c r="AG114" s="300" t="s">
        <v>395</v>
      </c>
      <c r="AH114" s="300" t="s">
        <v>395</v>
      </c>
      <c r="AI114" s="300" t="s">
        <v>395</v>
      </c>
      <c r="AJ114" s="300" t="s">
        <v>395</v>
      </c>
      <c r="AK114" s="300" t="s">
        <v>395</v>
      </c>
      <c r="AL114" s="300" t="s">
        <v>395</v>
      </c>
      <c r="AM114" s="300" t="s">
        <v>395</v>
      </c>
      <c r="AN114" s="300" t="s">
        <v>395</v>
      </c>
      <c r="AO114" s="300" t="s">
        <v>395</v>
      </c>
    </row>
    <row r="115" spans="1:41">
      <c r="A115" s="300" t="s">
        <v>277</v>
      </c>
      <c r="B115" s="300" t="s">
        <v>539</v>
      </c>
      <c r="C115" s="300" t="s">
        <v>395</v>
      </c>
      <c r="D115" s="300" t="s">
        <v>395</v>
      </c>
      <c r="E115" s="300" t="s">
        <v>395</v>
      </c>
      <c r="F115" s="300" t="s">
        <v>395</v>
      </c>
      <c r="G115" s="300" t="s">
        <v>395</v>
      </c>
      <c r="H115" s="300" t="s">
        <v>395</v>
      </c>
      <c r="I115" s="300" t="s">
        <v>395</v>
      </c>
      <c r="J115" s="300" t="s">
        <v>395</v>
      </c>
      <c r="K115" s="300" t="s">
        <v>395</v>
      </c>
      <c r="L115" s="300" t="s">
        <v>395</v>
      </c>
      <c r="M115" s="300" t="s">
        <v>395</v>
      </c>
      <c r="N115" s="300" t="s">
        <v>395</v>
      </c>
      <c r="O115" s="300" t="s">
        <v>395</v>
      </c>
      <c r="P115" s="300" t="s">
        <v>395</v>
      </c>
      <c r="Q115" s="300" t="s">
        <v>395</v>
      </c>
      <c r="R115" s="300" t="s">
        <v>395</v>
      </c>
      <c r="S115" s="300" t="s">
        <v>395</v>
      </c>
      <c r="T115" s="300" t="s">
        <v>395</v>
      </c>
      <c r="U115" s="300" t="s">
        <v>395</v>
      </c>
      <c r="V115" s="300" t="s">
        <v>395</v>
      </c>
      <c r="W115" s="300" t="s">
        <v>395</v>
      </c>
      <c r="X115" s="300" t="s">
        <v>395</v>
      </c>
      <c r="Y115" s="300" t="s">
        <v>395</v>
      </c>
      <c r="Z115" s="300" t="s">
        <v>395</v>
      </c>
      <c r="AA115" s="300" t="s">
        <v>395</v>
      </c>
      <c r="AB115" s="300" t="s">
        <v>395</v>
      </c>
      <c r="AC115" s="300" t="s">
        <v>395</v>
      </c>
      <c r="AD115" s="300" t="s">
        <v>395</v>
      </c>
      <c r="AE115" s="300" t="s">
        <v>395</v>
      </c>
      <c r="AF115" s="300" t="s">
        <v>395</v>
      </c>
      <c r="AG115" s="300" t="s">
        <v>395</v>
      </c>
      <c r="AH115" s="300" t="s">
        <v>395</v>
      </c>
      <c r="AI115" s="300" t="s">
        <v>395</v>
      </c>
      <c r="AJ115" s="300" t="s">
        <v>395</v>
      </c>
      <c r="AK115" s="300" t="s">
        <v>395</v>
      </c>
      <c r="AL115" s="300" t="s">
        <v>395</v>
      </c>
      <c r="AM115" s="300" t="s">
        <v>395</v>
      </c>
      <c r="AN115" s="300" t="s">
        <v>395</v>
      </c>
      <c r="AO115" s="300" t="s">
        <v>395</v>
      </c>
    </row>
    <row r="116" spans="1:41">
      <c r="A116" s="300" t="s">
        <v>277</v>
      </c>
      <c r="B116" s="300" t="s">
        <v>605</v>
      </c>
      <c r="C116" s="300" t="s">
        <v>395</v>
      </c>
      <c r="D116" s="300" t="s">
        <v>395</v>
      </c>
      <c r="E116" s="300" t="s">
        <v>395</v>
      </c>
      <c r="F116" s="300" t="s">
        <v>395</v>
      </c>
      <c r="G116" s="300" t="s">
        <v>395</v>
      </c>
      <c r="H116" s="300" t="s">
        <v>395</v>
      </c>
      <c r="I116" s="300" t="s">
        <v>395</v>
      </c>
      <c r="J116" s="300" t="s">
        <v>395</v>
      </c>
      <c r="K116" s="300" t="s">
        <v>395</v>
      </c>
      <c r="L116" s="300" t="s">
        <v>395</v>
      </c>
      <c r="M116" s="300" t="s">
        <v>395</v>
      </c>
      <c r="N116" s="300" t="s">
        <v>395</v>
      </c>
      <c r="O116" s="300" t="s">
        <v>395</v>
      </c>
      <c r="P116" s="300" t="s">
        <v>395</v>
      </c>
      <c r="Q116" s="300" t="s">
        <v>395</v>
      </c>
      <c r="R116" s="300" t="s">
        <v>395</v>
      </c>
      <c r="S116" s="300" t="s">
        <v>395</v>
      </c>
      <c r="T116" s="300" t="s">
        <v>395</v>
      </c>
      <c r="U116" s="300" t="s">
        <v>395</v>
      </c>
      <c r="V116" s="300" t="s">
        <v>395</v>
      </c>
      <c r="W116" s="300" t="s">
        <v>395</v>
      </c>
      <c r="X116" s="300" t="s">
        <v>395</v>
      </c>
      <c r="Y116" s="300" t="s">
        <v>395</v>
      </c>
      <c r="Z116" s="300" t="s">
        <v>395</v>
      </c>
      <c r="AA116" s="300" t="s">
        <v>395</v>
      </c>
      <c r="AB116" s="300" t="s">
        <v>395</v>
      </c>
      <c r="AC116" s="300" t="s">
        <v>395</v>
      </c>
      <c r="AD116" s="300" t="s">
        <v>395</v>
      </c>
      <c r="AE116" s="300" t="s">
        <v>395</v>
      </c>
      <c r="AF116" s="300" t="s">
        <v>395</v>
      </c>
      <c r="AG116" s="300" t="s">
        <v>395</v>
      </c>
      <c r="AH116" s="300" t="s">
        <v>395</v>
      </c>
      <c r="AI116" s="300" t="s">
        <v>395</v>
      </c>
      <c r="AJ116" s="300" t="s">
        <v>395</v>
      </c>
      <c r="AK116" s="300" t="s">
        <v>395</v>
      </c>
      <c r="AL116" s="300" t="s">
        <v>395</v>
      </c>
      <c r="AM116" s="300" t="s">
        <v>395</v>
      </c>
      <c r="AN116" s="300" t="s">
        <v>395</v>
      </c>
      <c r="AO116" s="300" t="s">
        <v>395</v>
      </c>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11"/>
      <c r="D131" s="212"/>
      <c r="E131" s="212"/>
      <c r="F131" s="212"/>
      <c r="G131" s="212"/>
      <c r="H131" s="212"/>
      <c r="I131" s="212"/>
      <c r="J131" s="212"/>
      <c r="K131" s="212"/>
      <c r="L131" s="36"/>
      <c r="M131" s="212"/>
      <c r="N131" s="193"/>
      <c r="O131" s="193"/>
    </row>
    <row r="132" spans="1:15">
      <c r="A132" s="36"/>
      <c r="B132" s="36"/>
    </row>
    <row r="133" spans="1:15">
      <c r="A133" s="36"/>
      <c r="B133" s="36"/>
    </row>
    <row r="134" spans="1:15">
      <c r="A134" s="36"/>
      <c r="B134" s="36"/>
    </row>
    <row r="161" spans="1:13">
      <c r="A161" s="36"/>
      <c r="B161" s="36"/>
      <c r="C161" s="36"/>
      <c r="D161" s="36"/>
      <c r="E161" s="36"/>
      <c r="F161" s="36"/>
      <c r="G161" s="36"/>
      <c r="H161" s="36"/>
      <c r="I161" s="36"/>
      <c r="J161" s="36"/>
      <c r="K161" s="36"/>
      <c r="L161" s="36"/>
      <c r="M161" s="36"/>
    </row>
    <row r="162" spans="1:13">
      <c r="A162" s="36" t="s">
        <v>649</v>
      </c>
      <c r="B162" s="36" t="s">
        <v>4</v>
      </c>
      <c r="C162" s="36" t="s">
        <v>650</v>
      </c>
      <c r="D162" s="36" t="s">
        <v>651</v>
      </c>
      <c r="E162" s="36" t="s">
        <v>652</v>
      </c>
      <c r="F162" s="296"/>
      <c r="G162" s="296"/>
      <c r="H162" s="296"/>
      <c r="I162" s="296"/>
      <c r="J162" s="296"/>
      <c r="K162" s="296"/>
      <c r="L162" s="296"/>
      <c r="M162" s="296"/>
    </row>
    <row r="163" spans="1:13">
      <c r="A163" s="199">
        <v>-1</v>
      </c>
      <c r="B163" s="199">
        <v>4</v>
      </c>
      <c r="C163" s="199">
        <v>2</v>
      </c>
      <c r="D163" s="199">
        <v>1</v>
      </c>
      <c r="E163" s="199">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34" sqref="C34"/>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6" t="s">
        <v>557</v>
      </c>
      <c r="D3" s="36" t="s">
        <v>566</v>
      </c>
      <c r="E3" s="36" t="s">
        <v>567</v>
      </c>
      <c r="F3" s="36" t="s">
        <v>558</v>
      </c>
      <c r="G3" s="36" t="s">
        <v>568</v>
      </c>
      <c r="H3" s="36" t="s">
        <v>569</v>
      </c>
      <c r="I3" s="36" t="s">
        <v>570</v>
      </c>
      <c r="J3" s="36" t="s">
        <v>571</v>
      </c>
      <c r="K3" s="36" t="s">
        <v>559</v>
      </c>
      <c r="L3" s="36" t="s">
        <v>572</v>
      </c>
      <c r="M3" s="36" t="s">
        <v>573</v>
      </c>
      <c r="N3" s="36" t="s">
        <v>574</v>
      </c>
      <c r="O3" s="36" t="s">
        <v>575</v>
      </c>
      <c r="P3" s="36" t="s">
        <v>560</v>
      </c>
      <c r="Q3" s="36" t="s">
        <v>576</v>
      </c>
      <c r="R3" s="36" t="s">
        <v>577</v>
      </c>
      <c r="S3" s="36" t="s">
        <v>578</v>
      </c>
      <c r="T3" s="36" t="s">
        <v>579</v>
      </c>
      <c r="U3" s="36" t="s">
        <v>561</v>
      </c>
      <c r="V3" s="36" t="s">
        <v>580</v>
      </c>
      <c r="W3" s="36" t="s">
        <v>581</v>
      </c>
      <c r="X3" s="36" t="s">
        <v>582</v>
      </c>
      <c r="Y3" s="36" t="s">
        <v>583</v>
      </c>
      <c r="Z3" s="36" t="s">
        <v>562</v>
      </c>
      <c r="AA3" s="36" t="s">
        <v>584</v>
      </c>
      <c r="AB3" s="36" t="s">
        <v>585</v>
      </c>
      <c r="AC3" s="36" t="s">
        <v>586</v>
      </c>
      <c r="AD3" s="36" t="s">
        <v>587</v>
      </c>
      <c r="AE3" s="36" t="s">
        <v>563</v>
      </c>
      <c r="AF3" s="36" t="s">
        <v>564</v>
      </c>
      <c r="AG3" s="36" t="s">
        <v>565</v>
      </c>
      <c r="AH3" s="36"/>
      <c r="AI3" s="36"/>
      <c r="AJ3" s="36"/>
      <c r="AK3" s="36"/>
      <c r="AL3" s="36"/>
      <c r="AM3" s="36"/>
      <c r="AN3" s="36"/>
      <c r="AO3" s="36"/>
    </row>
    <row r="4" spans="1:41" s="4" customFormat="1"/>
    <row r="5" spans="1:41" s="4" customFormat="1">
      <c r="A5" s="4" t="s">
        <v>613</v>
      </c>
      <c r="C5" s="297">
        <v>2012</v>
      </c>
      <c r="D5" s="297">
        <v>2013</v>
      </c>
      <c r="E5" s="297">
        <v>2014</v>
      </c>
      <c r="F5" s="297">
        <v>2015</v>
      </c>
      <c r="G5" s="297">
        <v>2016</v>
      </c>
      <c r="H5" s="297">
        <v>2017</v>
      </c>
      <c r="I5" s="297">
        <v>2018</v>
      </c>
      <c r="J5" s="297">
        <v>2019</v>
      </c>
      <c r="K5" s="297">
        <v>2020</v>
      </c>
      <c r="L5" s="297">
        <v>2021</v>
      </c>
      <c r="M5" s="297">
        <v>2022</v>
      </c>
      <c r="N5" s="297">
        <v>2023</v>
      </c>
      <c r="O5" s="297">
        <v>2024</v>
      </c>
      <c r="P5" s="297">
        <v>2025</v>
      </c>
      <c r="Q5" s="297">
        <v>2026</v>
      </c>
      <c r="R5" s="297">
        <v>2027</v>
      </c>
      <c r="S5" s="297">
        <v>2028</v>
      </c>
      <c r="T5" s="297">
        <v>2029</v>
      </c>
      <c r="U5" s="297">
        <v>2030</v>
      </c>
      <c r="V5" s="297">
        <v>2031</v>
      </c>
      <c r="W5" s="297">
        <v>2032</v>
      </c>
      <c r="X5" s="297">
        <v>2033</v>
      </c>
      <c r="Y5" s="297">
        <v>2034</v>
      </c>
      <c r="Z5" s="297">
        <v>2035</v>
      </c>
      <c r="AA5" s="297">
        <v>2036</v>
      </c>
      <c r="AB5" s="297">
        <v>2037</v>
      </c>
      <c r="AC5" s="297">
        <v>2038</v>
      </c>
      <c r="AD5" s="297">
        <v>2039</v>
      </c>
      <c r="AE5" s="297">
        <v>2040</v>
      </c>
      <c r="AF5" s="297">
        <v>2045</v>
      </c>
      <c r="AG5" s="297">
        <v>2050</v>
      </c>
      <c r="AN5" s="5"/>
    </row>
    <row r="6" spans="1:41">
      <c r="A6" t="s">
        <v>614</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46" t="s">
        <v>138</v>
      </c>
      <c r="B7" s="4">
        <v>1</v>
      </c>
      <c r="C7" s="10">
        <f>INDEX(DriversGams!$A$5:$AN$23,MATCH(Drivers!$A7,DriversGams!$A$5:$A$23,0),MATCH(Drivers!C$3,DriversGams!$A$5:$AN$5,0))</f>
        <v>69.819999999999993</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73.969354882249334</v>
      </c>
      <c r="M7" s="10">
        <f>INDEX(DriversGams!$A$5:$AN$23,MATCH(Drivers!$A7,DriversGams!$A$5:$A$23,0),MATCH(Drivers!M$3,DriversGams!$A$5:$AN$5,0))</f>
        <v>76.547401572731289</v>
      </c>
      <c r="N7" s="10">
        <f>INDEX(DriversGams!$A$5:$AN$23,MATCH(Drivers!$A7,DriversGams!$A$5:$A$23,0),MATCH(Drivers!N$3,DriversGams!$A$5:$AN$5,0))</f>
        <v>78.949004002930323</v>
      </c>
      <c r="O7" s="10">
        <f>INDEX(DriversGams!$A$5:$AN$23,MATCH(Drivers!$A7,DriversGams!$A$5:$A$23,0),MATCH(Drivers!O$3,DriversGams!$A$5:$AN$5,0))</f>
        <v>81.644680200179067</v>
      </c>
      <c r="P7" s="10">
        <f>INDEX(DriversGams!$A$5:$AN$23,MATCH(Drivers!$A7,DriversGams!$A$5:$A$23,0),MATCH(Drivers!P$3,DriversGams!$A$5:$AN$5,0))</f>
        <v>84.605022787763843</v>
      </c>
      <c r="Q7" s="10">
        <f>INDEX(DriversGams!$A$5:$AN$23,MATCH(Drivers!$A7,DriversGams!$A$5:$A$23,0),MATCH(Drivers!Q$3,DriversGams!$A$5:$AN$5,0))</f>
        <v>87.75161209446027</v>
      </c>
      <c r="R7" s="10">
        <f>INDEX(DriversGams!$A$5:$AN$23,MATCH(Drivers!$A7,DriversGams!$A$5:$A$23,0),MATCH(Drivers!R$3,DriversGams!$A$5:$AN$5,0))</f>
        <v>90.996225990144666</v>
      </c>
      <c r="S7" s="10">
        <f>INDEX(DriversGams!$A$5:$AN$23,MATCH(Drivers!$A7,DriversGams!$A$5:$A$23,0),MATCH(Drivers!S$3,DriversGams!$A$5:$AN$5,0))</f>
        <v>94.231037426891902</v>
      </c>
      <c r="T7" s="10">
        <f>INDEX(DriversGams!$A$5:$AN$23,MATCH(Drivers!$A7,DriversGams!$A$5:$A$23,0),MATCH(Drivers!T$3,DriversGams!$A$5:$AN$5,0))</f>
        <v>97.887354596395895</v>
      </c>
      <c r="U7" s="10">
        <f>INDEX(DriversGams!$A$5:$AN$23,MATCH(Drivers!$A7,DriversGams!$A$5:$A$23,0),MATCH(Drivers!U$3,DriversGams!$A$5:$AN$5,0))</f>
        <v>101.55347422476528</v>
      </c>
      <c r="V7" s="10">
        <f>INDEX(DriversGams!$A$5:$AN$23,MATCH(Drivers!$A7,DriversGams!$A$5:$A$23,0),MATCH(Drivers!V$3,DriversGams!$A$5:$AN$5,0))</f>
        <v>105.19018647639355</v>
      </c>
      <c r="W7" s="10">
        <f>INDEX(DriversGams!$A$5:$AN$23,MATCH(Drivers!$A7,DriversGams!$A$5:$A$23,0),MATCH(Drivers!W$3,DriversGams!$A$5:$AN$5,0))</f>
        <v>108.90531839920246</v>
      </c>
      <c r="X7" s="10">
        <f>INDEX(DriversGams!$A$5:$AN$23,MATCH(Drivers!$A7,DriversGams!$A$5:$A$23,0),MATCH(Drivers!X$3,DriversGams!$A$5:$AN$5,0))</f>
        <v>112.62045032197796</v>
      </c>
      <c r="Y7" s="10">
        <f>INDEX(DriversGams!$A$5:$AN$23,MATCH(Drivers!$A7,DriversGams!$A$5:$A$23,0),MATCH(Drivers!Y$3,DriversGams!$A$5:$AN$5,0))</f>
        <v>116.58064371726222</v>
      </c>
      <c r="Z7" s="10">
        <f>INDEX(DriversGams!$A$5:$AN$23,MATCH(Drivers!$A7,DriversGams!$A$5:$A$23,0),MATCH(Drivers!Z$3,DriversGams!$A$5:$AN$5,0))</f>
        <v>120.24676334546632</v>
      </c>
      <c r="AA7" s="10">
        <f>INDEX(DriversGams!$A$5:$AN$23,MATCH(Drivers!$A7,DriversGams!$A$5:$A$23,0),MATCH(Drivers!AA$3,DriversGams!$A$5:$AN$5,0))</f>
        <v>124.06972231606426</v>
      </c>
      <c r="AB7" s="10">
        <f>INDEX(DriversGams!$A$5:$AN$23,MATCH(Drivers!$A7,DriversGams!$A$5:$A$23,0),MATCH(Drivers!AB$3,DriversGams!$A$5:$AN$5,0))</f>
        <v>128.60826078643456</v>
      </c>
      <c r="AC7" s="10">
        <f>INDEX(DriversGams!$A$5:$AN$23,MATCH(Drivers!$A7,DriversGams!$A$5:$A$23,0),MATCH(Drivers!AC$3,DriversGams!$A$5:$AN$5,0))</f>
        <v>133.53889761282349</v>
      </c>
      <c r="AD7" s="10">
        <f>INDEX(DriversGams!$A$5:$AN$23,MATCH(Drivers!$A7,DriversGams!$A$5:$A$23,0),MATCH(Drivers!AD$3,DriversGams!$A$5:$AN$5,0))</f>
        <v>138.763608206214</v>
      </c>
      <c r="AE7" s="10">
        <f>INDEX(DriversGams!$A$5:$AN$23,MATCH(Drivers!$A7,DriversGams!$A$5:$A$23,0),MATCH(Drivers!AE$3,DriversGams!$A$5:$AN$5,0))</f>
        <v>144.32160240220801</v>
      </c>
      <c r="AF7" s="10">
        <f>INDEX(DriversGams!$A$5:$AN$23,MATCH(Drivers!$A7,DriversGams!$A$5:$A$23,0),MATCH(Drivers!AF$3,DriversGams!$A$5:$AN$5,0))</f>
        <v>177.66956757848172</v>
      </c>
      <c r="AG7" s="10">
        <f>INDEX(DriversGams!$A$5:$AN$23,MATCH(Drivers!$A7,DriversGams!$A$5:$A$23,0),MATCH(Drivers!AG$3,DriversGams!$A$5:$AN$5,0))</f>
        <v>220.27105395611983</v>
      </c>
      <c r="AH7" s="138"/>
      <c r="AI7" s="138"/>
      <c r="AJ7" s="138"/>
      <c r="AK7" s="138"/>
      <c r="AL7" s="138"/>
      <c r="AM7" s="138"/>
      <c r="AO7">
        <v>1</v>
      </c>
    </row>
    <row r="8" spans="1:41">
      <c r="A8" s="146" t="s">
        <v>4</v>
      </c>
      <c r="B8" s="4">
        <f>B7+1</f>
        <v>2</v>
      </c>
      <c r="C8" s="10">
        <f>INDEX(DriversGams!$A$5:$AN$23,MATCH(Drivers!$A8,DriversGams!$A$5:$A$23,0),MATCH(Drivers!C$3,DriversGams!$A$5:$AN$5,0))</f>
        <v>1833.85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1994.8603392660509</v>
      </c>
      <c r="M8" s="10">
        <f>INDEX(DriversGams!$A$5:$AN$23,MATCH(Drivers!$A8,DriversGams!$A$5:$A$23,0),MATCH(Drivers!M$3,DriversGams!$A$5:$AN$5,0))</f>
        <v>2066.85982042161</v>
      </c>
      <c r="N8" s="10">
        <f>INDEX(DriversGams!$A$5:$AN$23,MATCH(Drivers!$A8,DriversGams!$A$5:$A$23,0),MATCH(Drivers!N$3,DriversGams!$A$5:$AN$5,0))</f>
        <v>2144.8246137664132</v>
      </c>
      <c r="O8" s="10">
        <f>INDEX(DriversGams!$A$5:$AN$23,MATCH(Drivers!$A8,DriversGams!$A$5:$A$23,0),MATCH(Drivers!O$3,DriversGams!$A$5:$AN$5,0))</f>
        <v>2234.7683727554477</v>
      </c>
      <c r="P8" s="10">
        <f>INDEX(DriversGams!$A$5:$AN$23,MATCH(Drivers!$A8,DriversGams!$A$5:$A$23,0),MATCH(Drivers!P$3,DriversGams!$A$5:$AN$5,0))</f>
        <v>2333.0848389663406</v>
      </c>
      <c r="Q8" s="10">
        <f>INDEX(DriversGams!$A$5:$AN$23,MATCH(Drivers!$A8,DriversGams!$A$5:$A$23,0),MATCH(Drivers!Q$3,DriversGams!$A$5:$AN$5,0))</f>
        <v>2443.4189438340218</v>
      </c>
      <c r="R8" s="10">
        <f>INDEX(DriversGams!$A$5:$AN$23,MATCH(Drivers!$A8,DriversGams!$A$5:$A$23,0),MATCH(Drivers!R$3,DriversGams!$A$5:$AN$5,0))</f>
        <v>2562.8702114155644</v>
      </c>
      <c r="S8" s="10">
        <f>INDEX(DriversGams!$A$5:$AN$23,MATCH(Drivers!$A8,DriversGams!$A$5:$A$23,0),MATCH(Drivers!S$3,DriversGams!$A$5:$AN$5,0))</f>
        <v>2692.5214860629872</v>
      </c>
      <c r="T8" s="10">
        <f>INDEX(DriversGams!$A$5:$AN$23,MATCH(Drivers!$A8,DriversGams!$A$5:$A$23,0),MATCH(Drivers!T$3,DriversGams!$A$5:$AN$5,0))</f>
        <v>2839.2275592547094</v>
      </c>
      <c r="U8" s="10">
        <f>INDEX(DriversGams!$A$5:$AN$23,MATCH(Drivers!$A8,DriversGams!$A$5:$A$23,0),MATCH(Drivers!U$3,DriversGams!$A$5:$AN$5,0))</f>
        <v>2995.6115538425747</v>
      </c>
      <c r="V8" s="10">
        <f>INDEX(DriversGams!$A$5:$AN$23,MATCH(Drivers!$A8,DriversGams!$A$5:$A$23,0),MATCH(Drivers!V$3,DriversGams!$A$5:$AN$5,0))</f>
        <v>3156.1625655350422</v>
      </c>
      <c r="W8" s="10">
        <f>INDEX(DriversGams!$A$5:$AN$23,MATCH(Drivers!$A8,DriversGams!$A$5:$A$23,0),MATCH(Drivers!W$3,DriversGams!$A$5:$AN$5,0))</f>
        <v>3327.9094143671055</v>
      </c>
      <c r="X8" s="10">
        <f>INDEX(DriversGams!$A$5:$AN$23,MATCH(Drivers!$A8,DriversGams!$A$5:$A$23,0),MATCH(Drivers!X$3,DriversGams!$A$5:$AN$5,0))</f>
        <v>3509.788592493026</v>
      </c>
      <c r="Y8" s="10">
        <f>INDEX(DriversGams!$A$5:$AN$23,MATCH(Drivers!$A8,DriversGams!$A$5:$A$23,0),MATCH(Drivers!Y$3,DriversGams!$A$5:$AN$5,0))</f>
        <v>3702.8829442648207</v>
      </c>
      <c r="Z8" s="10">
        <f>INDEX(DriversGams!$A$5:$AN$23,MATCH(Drivers!$A8,DriversGams!$A$5:$A$23,0),MATCH(Drivers!Z$3,DriversGams!$A$5:$AN$5,0))</f>
        <v>3895.6002341639869</v>
      </c>
      <c r="AA8" s="10">
        <f>INDEX(DriversGams!$A$5:$AN$23,MATCH(Drivers!$A8,DriversGams!$A$5:$A$23,0),MATCH(Drivers!AA$3,DriversGams!$A$5:$AN$5,0))</f>
        <v>4097.2219852078397</v>
      </c>
      <c r="AB8" s="10">
        <f>INDEX(DriversGams!$A$5:$AN$23,MATCH(Drivers!$A8,DriversGams!$A$5:$A$23,0),MATCH(Drivers!AB$3,DriversGams!$A$5:$AN$5,0))</f>
        <v>4322.2119040983498</v>
      </c>
      <c r="AC8" s="10">
        <f>INDEX(DriversGams!$A$5:$AN$23,MATCH(Drivers!$A8,DriversGams!$A$5:$A$23,0),MATCH(Drivers!AC$3,DriversGams!$A$5:$AN$5,0))</f>
        <v>4563.8988961668201</v>
      </c>
      <c r="AD8" s="10">
        <f>INDEX(DriversGams!$A$5:$AN$23,MATCH(Drivers!$A8,DriversGams!$A$5:$A$23,0),MATCH(Drivers!AD$3,DriversGams!$A$5:$AN$5,0))</f>
        <v>4820.8520599480789</v>
      </c>
      <c r="AE8" s="10">
        <f>INDEX(DriversGams!$A$5:$AN$23,MATCH(Drivers!$A8,DriversGams!$A$5:$A$23,0),MATCH(Drivers!AE$3,DriversGams!$A$5:$AN$5,0))</f>
        <v>5090.7896877003686</v>
      </c>
      <c r="AF8" s="10">
        <f>INDEX(DriversGams!$A$5:$AN$23,MATCH(Drivers!$A8,DriversGams!$A$5:$A$23,0),MATCH(Drivers!AF$3,DriversGams!$A$5:$AN$5,0))</f>
        <v>6683.1123073382978</v>
      </c>
      <c r="AG8" s="10">
        <f>INDEX(DriversGams!$A$5:$AN$23,MATCH(Drivers!$A8,DriversGams!$A$5:$A$23,0),MATCH(Drivers!AG$3,DriversGams!$A$5:$AN$5,0))</f>
        <v>8695.7332276081215</v>
      </c>
      <c r="AH8" s="138"/>
      <c r="AI8" s="138"/>
      <c r="AJ8" s="138"/>
      <c r="AK8" s="138"/>
      <c r="AL8" s="138"/>
      <c r="AM8" s="138"/>
      <c r="AO8">
        <f>AO7+1</f>
        <v>2</v>
      </c>
    </row>
    <row r="9" spans="1:41">
      <c r="A9" s="146" t="s">
        <v>526</v>
      </c>
      <c r="B9" s="199">
        <f t="shared" ref="B9:B34" si="1">B8+1</f>
        <v>3</v>
      </c>
      <c r="C9" s="10">
        <f>INDEX(DriversGams!$A$5:$AN$23,MATCH(Drivers!$A9,DriversGams!$A$5:$A$23,0),MATCH(Drivers!C$3,DriversGams!$A$5:$AN$5,0))</f>
        <v>52.81</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54.620084822891016</v>
      </c>
      <c r="M9" s="10">
        <f>INDEX(DriversGams!$A$5:$AN$23,MATCH(Drivers!$A9,DriversGams!$A$5:$A$23,0),MATCH(Drivers!M$3,DriversGams!$A$5:$AN$5,0))</f>
        <v>56.570802136994082</v>
      </c>
      <c r="N9" s="10">
        <f>INDEX(DriversGams!$A$5:$AN$23,MATCH(Drivers!$A9,DriversGams!$A$5:$A$23,0),MATCH(Drivers!N$3,DriversGams!$A$5:$AN$5,0))</f>
        <v>58.62774663158558</v>
      </c>
      <c r="O9" s="10">
        <f>INDEX(DriversGams!$A$5:$AN$23,MATCH(Drivers!$A9,DriversGams!$A$5:$A$23,0),MATCH(Drivers!O$3,DriversGams!$A$5:$AN$5,0))</f>
        <v>61.003372667703147</v>
      </c>
      <c r="P9" s="10">
        <f>INDEX(DriversGams!$A$5:$AN$23,MATCH(Drivers!$A9,DriversGams!$A$5:$A$23,0),MATCH(Drivers!P$3,DriversGams!$A$5:$AN$5,0))</f>
        <v>63.610767097641222</v>
      </c>
      <c r="Q9" s="10">
        <f>INDEX(DriversGams!$A$5:$AN$23,MATCH(Drivers!$A9,DriversGams!$A$5:$A$23,0),MATCH(Drivers!Q$3,DriversGams!$A$5:$AN$5,0))</f>
        <v>66.391987822930645</v>
      </c>
      <c r="R9" s="10">
        <f>INDEX(DriversGams!$A$5:$AN$23,MATCH(Drivers!$A9,DriversGams!$A$5:$A$23,0),MATCH(Drivers!R$3,DriversGams!$A$5:$AN$5,0))</f>
        <v>69.376005892799427</v>
      </c>
      <c r="S9" s="10">
        <f>INDEX(DriversGams!$A$5:$AN$23,MATCH(Drivers!$A9,DriversGams!$A$5:$A$23,0),MATCH(Drivers!S$3,DriversGams!$A$5:$AN$5,0))</f>
        <v>72.611106389295344</v>
      </c>
      <c r="T9" s="10">
        <f>INDEX(DriversGams!$A$5:$AN$23,MATCH(Drivers!$A9,DriversGams!$A$5:$A$23,0),MATCH(Drivers!T$3,DriversGams!$A$5:$AN$5,0))</f>
        <v>76.26145859138704</v>
      </c>
      <c r="U9" s="10">
        <f>INDEX(DriversGams!$A$5:$AN$23,MATCH(Drivers!$A9,DriversGams!$A$5:$A$23,0),MATCH(Drivers!U$3,DriversGams!$A$5:$AN$5,0))</f>
        <v>80.124265154454321</v>
      </c>
      <c r="V9" s="10">
        <f>INDEX(DriversGams!$A$5:$AN$23,MATCH(Drivers!$A9,DriversGams!$A$5:$A$23,0),MATCH(Drivers!V$3,DriversGams!$A$5:$AN$5,0))</f>
        <v>83.871187520555438</v>
      </c>
      <c r="W9" s="10">
        <f>INDEX(DriversGams!$A$5:$AN$23,MATCH(Drivers!$A9,DriversGams!$A$5:$A$23,0),MATCH(Drivers!W$3,DriversGams!$A$5:$AN$5,0))</f>
        <v>87.840221264040096</v>
      </c>
      <c r="X9" s="10">
        <f>INDEX(DriversGams!$A$5:$AN$23,MATCH(Drivers!$A9,DriversGams!$A$5:$A$23,0),MATCH(Drivers!X$3,DriversGams!$A$5:$AN$5,0))</f>
        <v>91.96376727003711</v>
      </c>
      <c r="Y9" s="10">
        <f>INDEX(DriversGams!$A$5:$AN$23,MATCH(Drivers!$A9,DriversGams!$A$5:$A$23,0),MATCH(Drivers!Y$3,DriversGams!$A$5:$AN$5,0))</f>
        <v>96.338395702641634</v>
      </c>
      <c r="Z9" s="10">
        <f>INDEX(DriversGams!$A$5:$AN$23,MATCH(Drivers!$A9,DriversGams!$A$5:$A$23,0),MATCH(Drivers!Z$3,DriversGams!$A$5:$AN$5,0))</f>
        <v>100.59713993828771</v>
      </c>
      <c r="AA9" s="10">
        <f>INDEX(DriversGams!$A$5:$AN$23,MATCH(Drivers!$A9,DriversGams!$A$5:$A$23,0),MATCH(Drivers!AA$3,DriversGams!$A$5:$AN$5,0))</f>
        <v>105.00073942003478</v>
      </c>
      <c r="AB9" s="10">
        <f>INDEX(DriversGams!$A$5:$AN$23,MATCH(Drivers!$A9,DriversGams!$A$5:$A$23,0),MATCH(Drivers!AB$3,DriversGams!$A$5:$AN$5,0))</f>
        <v>109.91616077143787</v>
      </c>
      <c r="AC9" s="10">
        <f>INDEX(DriversGams!$A$5:$AN$23,MATCH(Drivers!$A9,DriversGams!$A$5:$A$23,0),MATCH(Drivers!AC$3,DriversGams!$A$5:$AN$5,0))</f>
        <v>115.15026366430418</v>
      </c>
      <c r="AD9" s="10">
        <f>INDEX(DriversGams!$A$5:$AN$23,MATCH(Drivers!$A9,DriversGams!$A$5:$A$23,0),MATCH(Drivers!AD$3,DriversGams!$A$5:$AN$5,0))</f>
        <v>120.7127051150395</v>
      </c>
      <c r="AE9" s="10">
        <f>INDEX(DriversGams!$A$5:$AN$23,MATCH(Drivers!$A9,DriversGams!$A$5:$A$23,0),MATCH(Drivers!AE$3,DriversGams!$A$5:$AN$5,0))</f>
        <v>126.54554302518582</v>
      </c>
      <c r="AF9" s="10">
        <f>INDEX(DriversGams!$A$5:$AN$23,MATCH(Drivers!$A9,DriversGams!$A$5:$A$23,0),MATCH(Drivers!AF$3,DriversGams!$A$5:$AN$5,0))</f>
        <v>162.48895809432148</v>
      </c>
      <c r="AG9" s="10">
        <f>INDEX(DriversGams!$A$5:$AN$23,MATCH(Drivers!$A9,DriversGams!$A$5:$A$23,0),MATCH(Drivers!AG$3,DriversGams!$A$5:$AN$5,0))</f>
        <v>208.83297983447909</v>
      </c>
      <c r="AH9" s="138"/>
      <c r="AI9" s="138"/>
      <c r="AJ9" s="138"/>
      <c r="AK9" s="138"/>
      <c r="AL9" s="138"/>
      <c r="AM9" s="138"/>
      <c r="AO9" s="4">
        <f t="shared" ref="AO9:AO22" si="2">AO8+1</f>
        <v>3</v>
      </c>
    </row>
    <row r="10" spans="1:41">
      <c r="A10" s="146" t="s">
        <v>523</v>
      </c>
      <c r="B10" s="199">
        <f t="shared" si="1"/>
        <v>4</v>
      </c>
      <c r="C10" s="10">
        <f>INDEX(DriversGams!$A$5:$AN$23,MATCH(Drivers!$A10,DriversGams!$A$5:$A$23,0),MATCH(Drivers!C$3,DriversGams!$A$5:$AN$5,0))</f>
        <v>93.1</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97.164896707550014</v>
      </c>
      <c r="M10" s="10">
        <f>INDEX(DriversGams!$A$5:$AN$23,MATCH(Drivers!$A10,DriversGams!$A$5:$A$23,0),MATCH(Drivers!M$3,DriversGams!$A$5:$AN$5,0))</f>
        <v>100.84274488289863</v>
      </c>
      <c r="N10" s="10">
        <f>INDEX(DriversGams!$A$5:$AN$23,MATCH(Drivers!$A10,DriversGams!$A$5:$A$23,0),MATCH(Drivers!N$3,DriversGams!$A$5:$AN$5,0))</f>
        <v>104.4472195285134</v>
      </c>
      <c r="O10" s="10">
        <f>INDEX(DriversGams!$A$5:$AN$23,MATCH(Drivers!$A10,DriversGams!$A$5:$A$23,0),MATCH(Drivers!O$3,DriversGams!$A$5:$AN$5,0))</f>
        <v>108.53779380835738</v>
      </c>
      <c r="P10" s="10">
        <f>INDEX(DriversGams!$A$5:$AN$23,MATCH(Drivers!$A10,DriversGams!$A$5:$A$23,0),MATCH(Drivers!P$3,DriversGams!$A$5:$AN$5,0))</f>
        <v>112.95854897181287</v>
      </c>
      <c r="Q10" s="10">
        <f>INDEX(DriversGams!$A$5:$AN$23,MATCH(Drivers!$A10,DriversGams!$A$5:$A$23,0),MATCH(Drivers!Q$3,DriversGams!$A$5:$AN$5,0))</f>
        <v>117.53522288584188</v>
      </c>
      <c r="R10" s="10">
        <f>INDEX(DriversGams!$A$5:$AN$23,MATCH(Drivers!$A10,DriversGams!$A$5:$A$23,0),MATCH(Drivers!R$3,DriversGams!$A$5:$AN$5,0))</f>
        <v>122.34118908014129</v>
      </c>
      <c r="S10" s="10">
        <f>INDEX(DriversGams!$A$5:$AN$23,MATCH(Drivers!$A10,DriversGams!$A$5:$A$23,0),MATCH(Drivers!S$3,DriversGams!$A$5:$AN$5,0))</f>
        <v>127.38561924592128</v>
      </c>
      <c r="T10" s="10">
        <f>INDEX(DriversGams!$A$5:$AN$23,MATCH(Drivers!$A10,DriversGams!$A$5:$A$23,0),MATCH(Drivers!T$3,DriversGams!$A$5:$AN$5,0))</f>
        <v>133.12709794378537</v>
      </c>
      <c r="U10" s="10">
        <f>INDEX(DriversGams!$A$5:$AN$23,MATCH(Drivers!$A10,DriversGams!$A$5:$A$23,0),MATCH(Drivers!U$3,DriversGams!$A$5:$AN$5,0))</f>
        <v>139.06118215706289</v>
      </c>
      <c r="V10" s="10">
        <f>INDEX(DriversGams!$A$5:$AN$23,MATCH(Drivers!$A10,DriversGams!$A$5:$A$23,0),MATCH(Drivers!V$3,DriversGams!$A$5:$AN$5,0))</f>
        <v>144.60088364818583</v>
      </c>
      <c r="W10" s="10">
        <f>INDEX(DriversGams!$A$5:$AN$23,MATCH(Drivers!$A10,DriversGams!$A$5:$A$23,0),MATCH(Drivers!W$3,DriversGams!$A$5:$AN$5,0))</f>
        <v>150.38822080199571</v>
      </c>
      <c r="X10" s="10">
        <f>INDEX(DriversGams!$A$5:$AN$23,MATCH(Drivers!$A10,DriversGams!$A$5:$A$23,0),MATCH(Drivers!X$3,DriversGams!$A$5:$AN$5,0))</f>
        <v>156.07466935243968</v>
      </c>
      <c r="Y10" s="10">
        <f>INDEX(DriversGams!$A$5:$AN$23,MATCH(Drivers!$A10,DriversGams!$A$5:$A$23,0),MATCH(Drivers!Y$3,DriversGams!$A$5:$AN$5,0))</f>
        <v>162.24721753707666</v>
      </c>
      <c r="Z10" s="10">
        <f>INDEX(DriversGams!$A$5:$AN$23,MATCH(Drivers!$A10,DriversGams!$A$5:$A$23,0),MATCH(Drivers!Z$3,DriversGams!$A$5:$AN$5,0))</f>
        <v>168.09875652926692</v>
      </c>
      <c r="AA10" s="10">
        <f>INDEX(DriversGams!$A$5:$AN$23,MATCH(Drivers!$A10,DriversGams!$A$5:$A$23,0),MATCH(Drivers!AA$3,DriversGams!$A$5:$AN$5,0))</f>
        <v>173.98698228627208</v>
      </c>
      <c r="AB10" s="10">
        <f>INDEX(DriversGams!$A$5:$AN$23,MATCH(Drivers!$A10,DriversGams!$A$5:$A$23,0),MATCH(Drivers!AB$3,DriversGams!$A$5:$AN$5,0))</f>
        <v>180.59977164896804</v>
      </c>
      <c r="AC10" s="10">
        <f>INDEX(DriversGams!$A$5:$AN$23,MATCH(Drivers!$A10,DriversGams!$A$5:$A$23,0),MATCH(Drivers!AC$3,DriversGams!$A$5:$AN$5,0))</f>
        <v>187.60694373373019</v>
      </c>
      <c r="AD10" s="10">
        <f>INDEX(DriversGams!$A$5:$AN$23,MATCH(Drivers!$A10,DriversGams!$A$5:$A$23,0),MATCH(Drivers!AD$3,DriversGams!$A$5:$AN$5,0))</f>
        <v>195.19193236478739</v>
      </c>
      <c r="AE10" s="10">
        <f>INDEX(DriversGams!$A$5:$AN$23,MATCH(Drivers!$A10,DriversGams!$A$5:$A$23,0),MATCH(Drivers!AE$3,DriversGams!$A$5:$AN$5,0))</f>
        <v>203.3914243069818</v>
      </c>
      <c r="AF10" s="10">
        <f>INDEX(DriversGams!$A$5:$AN$23,MATCH(Drivers!$A10,DriversGams!$A$5:$A$23,0),MATCH(Drivers!AF$3,DriversGams!$A$5:$AN$5,0))</f>
        <v>251.47860132383192</v>
      </c>
      <c r="AG10" s="10">
        <f>INDEX(DriversGams!$A$5:$AN$23,MATCH(Drivers!$A10,DriversGams!$A$5:$A$23,0),MATCH(Drivers!AG$3,DriversGams!$A$5:$AN$5,0))</f>
        <v>309.58126514248795</v>
      </c>
      <c r="AH10" s="138"/>
      <c r="AI10" s="138"/>
      <c r="AJ10" s="138"/>
      <c r="AK10" s="138"/>
      <c r="AL10" s="138"/>
      <c r="AM10" s="138"/>
      <c r="AO10" s="4">
        <f t="shared" si="2"/>
        <v>4</v>
      </c>
    </row>
    <row r="11" spans="1:41">
      <c r="A11" s="146" t="s">
        <v>603</v>
      </c>
      <c r="B11" s="199">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v>
      </c>
      <c r="U11" s="10">
        <f>INDEX(DriversGams!$A$5:$AN$23,MATCH(Drivers!$A11,DriversGams!$A$5:$A$23,0),MATCH(Drivers!U$3,DriversGams!$A$5:$AN$5,0))</f>
        <v>0</v>
      </c>
      <c r="V11" s="10">
        <f>INDEX(DriversGams!$A$5:$AN$23,MATCH(Drivers!$A11,DriversGams!$A$5:$A$23,0),MATCH(Drivers!V$3,DriversGams!$A$5:$AN$5,0))</f>
        <v>0</v>
      </c>
      <c r="W11" s="10">
        <f>INDEX(DriversGams!$A$5:$AN$23,MATCH(Drivers!$A11,DriversGams!$A$5:$A$23,0),MATCH(Drivers!W$3,DriversGams!$A$5:$AN$5,0))</f>
        <v>0</v>
      </c>
      <c r="X11" s="10">
        <f>INDEX(DriversGams!$A$5:$AN$23,MATCH(Drivers!$A11,DriversGams!$A$5:$A$23,0),MATCH(Drivers!X$3,DriversGams!$A$5:$AN$5,0))</f>
        <v>0</v>
      </c>
      <c r="Y11" s="10">
        <f>INDEX(DriversGams!$A$5:$AN$23,MATCH(Drivers!$A11,DriversGams!$A$5:$A$23,0),MATCH(Drivers!Y$3,DriversGams!$A$5:$AN$5,0))</f>
        <v>0</v>
      </c>
      <c r="Z11" s="10">
        <f>INDEX(DriversGams!$A$5:$AN$23,MATCH(Drivers!$A11,DriversGams!$A$5:$A$23,0),MATCH(Drivers!Z$3,DriversGams!$A$5:$AN$5,0))</f>
        <v>0</v>
      </c>
      <c r="AA11" s="10">
        <f>INDEX(DriversGams!$A$5:$AN$23,MATCH(Drivers!$A11,DriversGams!$A$5:$A$23,0),MATCH(Drivers!AA$3,DriversGams!$A$5:$AN$5,0))</f>
        <v>0</v>
      </c>
      <c r="AB11" s="10">
        <f>INDEX(DriversGams!$A$5:$AN$23,MATCH(Drivers!$A11,DriversGams!$A$5:$A$23,0),MATCH(Drivers!AB$3,DriversGams!$A$5:$AN$5,0))</f>
        <v>0</v>
      </c>
      <c r="AC11" s="10">
        <f>INDEX(DriversGams!$A$5:$AN$23,MATCH(Drivers!$A11,DriversGams!$A$5:$A$23,0),MATCH(Drivers!AC$3,DriversGams!$A$5:$AN$5,0))</f>
        <v>0</v>
      </c>
      <c r="AD11" s="10">
        <f>INDEX(DriversGams!$A$5:$AN$23,MATCH(Drivers!$A11,DriversGams!$A$5:$A$23,0),MATCH(Drivers!AD$3,DriversGams!$A$5:$AN$5,0))</f>
        <v>0</v>
      </c>
      <c r="AE11" s="10">
        <f>INDEX(DriversGams!$A$5:$AN$23,MATCH(Drivers!$A11,DriversGams!$A$5:$A$23,0),MATCH(Drivers!AE$3,DriversGams!$A$5:$AN$5,0))</f>
        <v>0</v>
      </c>
      <c r="AF11" s="10">
        <f>INDEX(DriversGams!$A$5:$AN$23,MATCH(Drivers!$A11,DriversGams!$A$5:$A$23,0),MATCH(Drivers!AF$3,DriversGams!$A$5:$AN$5,0))</f>
        <v>0</v>
      </c>
      <c r="AG11" s="10">
        <f>INDEX(DriversGams!$A$5:$AN$23,MATCH(Drivers!$A11,DriversGams!$A$5:$A$23,0),MATCH(Drivers!AG$3,DriversGams!$A$5:$AN$5,0))</f>
        <v>0</v>
      </c>
      <c r="AH11" s="138"/>
      <c r="AI11" s="138"/>
      <c r="AJ11" s="138"/>
      <c r="AK11" s="138"/>
      <c r="AL11" s="138"/>
      <c r="AM11" s="138"/>
      <c r="AO11" s="4">
        <f t="shared" si="2"/>
        <v>5</v>
      </c>
    </row>
    <row r="12" spans="1:41">
      <c r="A12" s="146" t="s">
        <v>388</v>
      </c>
      <c r="B12" s="199">
        <f t="shared" si="1"/>
        <v>6</v>
      </c>
      <c r="C12" s="10">
        <f>INDEX(DriversGams!$A$5:$AN$23,MATCH(Drivers!$A12,DriversGams!$A$5:$A$23,0),MATCH(Drivers!C$3,DriversGams!$A$5:$AN$5,0))</f>
        <v>13.35</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12.778840124390374</v>
      </c>
      <c r="M12" s="10">
        <f>INDEX(DriversGams!$A$5:$AN$23,MATCH(Drivers!$A12,DriversGams!$A$5:$A$23,0),MATCH(Drivers!M$3,DriversGams!$A$5:$AN$5,0))</f>
        <v>13.163166142179319</v>
      </c>
      <c r="N12" s="10">
        <f>INDEX(DriversGams!$A$5:$AN$23,MATCH(Drivers!$A12,DriversGams!$A$5:$A$23,0),MATCH(Drivers!N$3,DriversGams!$A$5:$AN$5,0))</f>
        <v>13.557100310408256</v>
      </c>
      <c r="O12" s="10">
        <f>INDEX(DriversGams!$A$5:$AN$23,MATCH(Drivers!$A12,DriversGams!$A$5:$A$23,0),MATCH(Drivers!O$3,DriversGams!$A$5:$AN$5,0))</f>
        <v>14.018291531880806</v>
      </c>
      <c r="P12" s="10">
        <f>INDEX(DriversGams!$A$5:$AN$23,MATCH(Drivers!$A12,DriversGams!$A$5:$A$23,0),MATCH(Drivers!P$3,DriversGams!$A$5:$AN$5,0))</f>
        <v>14.517915355188556</v>
      </c>
      <c r="Q12" s="10">
        <f>INDEX(DriversGams!$A$5:$AN$23,MATCH(Drivers!$A12,DriversGams!$A$5:$A$23,0),MATCH(Drivers!Q$3,DriversGams!$A$5:$AN$5,0))</f>
        <v>15.055971780327514</v>
      </c>
      <c r="R12" s="10">
        <f>INDEX(DriversGams!$A$5:$AN$23,MATCH(Drivers!$A12,DriversGams!$A$5:$A$23,0),MATCH(Drivers!R$3,DriversGams!$A$5:$AN$5,0))</f>
        <v>15.632460807293949</v>
      </c>
      <c r="S12" s="10">
        <f>INDEX(DriversGams!$A$5:$AN$23,MATCH(Drivers!$A12,DriversGams!$A$5:$A$23,0),MATCH(Drivers!S$3,DriversGams!$A$5:$AN$5,0))</f>
        <v>16.23777428561954</v>
      </c>
      <c r="T12" s="10">
        <f>INDEX(DriversGams!$A$5:$AN$23,MATCH(Drivers!$A12,DriversGams!$A$5:$A$23,0),MATCH(Drivers!T$3,DriversGams!$A$5:$AN$5,0))</f>
        <v>16.919952967623679</v>
      </c>
      <c r="U12" s="10">
        <f>INDEX(DriversGams!$A$5:$AN$23,MATCH(Drivers!$A12,DriversGams!$A$5:$A$23,0),MATCH(Drivers!U$3,DriversGams!$A$5:$AN$5,0))</f>
        <v>17.621347950516579</v>
      </c>
      <c r="V12" s="10">
        <f>INDEX(DriversGams!$A$5:$AN$23,MATCH(Drivers!$A12,DriversGams!$A$5:$A$23,0),MATCH(Drivers!V$3,DriversGams!$A$5:$AN$5,0))</f>
        <v>18.274702181055108</v>
      </c>
      <c r="W12" s="10">
        <f>INDEX(DriversGams!$A$5:$AN$23,MATCH(Drivers!$A12,DriversGams!$A$5:$A$23,0),MATCH(Drivers!W$3,DriversGams!$A$5:$AN$5,0))</f>
        <v>18.947272712484722</v>
      </c>
      <c r="X12" s="10">
        <f>INDEX(DriversGams!$A$5:$AN$23,MATCH(Drivers!$A12,DriversGams!$A$5:$A$23,0),MATCH(Drivers!X$3,DriversGams!$A$5:$AN$5,0))</f>
        <v>19.64866769526693</v>
      </c>
      <c r="Y12" s="10">
        <f>INDEX(DriversGams!$A$5:$AN$23,MATCH(Drivers!$A12,DriversGams!$A$5:$A$23,0),MATCH(Drivers!Y$3,DriversGams!$A$5:$AN$5,0))</f>
        <v>20.359670828476606</v>
      </c>
      <c r="Z12" s="10">
        <f>INDEX(DriversGams!$A$5:$AN$23,MATCH(Drivers!$A12,DriversGams!$A$5:$A$23,0),MATCH(Drivers!Z$3,DriversGams!$A$5:$AN$5,0))</f>
        <v>21.032241359807486</v>
      </c>
      <c r="AA12" s="10">
        <f>INDEX(DriversGams!$A$5:$AN$23,MATCH(Drivers!$A12,DriversGams!$A$5:$A$23,0),MATCH(Drivers!AA$3,DriversGams!$A$5:$AN$5,0))</f>
        <v>21.695203740646768</v>
      </c>
      <c r="AB12" s="10">
        <f>INDEX(DriversGams!$A$5:$AN$23,MATCH(Drivers!$A12,DriversGams!$A$5:$A$23,0),MATCH(Drivers!AB$3,DriversGams!$A$5:$AN$5,0))</f>
        <v>22.34855797099625</v>
      </c>
      <c r="AC12" s="10">
        <f>INDEX(DriversGams!$A$5:$AN$23,MATCH(Drivers!$A12,DriversGams!$A$5:$A$23,0),MATCH(Drivers!AC$3,DriversGams!$A$5:$AN$5,0))</f>
        <v>23.136426307758093</v>
      </c>
      <c r="AD12" s="10">
        <f>INDEX(DriversGams!$A$5:$AN$23,MATCH(Drivers!$A12,DriversGams!$A$5:$A$23,0),MATCH(Drivers!AD$3,DriversGams!$A$5:$AN$5,0))</f>
        <v>23.962727246325755</v>
      </c>
      <c r="AE12" s="10">
        <f>INDEX(DriversGams!$A$5:$AN$23,MATCH(Drivers!$A12,DriversGams!$A$5:$A$23,0),MATCH(Drivers!AE$3,DriversGams!$A$5:$AN$5,0))</f>
        <v>24.817852636238026</v>
      </c>
      <c r="AF12" s="10">
        <f>INDEX(DriversGams!$A$5:$AN$23,MATCH(Drivers!$A12,DriversGams!$A$5:$A$23,0),MATCH(Drivers!AF$3,DriversGams!$A$5:$AN$5,0))</f>
        <v>30.870987420063372</v>
      </c>
      <c r="AG12" s="10">
        <f>INDEX(DriversGams!$A$5:$AN$23,MATCH(Drivers!$A12,DriversGams!$A$5:$A$23,0),MATCH(Drivers!AG$3,DriversGams!$A$5:$AN$5,0))</f>
        <v>39.182037560263602</v>
      </c>
      <c r="AH12" s="138"/>
      <c r="AI12" s="138"/>
      <c r="AJ12" s="138"/>
      <c r="AK12" s="138"/>
      <c r="AL12" s="138"/>
      <c r="AM12" s="138"/>
      <c r="AO12" s="4">
        <f t="shared" si="2"/>
        <v>6</v>
      </c>
    </row>
    <row r="13" spans="1:41">
      <c r="A13" s="146" t="s">
        <v>387</v>
      </c>
      <c r="B13" s="199">
        <f t="shared" si="1"/>
        <v>7</v>
      </c>
      <c r="C13" s="10">
        <f>INDEX(DriversGams!$A$5:$AN$23,MATCH(Drivers!$A13,DriversGams!$A$5:$A$23,0),MATCH(Drivers!C$3,DriversGams!$A$5:$AN$5,0))</f>
        <v>205.45</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198.29404481500649</v>
      </c>
      <c r="M13" s="10">
        <f>INDEX(DriversGams!$A$5:$AN$23,MATCH(Drivers!$A13,DriversGams!$A$5:$A$23,0),MATCH(Drivers!M$3,DriversGams!$A$5:$AN$5,0))</f>
        <v>202.649007220024</v>
      </c>
      <c r="N13" s="10">
        <f>INDEX(DriversGams!$A$5:$AN$23,MATCH(Drivers!$A13,DriversGams!$A$5:$A$23,0),MATCH(Drivers!N$3,DriversGams!$A$5:$AN$5,0))</f>
        <v>207.25227888500945</v>
      </c>
      <c r="O13" s="10">
        <f>INDEX(DriversGams!$A$5:$AN$23,MATCH(Drivers!$A13,DriversGams!$A$5:$A$23,0),MATCH(Drivers!O$3,DriversGams!$A$5:$AN$5,0))</f>
        <v>212.74373367223615</v>
      </c>
      <c r="P13" s="10">
        <f>INDEX(DriversGams!$A$5:$AN$23,MATCH(Drivers!$A13,DriversGams!$A$5:$A$23,0),MATCH(Drivers!P$3,DriversGams!$A$5:$AN$5,0))</f>
        <v>218.7031559109507</v>
      </c>
      <c r="Q13" s="10">
        <f>INDEX(DriversGams!$A$5:$AN$23,MATCH(Drivers!$A13,DriversGams!$A$5:$A$23,0),MATCH(Drivers!Q$3,DriversGams!$A$5:$AN$5,0))</f>
        <v>225.76086910726582</v>
      </c>
      <c r="R13" s="10">
        <f>INDEX(DriversGams!$A$5:$AN$23,MATCH(Drivers!$A13,DriversGams!$A$5:$A$23,0),MATCH(Drivers!R$3,DriversGams!$A$5:$AN$5,0))</f>
        <v>233.64946328888254</v>
      </c>
      <c r="S13" s="10">
        <f>INDEX(DriversGams!$A$5:$AN$23,MATCH(Drivers!$A13,DriversGams!$A$5:$A$23,0),MATCH(Drivers!S$3,DriversGams!$A$5:$AN$5,0))</f>
        <v>242.36893845579499</v>
      </c>
      <c r="T13" s="10">
        <f>INDEX(DriversGams!$A$5:$AN$23,MATCH(Drivers!$A13,DriversGams!$A$5:$A$23,0),MATCH(Drivers!T$3,DriversGams!$A$5:$AN$5,0))</f>
        <v>251.96704638876358</v>
      </c>
      <c r="U13" s="10">
        <f>INDEX(DriversGams!$A$5:$AN$23,MATCH(Drivers!$A13,DriversGams!$A$5:$A$23,0),MATCH(Drivers!U$3,DriversGams!$A$5:$AN$5,0))</f>
        <v>261.95671892397382</v>
      </c>
      <c r="V13" s="10">
        <f>INDEX(DriversGams!$A$5:$AN$23,MATCH(Drivers!$A13,DriversGams!$A$5:$A$23,0),MATCH(Drivers!V$3,DriversGams!$A$5:$AN$5,0))</f>
        <v>271.64078006224878</v>
      </c>
      <c r="W13" s="10">
        <f>INDEX(DriversGams!$A$5:$AN$23,MATCH(Drivers!$A13,DriversGams!$A$5:$A$23,0),MATCH(Drivers!W$3,DriversGams!$A$5:$AN$5,0))</f>
        <v>282.06021862427485</v>
      </c>
      <c r="X13" s="10">
        <f>INDEX(DriversGams!$A$5:$AN$23,MATCH(Drivers!$A13,DriversGams!$A$5:$A$23,0),MATCH(Drivers!X$3,DriversGams!$A$5:$AN$5,0))</f>
        <v>292.79481893931535</v>
      </c>
      <c r="Y13" s="10">
        <f>INDEX(DriversGams!$A$5:$AN$23,MATCH(Drivers!$A13,DriversGams!$A$5:$A$23,0),MATCH(Drivers!Y$3,DriversGams!$A$5:$AN$5,0))</f>
        <v>303.90188314428747</v>
      </c>
      <c r="Z13" s="10">
        <f>INDEX(DriversGams!$A$5:$AN$23,MATCH(Drivers!$A13,DriversGams!$A$5:$A$23,0),MATCH(Drivers!Z$3,DriversGams!$A$5:$AN$5,0))</f>
        <v>314.89434307538914</v>
      </c>
      <c r="AA13" s="10">
        <f>INDEX(DriversGams!$A$5:$AN$23,MATCH(Drivers!$A13,DriversGams!$A$5:$A$23,0),MATCH(Drivers!AA$3,DriversGams!$A$5:$AN$5,0))</f>
        <v>325.60029232186952</v>
      </c>
      <c r="AB13" s="10">
        <f>INDEX(DriversGams!$A$5:$AN$23,MATCH(Drivers!$A13,DriversGams!$A$5:$A$23,0),MATCH(Drivers!AB$3,DriversGams!$A$5:$AN$5,0))</f>
        <v>336.6309536775172</v>
      </c>
      <c r="AC13" s="10">
        <f>INDEX(DriversGams!$A$5:$AN$23,MATCH(Drivers!$A13,DriversGams!$A$5:$A$23,0),MATCH(Drivers!AC$3,DriversGams!$A$5:$AN$5,0))</f>
        <v>349.23742379835801</v>
      </c>
      <c r="AD13" s="10">
        <f>INDEX(DriversGams!$A$5:$AN$23,MATCH(Drivers!$A13,DriversGams!$A$5:$A$23,0),MATCH(Drivers!AD$3,DriversGams!$A$5:$AN$5,0))</f>
        <v>362.74162739753228</v>
      </c>
      <c r="AE13" s="10">
        <f>INDEX(DriversGams!$A$5:$AN$23,MATCH(Drivers!$A13,DriversGams!$A$5:$A$23,0),MATCH(Drivers!AE$3,DriversGams!$A$5:$AN$5,0))</f>
        <v>376.895255215063</v>
      </c>
      <c r="AF13" s="10">
        <f>INDEX(DriversGams!$A$5:$AN$23,MATCH(Drivers!$A13,DriversGams!$A$5:$A$23,0),MATCH(Drivers!AF$3,DriversGams!$A$5:$AN$5,0))</f>
        <v>468.55002320824985</v>
      </c>
      <c r="AG13" s="10">
        <f>INDEX(DriversGams!$A$5:$AN$23,MATCH(Drivers!$A13,DriversGams!$A$5:$A$23,0),MATCH(Drivers!AG$3,DriversGams!$A$5:$AN$5,0))</f>
        <v>599.16069394718772</v>
      </c>
      <c r="AH13" s="138"/>
      <c r="AI13" s="138"/>
      <c r="AJ13" s="138"/>
      <c r="AK13" s="138"/>
      <c r="AL13" s="138"/>
      <c r="AM13" s="138"/>
      <c r="AO13" s="4">
        <f t="shared" si="2"/>
        <v>7</v>
      </c>
    </row>
    <row r="14" spans="1:41">
      <c r="A14" s="146" t="s">
        <v>528</v>
      </c>
      <c r="B14" s="199">
        <f t="shared" si="1"/>
        <v>8</v>
      </c>
      <c r="C14" s="10">
        <f>INDEX(DriversGams!$A$5:$AN$23,MATCH(Drivers!$A14,DriversGams!$A$5:$A$23,0),MATCH(Drivers!C$3,DriversGams!$A$5:$AN$5,0))</f>
        <v>10.11</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4.7307978715016317</v>
      </c>
      <c r="M14" s="10">
        <f>INDEX(DriversGams!$A$5:$AN$23,MATCH(Drivers!$A14,DriversGams!$A$5:$A$23,0),MATCH(Drivers!M$3,DriversGams!$A$5:$AN$5,0))</f>
        <v>4.8191489344975622</v>
      </c>
      <c r="N14" s="10">
        <f>INDEX(DriversGams!$A$5:$AN$23,MATCH(Drivers!$A14,DriversGams!$A$5:$A$23,0),MATCH(Drivers!N$3,DriversGams!$A$5:$AN$5,0))</f>
        <v>4.9074999974787676</v>
      </c>
      <c r="O14" s="10">
        <f>INDEX(DriversGams!$A$5:$AN$23,MATCH(Drivers!$A14,DriversGams!$A$5:$A$23,0),MATCH(Drivers!O$3,DriversGams!$A$5:$AN$5,0))</f>
        <v>5.0520744646627449</v>
      </c>
      <c r="P14" s="10">
        <f>INDEX(DriversGams!$A$5:$AN$23,MATCH(Drivers!$A14,DriversGams!$A$5:$A$23,0),MATCH(Drivers!P$3,DriversGams!$A$5:$AN$5,0))</f>
        <v>5.228776591371334</v>
      </c>
      <c r="Q14" s="10">
        <f>INDEX(DriversGams!$A$5:$AN$23,MATCH(Drivers!$A14,DriversGams!$A$5:$A$23,0),MATCH(Drivers!Q$3,DriversGams!$A$5:$AN$5,0))</f>
        <v>5.421542547824111</v>
      </c>
      <c r="R14" s="10">
        <f>INDEX(DriversGams!$A$5:$AN$23,MATCH(Drivers!$A14,DriversGams!$A$5:$A$23,0),MATCH(Drivers!R$3,DriversGams!$A$5:$AN$5,0))</f>
        <v>5.6384042489017565</v>
      </c>
      <c r="S14" s="10">
        <f>INDEX(DriversGams!$A$5:$AN$23,MATCH(Drivers!$A14,DriversGams!$A$5:$A$23,0),MATCH(Drivers!S$3,DriversGams!$A$5:$AN$5,0))</f>
        <v>5.863297864831841</v>
      </c>
      <c r="T14" s="10">
        <f>INDEX(DriversGams!$A$5:$AN$23,MATCH(Drivers!$A14,DriversGams!$A$5:$A$23,0),MATCH(Drivers!T$3,DriversGams!$A$5:$AN$5,0))</f>
        <v>6.1363829700245045</v>
      </c>
      <c r="U14" s="10">
        <f>INDEX(DriversGams!$A$5:$AN$23,MATCH(Drivers!$A14,DriversGams!$A$5:$A$23,0),MATCH(Drivers!U$3,DriversGams!$A$5:$AN$5,0))</f>
        <v>6.4415957347061434</v>
      </c>
      <c r="V14" s="10">
        <f>INDEX(DriversGams!$A$5:$AN$23,MATCH(Drivers!$A14,DriversGams!$A$5:$A$23,0),MATCH(Drivers!V$3,DriversGams!$A$5:$AN$5,0))</f>
        <v>6.7146808398290121</v>
      </c>
      <c r="W14" s="10">
        <f>INDEX(DriversGams!$A$5:$AN$23,MATCH(Drivers!$A14,DriversGams!$A$5:$A$23,0),MATCH(Drivers!W$3,DriversGams!$A$5:$AN$5,0))</f>
        <v>6.9797340300399977</v>
      </c>
      <c r="X14" s="10">
        <f>INDEX(DriversGams!$A$5:$AN$23,MATCH(Drivers!$A14,DriversGams!$A$5:$A$23,0),MATCH(Drivers!X$3,DriversGams!$A$5:$AN$5,0))</f>
        <v>7.2046276458290173</v>
      </c>
      <c r="Y14" s="10">
        <f>INDEX(DriversGams!$A$5:$AN$23,MATCH(Drivers!$A14,DriversGams!$A$5:$A$23,0),MATCH(Drivers!Y$3,DriversGams!$A$5:$AN$5,0))</f>
        <v>7.4054255169607703</v>
      </c>
      <c r="Z14" s="10">
        <f>INDEX(DriversGams!$A$5:$AN$23,MATCH(Drivers!$A14,DriversGams!$A$5:$A$23,0),MATCH(Drivers!Z$3,DriversGams!$A$5:$AN$5,0))</f>
        <v>7.5740957285646378</v>
      </c>
      <c r="AA14" s="10">
        <f>INDEX(DriversGams!$A$5:$AN$23,MATCH(Drivers!$A14,DriversGams!$A$5:$A$23,0),MATCH(Drivers!AA$3,DriversGams!$A$5:$AN$5,0))</f>
        <v>7.7026063657722439</v>
      </c>
      <c r="AB14" s="10">
        <f>INDEX(DriversGams!$A$5:$AN$23,MATCH(Drivers!$A14,DriversGams!$A$5:$A$23,0),MATCH(Drivers!AB$3,DriversGams!$A$5:$AN$5,0))</f>
        <v>7.8070212583419396</v>
      </c>
      <c r="AC14" s="10">
        <f>INDEX(DriversGams!$A$5:$AN$23,MATCH(Drivers!$A14,DriversGams!$A$5:$A$23,0),MATCH(Drivers!AC$3,DriversGams!$A$5:$AN$5,0))</f>
        <v>7.8873404062788577</v>
      </c>
      <c r="AD14" s="10">
        <f>INDEX(DriversGams!$A$5:$AN$23,MATCH(Drivers!$A14,DriversGams!$A$5:$A$23,0),MATCH(Drivers!AD$3,DriversGams!$A$5:$AN$5,0))</f>
        <v>7.9756914690807896</v>
      </c>
      <c r="AE14" s="10">
        <f>INDEX(DriversGams!$A$5:$AN$23,MATCH(Drivers!$A14,DriversGams!$A$5:$A$23,0),MATCH(Drivers!AE$3,DriversGams!$A$5:$AN$5,0))</f>
        <v>8.0640425318738256</v>
      </c>
      <c r="AF14" s="10">
        <f>INDEX(DriversGams!$A$5:$AN$23,MATCH(Drivers!$A14,DriversGams!$A$5:$A$23,0),MATCH(Drivers!AF$3,DriversGams!$A$5:$AN$5,0))</f>
        <v>9.3652127367630946</v>
      </c>
      <c r="AG14" s="10">
        <f>INDEX(DriversGams!$A$5:$AN$23,MATCH(Drivers!$A14,DriversGams!$A$5:$A$23,0),MATCH(Drivers!AG$3,DriversGams!$A$5:$AN$5,0))</f>
        <v>11.927393575148884</v>
      </c>
      <c r="AH14" s="138"/>
      <c r="AI14" s="138"/>
      <c r="AJ14" s="138"/>
      <c r="AK14" s="138"/>
      <c r="AL14" s="138"/>
      <c r="AM14" s="138"/>
      <c r="AO14" s="4">
        <f t="shared" si="2"/>
        <v>8</v>
      </c>
    </row>
    <row r="15" spans="1:41">
      <c r="A15" s="146" t="s">
        <v>527</v>
      </c>
      <c r="B15" s="199">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14.824012344662277</v>
      </c>
      <c r="M15" s="10">
        <f>INDEX(DriversGams!$A$5:$AN$23,MATCH(Drivers!$A15,DriversGams!$A$5:$A$23,0),MATCH(Drivers!M$3,DriversGams!$A$5:$AN$5,0))</f>
        <v>15.369801095329013</v>
      </c>
      <c r="N15" s="10">
        <f>INDEX(DriversGams!$A$5:$AN$23,MATCH(Drivers!$A15,DriversGams!$A$5:$A$23,0),MATCH(Drivers!N$3,DriversGams!$A$5:$AN$5,0))</f>
        <v>15.964320984497457</v>
      </c>
      <c r="O15" s="10">
        <f>INDEX(DriversGams!$A$5:$AN$23,MATCH(Drivers!$A15,DriversGams!$A$5:$A$23,0),MATCH(Drivers!O$3,DriversGams!$A$5:$AN$5,0))</f>
        <v>16.636810695282954</v>
      </c>
      <c r="P15" s="10">
        <f>INDEX(DriversGams!$A$5:$AN$23,MATCH(Drivers!$A15,DriversGams!$A$5:$A$23,0),MATCH(Drivers!P$3,DriversGams!$A$5:$AN$5,0))</f>
        <v>17.358031544559537</v>
      </c>
      <c r="Q15" s="10">
        <f>INDEX(DriversGams!$A$5:$AN$23,MATCH(Drivers!$A15,DriversGams!$A$5:$A$23,0),MATCH(Drivers!Q$3,DriversGams!$A$5:$AN$5,0))</f>
        <v>18.166968443145585</v>
      </c>
      <c r="R15" s="10">
        <f>INDEX(DriversGams!$A$5:$AN$23,MATCH(Drivers!$A15,DriversGams!$A$5:$A$23,0),MATCH(Drivers!R$3,DriversGams!$A$5:$AN$5,0))</f>
        <v>19.034382707918397</v>
      </c>
      <c r="S15" s="10">
        <f>INDEX(DriversGams!$A$5:$AN$23,MATCH(Drivers!$A15,DriversGams!$A$5:$A$23,0),MATCH(Drivers!S$3,DriversGams!$A$5:$AN$5,0))</f>
        <v>19.960274338873962</v>
      </c>
      <c r="T15" s="10">
        <f>INDEX(DriversGams!$A$5:$AN$23,MATCH(Drivers!$A15,DriversGams!$A$5:$A$23,0),MATCH(Drivers!T$3,DriversGams!$A$5:$AN$5,0))</f>
        <v>21.012866929936997</v>
      </c>
      <c r="U15" s="10">
        <f>INDEX(DriversGams!$A$5:$AN$23,MATCH(Drivers!$A15,DriversGams!$A$5:$A$23,0),MATCH(Drivers!U$3,DriversGams!$A$5:$AN$5,0))</f>
        <v>22.123936887172817</v>
      </c>
      <c r="V15" s="10">
        <f>INDEX(DriversGams!$A$5:$AN$23,MATCH(Drivers!$A15,DriversGams!$A$5:$A$23,0),MATCH(Drivers!V$3,DriversGams!$A$5:$AN$5,0))</f>
        <v>23.254499299766032</v>
      </c>
      <c r="W15" s="10">
        <f>INDEX(DriversGams!$A$5:$AN$23,MATCH(Drivers!$A15,DriversGams!$A$5:$A$23,0),MATCH(Drivers!W$3,DriversGams!$A$5:$AN$5,0))</f>
        <v>24.443539078528438</v>
      </c>
      <c r="X15" s="10">
        <f>INDEX(DriversGams!$A$5:$AN$23,MATCH(Drivers!$A15,DriversGams!$A$5:$A$23,0),MATCH(Drivers!X$3,DriversGams!$A$5:$AN$5,0))</f>
        <v>25.710548678862427</v>
      </c>
      <c r="Y15" s="10">
        <f>INDEX(DriversGams!$A$5:$AN$23,MATCH(Drivers!$A15,DriversGams!$A$5:$A$23,0),MATCH(Drivers!Y$3,DriversGams!$A$5:$AN$5,0))</f>
        <v>27.045781873062417</v>
      </c>
      <c r="Z15" s="10">
        <f>INDEX(DriversGams!$A$5:$AN$23,MATCH(Drivers!$A15,DriversGams!$A$5:$A$23,0),MATCH(Drivers!Z$3,DriversGams!$A$5:$AN$5,0))</f>
        <v>28.381015067214289</v>
      </c>
      <c r="AA15" s="10">
        <f>INDEX(DriversGams!$A$5:$AN$23,MATCH(Drivers!$A15,DriversGams!$A$5:$A$23,0),MATCH(Drivers!AA$3,DriversGams!$A$5:$AN$5,0))</f>
        <v>29.764979399826899</v>
      </c>
      <c r="AB15" s="10">
        <f>INDEX(DriversGams!$A$5:$AN$23,MATCH(Drivers!$A15,DriversGams!$A$5:$A$23,0),MATCH(Drivers!AB$3,DriversGams!$A$5:$AN$5,0))</f>
        <v>31.32437583101219</v>
      </c>
      <c r="AC15" s="10">
        <f>INDEX(DriversGams!$A$5:$AN$23,MATCH(Drivers!$A15,DriversGams!$A$5:$A$23,0),MATCH(Drivers!AC$3,DriversGams!$A$5:$AN$5,0))</f>
        <v>32.951995856053834</v>
      </c>
      <c r="AD15" s="10">
        <f>INDEX(DriversGams!$A$5:$AN$23,MATCH(Drivers!$A15,DriversGams!$A$5:$A$23,0),MATCH(Drivers!AD$3,DriversGams!$A$5:$AN$5,0))</f>
        <v>34.6575857026506</v>
      </c>
      <c r="AE15" s="10">
        <f>INDEX(DriversGams!$A$5:$AN$23,MATCH(Drivers!$A15,DriversGams!$A$5:$A$23,0),MATCH(Drivers!AE$3,DriversGams!$A$5:$AN$5,0))</f>
        <v>36.431399143100343</v>
      </c>
      <c r="AF15" s="10">
        <f>INDEX(DriversGams!$A$5:$AN$23,MATCH(Drivers!$A15,DriversGams!$A$5:$A$23,0),MATCH(Drivers!AF$3,DriversGams!$A$5:$AN$5,0))</f>
        <v>46.976817508952436</v>
      </c>
      <c r="AG15" s="10">
        <f>INDEX(DriversGams!$A$5:$AN$23,MATCH(Drivers!$A15,DriversGams!$A$5:$A$23,0),MATCH(Drivers!AG$3,DriversGams!$A$5:$AN$5,0))</f>
        <v>60.124478669174067</v>
      </c>
      <c r="AH15" s="138"/>
      <c r="AI15" s="138"/>
      <c r="AJ15" s="138"/>
      <c r="AK15" s="138"/>
      <c r="AL15" s="138"/>
      <c r="AM15" s="138"/>
      <c r="AO15" s="4">
        <f t="shared" si="2"/>
        <v>9</v>
      </c>
    </row>
    <row r="16" spans="1:41">
      <c r="A16" s="146" t="s">
        <v>524</v>
      </c>
      <c r="B16" s="199">
        <f t="shared" si="1"/>
        <v>10</v>
      </c>
      <c r="C16" s="10">
        <f>INDEX(DriversGams!$A$5:$AN$23,MATCH(Drivers!$A16,DriversGams!$A$5:$A$23,0),MATCH(Drivers!C$3,DriversGams!$A$5:$AN$5,0))</f>
        <v>235.5</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240.59417139393693</v>
      </c>
      <c r="M16" s="10">
        <f>INDEX(DriversGams!$A$5:$AN$23,MATCH(Drivers!$A16,DriversGams!$A$5:$A$23,0),MATCH(Drivers!M$3,DriversGams!$A$5:$AN$5,0))</f>
        <v>249.7968040999923</v>
      </c>
      <c r="N16" s="10">
        <f>INDEX(DriversGams!$A$5:$AN$23,MATCH(Drivers!$A16,DriversGams!$A$5:$A$23,0),MATCH(Drivers!N$3,DriversGams!$A$5:$AN$5,0))</f>
        <v>259.56069095638566</v>
      </c>
      <c r="O16" s="10">
        <f>INDEX(DriversGams!$A$5:$AN$23,MATCH(Drivers!$A16,DriversGams!$A$5:$A$23,0),MATCH(Drivers!O$3,DriversGams!$A$5:$AN$5,0))</f>
        <v>270.67932921019093</v>
      </c>
      <c r="P16" s="10">
        <f>INDEX(DriversGams!$A$5:$AN$23,MATCH(Drivers!$A16,DriversGams!$A$5:$A$23,0),MATCH(Drivers!P$3,DriversGams!$A$5:$AN$5,0))</f>
        <v>282.67855587229479</v>
      </c>
      <c r="Q16" s="10">
        <f>INDEX(DriversGams!$A$5:$AN$23,MATCH(Drivers!$A16,DriversGams!$A$5:$A$23,0),MATCH(Drivers!Q$3,DriversGams!$A$5:$AN$5,0))</f>
        <v>295.97447315762054</v>
      </c>
      <c r="R16" s="10">
        <f>INDEX(DriversGams!$A$5:$AN$23,MATCH(Drivers!$A16,DriversGams!$A$5:$A$23,0),MATCH(Drivers!R$3,DriversGams!$A$5:$AN$5,0))</f>
        <v>310.18000923832312</v>
      </c>
      <c r="S16" s="10">
        <f>INDEX(DriversGams!$A$5:$AN$23,MATCH(Drivers!$A16,DriversGams!$A$5:$A$23,0),MATCH(Drivers!S$3,DriversGams!$A$5:$AN$5,0))</f>
        <v>325.51773041540525</v>
      </c>
      <c r="T16" s="10">
        <f>INDEX(DriversGams!$A$5:$AN$23,MATCH(Drivers!$A16,DriversGams!$A$5:$A$23,0),MATCH(Drivers!T$3,DriversGams!$A$5:$AN$5,0))</f>
        <v>342.87790189288529</v>
      </c>
      <c r="U16" s="10">
        <f>INDEX(DriversGams!$A$5:$AN$23,MATCH(Drivers!$A16,DriversGams!$A$5:$A$23,0),MATCH(Drivers!U$3,DriversGams!$A$5:$AN$5,0))</f>
        <v>361.07995459585732</v>
      </c>
      <c r="V16" s="10">
        <f>INDEX(DriversGams!$A$5:$AN$23,MATCH(Drivers!$A16,DriversGams!$A$5:$A$23,0),MATCH(Drivers!V$3,DriversGams!$A$5:$AN$5,0))</f>
        <v>379.78520067496476</v>
      </c>
      <c r="W16" s="10">
        <f>INDEX(DriversGams!$A$5:$AN$23,MATCH(Drivers!$A16,DriversGams!$A$5:$A$23,0),MATCH(Drivers!W$3,DriversGams!$A$5:$AN$5,0))</f>
        <v>399.56457107626096</v>
      </c>
      <c r="X16" s="10">
        <f>INDEX(DriversGams!$A$5:$AN$23,MATCH(Drivers!$A16,DriversGams!$A$5:$A$23,0),MATCH(Drivers!X$3,DriversGams!$A$5:$AN$5,0))</f>
        <v>420.26323706861029</v>
      </c>
      <c r="Y16" s="10">
        <f>INDEX(DriversGams!$A$5:$AN$23,MATCH(Drivers!$A16,DriversGams!$A$5:$A$23,0),MATCH(Drivers!Y$3,DriversGams!$A$5:$AN$5,0))</f>
        <v>442.34568484540824</v>
      </c>
      <c r="Z16" s="10">
        <f>INDEX(DriversGams!$A$5:$AN$23,MATCH(Drivers!$A16,DriversGams!$A$5:$A$23,0),MATCH(Drivers!Z$3,DriversGams!$A$5:$AN$5,0))</f>
        <v>464.31201107380878</v>
      </c>
      <c r="AA16" s="10">
        <f>INDEX(DriversGams!$A$5:$AN$23,MATCH(Drivers!$A16,DriversGams!$A$5:$A$23,0),MATCH(Drivers!AA$3,DriversGams!$A$5:$AN$5,0))</f>
        <v>487.28472405452015</v>
      </c>
      <c r="AB16" s="10">
        <f>INDEX(DriversGams!$A$5:$AN$23,MATCH(Drivers!$A16,DriversGams!$A$5:$A$23,0),MATCH(Drivers!AB$3,DriversGams!$A$5:$AN$5,0))</f>
        <v>513.10241496972685</v>
      </c>
      <c r="AC16" s="10">
        <f>INDEX(DriversGams!$A$5:$AN$23,MATCH(Drivers!$A16,DriversGams!$A$5:$A$23,0),MATCH(Drivers!AC$3,DriversGams!$A$5:$AN$5,0))</f>
        <v>540.24582689519559</v>
      </c>
      <c r="AD16" s="10">
        <f>INDEX(DriversGams!$A$5:$AN$23,MATCH(Drivers!$A16,DriversGams!$A$5:$A$23,0),MATCH(Drivers!AD$3,DriversGams!$A$5:$AN$5,0))</f>
        <v>568.79237419648973</v>
      </c>
      <c r="AE16" s="10">
        <f>INDEX(DriversGams!$A$5:$AN$23,MATCH(Drivers!$A16,DriversGams!$A$5:$A$23,0),MATCH(Drivers!AE$3,DriversGams!$A$5:$AN$5,0))</f>
        <v>598.4033690242585</v>
      </c>
      <c r="AF16" s="10">
        <f>INDEX(DriversGams!$A$5:$AN$23,MATCH(Drivers!$A16,DriversGams!$A$5:$A$23,0),MATCH(Drivers!AF$3,DriversGams!$A$5:$AN$5,0))</f>
        <v>773.82432138961917</v>
      </c>
      <c r="AG16" s="10">
        <f>INDEX(DriversGams!$A$5:$AN$23,MATCH(Drivers!$A16,DriversGams!$A$5:$A$23,0),MATCH(Drivers!AG$3,DriversGams!$A$5:$AN$5,0))</f>
        <v>994.85201186705478</v>
      </c>
      <c r="AH16" s="138"/>
      <c r="AI16" s="138"/>
      <c r="AJ16" s="138"/>
      <c r="AK16" s="138"/>
      <c r="AL16" s="138"/>
      <c r="AM16" s="138"/>
      <c r="AO16" s="4">
        <f t="shared" si="2"/>
        <v>10</v>
      </c>
    </row>
    <row r="17" spans="1:41">
      <c r="A17" s="146" t="s">
        <v>530</v>
      </c>
      <c r="B17" s="199">
        <f t="shared" si="1"/>
        <v>11</v>
      </c>
      <c r="C17" s="10">
        <f>INDEX(DriversGams!$A$5:$AN$23,MATCH(Drivers!$A17,DriversGams!$A$5:$A$23,0),MATCH(Drivers!C$3,DriversGams!$A$5:$AN$5,0))</f>
        <v>27.52</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27.12836956416427</v>
      </c>
      <c r="M17" s="10">
        <f>INDEX(DriversGams!$A$5:$AN$23,MATCH(Drivers!$A17,DriversGams!$A$5:$A$23,0),MATCH(Drivers!M$3,DriversGams!$A$5:$AN$5,0))</f>
        <v>27.128369563109924</v>
      </c>
      <c r="N17" s="10">
        <f>INDEX(DriversGams!$A$5:$AN$23,MATCH(Drivers!$A17,DriversGams!$A$5:$A$23,0),MATCH(Drivers!N$3,DriversGams!$A$5:$AN$5,0))</f>
        <v>27.117826083795933</v>
      </c>
      <c r="O17" s="10">
        <f>INDEX(DriversGams!$A$5:$AN$23,MATCH(Drivers!$A17,DriversGams!$A$5:$A$23,0),MATCH(Drivers!O$3,DriversGams!$A$5:$AN$5,0))</f>
        <v>27.117826082741587</v>
      </c>
      <c r="P17" s="10">
        <f>INDEX(DriversGams!$A$5:$AN$23,MATCH(Drivers!$A17,DriversGams!$A$5:$A$23,0),MATCH(Drivers!P$3,DriversGams!$A$5:$AN$5,0))</f>
        <v>26.527391299193273</v>
      </c>
      <c r="Q17" s="10">
        <f>INDEX(DriversGams!$A$5:$AN$23,MATCH(Drivers!$A17,DriversGams!$A$5:$A$23,0),MATCH(Drivers!Q$3,DriversGams!$A$5:$AN$5,0))</f>
        <v>26.527391298138923</v>
      </c>
      <c r="R17" s="10">
        <f>INDEX(DriversGams!$A$5:$AN$23,MATCH(Drivers!$A17,DriversGams!$A$5:$A$23,0),MATCH(Drivers!R$3,DriversGams!$A$5:$AN$5,0))</f>
        <v>26.516847818826591</v>
      </c>
      <c r="S17" s="10">
        <f>INDEX(DriversGams!$A$5:$AN$23,MATCH(Drivers!$A17,DriversGams!$A$5:$A$23,0),MATCH(Drivers!S$3,DriversGams!$A$5:$AN$5,0))</f>
        <v>26.516847817772245</v>
      </c>
      <c r="T17" s="10">
        <f>INDEX(DriversGams!$A$5:$AN$23,MATCH(Drivers!$A17,DriversGams!$A$5:$A$23,0),MATCH(Drivers!T$3,DriversGams!$A$5:$AN$5,0))</f>
        <v>26.537934773232188</v>
      </c>
      <c r="U17" s="10">
        <f>INDEX(DriversGams!$A$5:$AN$23,MATCH(Drivers!$A17,DriversGams!$A$5:$A$23,0),MATCH(Drivers!U$3,DriversGams!$A$5:$AN$5,0))</f>
        <v>26.506304337407663</v>
      </c>
      <c r="V17" s="10">
        <f>INDEX(DriversGams!$A$5:$AN$23,MATCH(Drivers!$A17,DriversGams!$A$5:$A$23,0),MATCH(Drivers!V$3,DriversGams!$A$5:$AN$5,0))</f>
        <v>25.778804336668198</v>
      </c>
      <c r="W17" s="10">
        <f>INDEX(DriversGams!$A$5:$AN$23,MATCH(Drivers!$A17,DriversGams!$A$5:$A$23,0),MATCH(Drivers!W$3,DriversGams!$A$5:$AN$5,0))</f>
        <v>25.051304335958491</v>
      </c>
      <c r="X17" s="10">
        <f>INDEX(DriversGams!$A$5:$AN$23,MATCH(Drivers!$A17,DriversGams!$A$5:$A$23,0),MATCH(Drivers!X$3,DriversGams!$A$5:$AN$5,0))</f>
        <v>25.662826073719142</v>
      </c>
      <c r="Y17" s="10">
        <f>INDEX(DriversGams!$A$5:$AN$23,MATCH(Drivers!$A17,DriversGams!$A$5:$A$23,0),MATCH(Drivers!Y$3,DriversGams!$A$5:$AN$5,0))</f>
        <v>25.082934768639912</v>
      </c>
      <c r="Z17" s="10">
        <f>INDEX(DriversGams!$A$5:$AN$23,MATCH(Drivers!$A17,DriversGams!$A$5:$A$23,0),MATCH(Drivers!Z$3,DriversGams!$A$5:$AN$5,0))</f>
        <v>24.513586941839613</v>
      </c>
      <c r="AA17" s="10">
        <f>INDEX(DriversGams!$A$5:$AN$23,MATCH(Drivers!$A17,DriversGams!$A$5:$A$23,0),MATCH(Drivers!AA$3,DriversGams!$A$5:$AN$5,0))</f>
        <v>23.817717376014585</v>
      </c>
      <c r="AB17" s="10">
        <f>INDEX(DriversGams!$A$5:$AN$23,MATCH(Drivers!$A17,DriversGams!$A$5:$A$23,0),MATCH(Drivers!AB$3,DriversGams!$A$5:$AN$5,0))</f>
        <v>22.700108680074987</v>
      </c>
      <c r="AC17" s="10">
        <f>INDEX(DriversGams!$A$5:$AN$23,MATCH(Drivers!$A17,DriversGams!$A$5:$A$23,0),MATCH(Drivers!AC$3,DriversGams!$A$5:$AN$5,0))</f>
        <v>21.392717375630689</v>
      </c>
      <c r="AD17" s="10">
        <f>INDEX(DriversGams!$A$5:$AN$23,MATCH(Drivers!$A17,DriversGams!$A$5:$A$23,0),MATCH(Drivers!AD$3,DriversGams!$A$5:$AN$5,0))</f>
        <v>20.095869549503451</v>
      </c>
      <c r="AE17" s="10">
        <f>INDEX(DriversGams!$A$5:$AN$23,MATCH(Drivers!$A17,DriversGams!$A$5:$A$23,0),MATCH(Drivers!AE$3,DriversGams!$A$5:$AN$5,0))</f>
        <v>18.788478245192184</v>
      </c>
      <c r="AF17" s="10">
        <f>INDEX(DriversGams!$A$5:$AN$23,MATCH(Drivers!$A17,DriversGams!$A$5:$A$23,0),MATCH(Drivers!AF$3,DriversGams!$A$5:$AN$5,0))</f>
        <v>20.19076084721328</v>
      </c>
      <c r="AG17" s="10">
        <f>INDEX(DriversGams!$A$5:$AN$23,MATCH(Drivers!$A17,DriversGams!$A$5:$A$23,0),MATCH(Drivers!AG$3,DriversGams!$A$5:$AN$5,0))</f>
        <v>21.603586927116126</v>
      </c>
      <c r="AH17" s="138"/>
      <c r="AI17" s="138"/>
      <c r="AJ17" s="138"/>
      <c r="AK17" s="138"/>
      <c r="AL17" s="138"/>
      <c r="AM17" s="138"/>
      <c r="AO17" s="4">
        <f t="shared" si="2"/>
        <v>11</v>
      </c>
    </row>
    <row r="18" spans="1:41" s="199" customFormat="1">
      <c r="A18" s="146" t="s">
        <v>525</v>
      </c>
      <c r="B18" s="199">
        <f t="shared" si="1"/>
        <v>12</v>
      </c>
      <c r="C18" s="10">
        <f>INDEX(DriversGams!$A$5:$AN$23,MATCH(Drivers!$A18,DriversGams!$A$5:$A$23,0),MATCH(Drivers!C$3,DriversGams!$A$5:$AN$5,0))</f>
        <v>17.78</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18.941916037731868</v>
      </c>
      <c r="M18" s="10">
        <f>INDEX(DriversGams!$A$5:$AN$23,MATCH(Drivers!$A18,DriversGams!$A$5:$A$23,0),MATCH(Drivers!M$3,DriversGams!$A$5:$AN$5,0))</f>
        <v>19.626092570589773</v>
      </c>
      <c r="N18" s="10">
        <f>INDEX(DriversGams!$A$5:$AN$23,MATCH(Drivers!$A18,DriversGams!$A$5:$A$23,0),MATCH(Drivers!N$3,DriversGams!$A$5:$AN$5,0))</f>
        <v>20.359138855827979</v>
      </c>
      <c r="O18" s="10">
        <f>INDEX(DriversGams!$A$5:$AN$23,MATCH(Drivers!$A18,DriversGams!$A$5:$A$23,0),MATCH(Drivers!O$3,DriversGams!$A$5:$AN$5,0))</f>
        <v>21.199698596337456</v>
      </c>
      <c r="P18" s="10">
        <f>INDEX(DriversGams!$A$5:$AN$23,MATCH(Drivers!$A18,DriversGams!$A$5:$A$23,0),MATCH(Drivers!P$3,DriversGams!$A$5:$AN$5,0))</f>
        <v>22.186867594037498</v>
      </c>
      <c r="Q18" s="10">
        <f>INDEX(DriversGams!$A$5:$AN$23,MATCH(Drivers!$A18,DriversGams!$A$5:$A$23,0),MATCH(Drivers!Q$3,DriversGams!$A$5:$AN$5,0))</f>
        <v>23.183810542175578</v>
      </c>
      <c r="R18" s="10">
        <f>INDEX(DriversGams!$A$5:$AN$23,MATCH(Drivers!$A18,DriversGams!$A$5:$A$23,0),MATCH(Drivers!R$3,DriversGams!$A$5:$AN$5,0))</f>
        <v>24.258945094120527</v>
      </c>
      <c r="S18" s="10">
        <f>INDEX(DriversGams!$A$5:$AN$23,MATCH(Drivers!$A18,DriversGams!$A$5:$A$23,0),MATCH(Drivers!S$3,DriversGams!$A$5:$AN$5,0))</f>
        <v>25.412271249867906</v>
      </c>
      <c r="T18" s="10">
        <f>INDEX(DriversGams!$A$5:$AN$23,MATCH(Drivers!$A18,DriversGams!$A$5:$A$23,0),MATCH(Drivers!T$3,DriversGams!$A$5:$AN$5,0))</f>
        <v>26.68288481133504</v>
      </c>
      <c r="U18" s="10">
        <f>INDEX(DriversGams!$A$5:$AN$23,MATCH(Drivers!$A18,DriversGams!$A$5:$A$23,0),MATCH(Drivers!U$3,DriversGams!$A$5:$AN$5,0))</f>
        <v>28.012142075635538</v>
      </c>
      <c r="V18" s="10">
        <f>INDEX(DriversGams!$A$5:$AN$23,MATCH(Drivers!$A18,DriversGams!$A$5:$A$23,0),MATCH(Drivers!V$3,DriversGams!$A$5:$AN$5,0))</f>
        <v>29.312077488450718</v>
      </c>
      <c r="W18" s="10">
        <f>INDEX(DriversGams!$A$5:$AN$23,MATCH(Drivers!$A18,DriversGams!$A$5:$A$23,0),MATCH(Drivers!W$3,DriversGams!$A$5:$AN$5,0))</f>
        <v>30.690204505057096</v>
      </c>
      <c r="X18" s="10">
        <f>INDEX(DriversGams!$A$5:$AN$23,MATCH(Drivers!$A18,DriversGams!$A$5:$A$23,0),MATCH(Drivers!X$3,DriversGams!$A$5:$AN$5,0))</f>
        <v>32.12697522449362</v>
      </c>
      <c r="Y18" s="10">
        <f>INDEX(DriversGams!$A$5:$AN$23,MATCH(Drivers!$A18,DriversGams!$A$5:$A$23,0),MATCH(Drivers!Y$3,DriversGams!$A$5:$AN$5,0))</f>
        <v>33.622389646758698</v>
      </c>
      <c r="Z18" s="10">
        <f>INDEX(DriversGams!$A$5:$AN$23,MATCH(Drivers!$A18,DriversGams!$A$5:$A$23,0),MATCH(Drivers!Z$3,DriversGams!$A$5:$AN$5,0))</f>
        <v>34.951646910847074</v>
      </c>
      <c r="AA18" s="10">
        <f>INDEX(DriversGams!$A$5:$AN$23,MATCH(Drivers!$A18,DriversGams!$A$5:$A$23,0),MATCH(Drivers!AA$3,DriversGams!$A$5:$AN$5,0))</f>
        <v>36.43728738254871</v>
      </c>
      <c r="AB18" s="10">
        <f>INDEX(DriversGams!$A$5:$AN$23,MATCH(Drivers!$A18,DriversGams!$A$5:$A$23,0),MATCH(Drivers!AB$3,DriversGams!$A$5:$AN$5,0))</f>
        <v>38.079311061856721</v>
      </c>
      <c r="AC18" s="10">
        <f>INDEX(DriversGams!$A$5:$AN$23,MATCH(Drivers!$A18,DriversGams!$A$5:$A$23,0),MATCH(Drivers!AC$3,DriversGams!$A$5:$AN$5,0))</f>
        <v>39.848396097331893</v>
      </c>
      <c r="AD18" s="10">
        <f>INDEX(DriversGams!$A$5:$AN$23,MATCH(Drivers!$A18,DriversGams!$A$5:$A$23,0),MATCH(Drivers!AD$3,DriversGams!$A$5:$AN$5,0))</f>
        <v>41.724994588015043</v>
      </c>
      <c r="AE18" s="10">
        <f>INDEX(DriversGams!$A$5:$AN$23,MATCH(Drivers!$A18,DriversGams!$A$5:$A$23,0),MATCH(Drivers!AE$3,DriversGams!$A$5:$AN$5,0))</f>
        <v>43.70910653390311</v>
      </c>
      <c r="AF18" s="10">
        <f>INDEX(DriversGams!$A$5:$AN$23,MATCH(Drivers!$A18,DriversGams!$A$5:$A$23,0),MATCH(Drivers!AF$3,DriversGams!$A$5:$AN$5,0))</f>
        <v>55.887448822774303</v>
      </c>
      <c r="AG18" s="10">
        <f>INDEX(DriversGams!$A$5:$AN$23,MATCH(Drivers!$A18,DriversGams!$A$5:$A$23,0),MATCH(Drivers!AG$3,DriversGams!$A$5:$AN$5,0))</f>
        <v>71.134811559944438</v>
      </c>
      <c r="AH18" s="138"/>
      <c r="AI18" s="138"/>
      <c r="AJ18" s="138"/>
      <c r="AK18" s="138"/>
      <c r="AL18" s="138"/>
      <c r="AM18" s="138"/>
      <c r="AO18" s="199">
        <f t="shared" si="2"/>
        <v>12</v>
      </c>
    </row>
    <row r="19" spans="1:41" s="199" customFormat="1">
      <c r="A19" s="146" t="s">
        <v>599</v>
      </c>
      <c r="B19" s="199">
        <f t="shared" si="1"/>
        <v>13</v>
      </c>
      <c r="C19" s="10">
        <f>INDEX(DriversGams!$A$5:$AN$23,MATCH(Drivers!$A19,DriversGams!$A$5:$A$23,0),MATCH(Drivers!C$3,DriversGams!$A$5:$AN$5,0))</f>
        <v>11.26</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12.53097345031931</v>
      </c>
      <c r="M19" s="10">
        <f>INDEX(DriversGams!$A$5:$AN$23,MATCH(Drivers!$A19,DriversGams!$A$5:$A$23,0),MATCH(Drivers!M$3,DriversGams!$A$5:$AN$5,0))</f>
        <v>12.936444084849176</v>
      </c>
      <c r="N19" s="10">
        <f>INDEX(DriversGams!$A$5:$AN$23,MATCH(Drivers!$A19,DriversGams!$A$5:$A$23,0),MATCH(Drivers!N$3,DriversGams!$A$5:$AN$5,0))</f>
        <v>13.341914719348784</v>
      </c>
      <c r="O19" s="10">
        <f>INDEX(DriversGams!$A$5:$AN$23,MATCH(Drivers!$A19,DriversGams!$A$5:$A$23,0),MATCH(Drivers!O$3,DriversGams!$A$5:$AN$5,0))</f>
        <v>13.795655667561395</v>
      </c>
      <c r="P19" s="10">
        <f>INDEX(DriversGams!$A$5:$AN$23,MATCH(Drivers!$A19,DriversGams!$A$5:$A$23,0),MATCH(Drivers!P$3,DriversGams!$A$5:$AN$5,0))</f>
        <v>14.268704741237839</v>
      </c>
      <c r="Q19" s="10">
        <f>INDEX(DriversGams!$A$5:$AN$23,MATCH(Drivers!$A19,DriversGams!$A$5:$A$23,0),MATCH(Drivers!Q$3,DriversGams!$A$5:$AN$5,0))</f>
        <v>14.790024128617974</v>
      </c>
      <c r="R19" s="10">
        <f>INDEX(DriversGams!$A$5:$AN$23,MATCH(Drivers!$A19,DriversGams!$A$5:$A$23,0),MATCH(Drivers!R$3,DriversGams!$A$5:$AN$5,0))</f>
        <v>15.340305704203608</v>
      </c>
      <c r="S19" s="10">
        <f>INDEX(DriversGams!$A$5:$AN$23,MATCH(Drivers!$A19,DriversGams!$A$5:$A$23,0),MATCH(Drivers!S$3,DriversGams!$A$5:$AN$5,0))</f>
        <v>15.890587279754614</v>
      </c>
      <c r="T19" s="10">
        <f>INDEX(DriversGams!$A$5:$AN$23,MATCH(Drivers!$A19,DriversGams!$A$5:$A$23,0),MATCH(Drivers!T$3,DriversGams!$A$5:$AN$5,0))</f>
        <v>16.508447294489393</v>
      </c>
      <c r="U19" s="10">
        <f>INDEX(DriversGams!$A$5:$AN$23,MATCH(Drivers!$A19,DriversGams!$A$5:$A$23,0),MATCH(Drivers!U$3,DriversGams!$A$5:$AN$5,0))</f>
        <v>17.155269497422296</v>
      </c>
      <c r="V19" s="10">
        <f>INDEX(DriversGams!$A$5:$AN$23,MATCH(Drivers!$A19,DriversGams!$A$5:$A$23,0),MATCH(Drivers!V$3,DriversGams!$A$5:$AN$5,0))</f>
        <v>17.763475449341964</v>
      </c>
      <c r="W19" s="10">
        <f>INDEX(DriversGams!$A$5:$AN$23,MATCH(Drivers!$A19,DriversGams!$A$5:$A$23,0),MATCH(Drivers!W$3,DriversGams!$A$5:$AN$5,0))</f>
        <v>18.419951714946997</v>
      </c>
      <c r="X19" s="10">
        <f>INDEX(DriversGams!$A$5:$AN$23,MATCH(Drivers!$A19,DriversGams!$A$5:$A$23,0),MATCH(Drivers!X$3,DriversGams!$A$5:$AN$5,0))</f>
        <v>19.115044231490334</v>
      </c>
      <c r="Y19" s="10">
        <f>INDEX(DriversGams!$A$5:$AN$23,MATCH(Drivers!$A19,DriversGams!$A$5:$A$23,0),MATCH(Drivers!Y$3,DriversGams!$A$5:$AN$5,0))</f>
        <v>19.800482685255876</v>
      </c>
      <c r="Z19" s="10">
        <f>INDEX(DriversGams!$A$5:$AN$23,MATCH(Drivers!$A19,DriversGams!$A$5:$A$23,0),MATCH(Drivers!Z$3,DriversGams!$A$5:$AN$5,0))</f>
        <v>20.45695895076134</v>
      </c>
      <c r="AA19" s="10">
        <f>INDEX(DriversGams!$A$5:$AN$23,MATCH(Drivers!$A19,DriversGams!$A$5:$A$23,0),MATCH(Drivers!AA$3,DriversGams!$A$5:$AN$5,0))</f>
        <v>21.084473028010532</v>
      </c>
      <c r="AB19" s="10">
        <f>INDEX(DriversGams!$A$5:$AN$23,MATCH(Drivers!$A19,DriversGams!$A$5:$A$23,0),MATCH(Drivers!AB$3,DriversGams!$A$5:$AN$5,0))</f>
        <v>21.798873669902882</v>
      </c>
      <c r="AC19" s="10">
        <f>INDEX(DriversGams!$A$5:$AN$23,MATCH(Drivers!$A19,DriversGams!$A$5:$A$23,0),MATCH(Drivers!AC$3,DriversGams!$A$5:$AN$5,0))</f>
        <v>22.580852750949852</v>
      </c>
      <c r="AD19" s="10">
        <f>INDEX(DriversGams!$A$5:$AN$23,MATCH(Drivers!$A19,DriversGams!$A$5:$A$23,0),MATCH(Drivers!AD$3,DriversGams!$A$5:$AN$5,0))</f>
        <v>23.411102145665787</v>
      </c>
      <c r="AE19" s="10">
        <f>INDEX(DriversGams!$A$5:$AN$23,MATCH(Drivers!$A19,DriversGams!$A$5:$A$23,0),MATCH(Drivers!AE$3,DriversGams!$A$5:$AN$5,0))</f>
        <v>24.299275916787984</v>
      </c>
      <c r="AF19" s="10">
        <f>INDEX(DriversGams!$A$5:$AN$23,MATCH(Drivers!$A19,DriversGams!$A$5:$A$23,0),MATCH(Drivers!AF$3,DriversGams!$A$5:$AN$5,0))</f>
        <v>29.686242920295815</v>
      </c>
      <c r="AG19" s="10">
        <f>INDEX(DriversGams!$A$5:$AN$23,MATCH(Drivers!$A19,DriversGams!$A$5:$A$23,0),MATCH(Drivers!AG$3,DriversGams!$A$5:$AN$5,0))</f>
        <v>36.173773074992027</v>
      </c>
      <c r="AH19" s="138"/>
      <c r="AI19" s="138"/>
      <c r="AJ19" s="138"/>
      <c r="AK19" s="138"/>
      <c r="AL19" s="138"/>
      <c r="AM19" s="138"/>
      <c r="AO19" s="199">
        <f t="shared" si="2"/>
        <v>13</v>
      </c>
    </row>
    <row r="20" spans="1:41" s="199" customFormat="1">
      <c r="A20" s="146" t="s">
        <v>598</v>
      </c>
      <c r="B20" s="199">
        <f t="shared" si="1"/>
        <v>14</v>
      </c>
      <c r="C20" s="10">
        <f>INDEX(DriversGams!$A$5:$AN$23,MATCH(Drivers!$A20,DriversGams!$A$5:$A$23,0),MATCH(Drivers!C$3,DriversGams!$A$5:$AN$5,0))</f>
        <v>135.96</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143.53280403176132</v>
      </c>
      <c r="M20" s="10">
        <f>INDEX(DriversGams!$A$5:$AN$23,MATCH(Drivers!$A20,DriversGams!$A$5:$A$23,0),MATCH(Drivers!M$3,DriversGams!$A$5:$AN$5,0))</f>
        <v>148.17787859489698</v>
      </c>
      <c r="N20" s="10">
        <f>INDEX(DriversGams!$A$5:$AN$23,MATCH(Drivers!$A20,DriversGams!$A$5:$A$23,0),MATCH(Drivers!N$3,DriversGams!$A$5:$AN$5,0))</f>
        <v>153.21971994368354</v>
      </c>
      <c r="O20" s="10">
        <f>INDEX(DriversGams!$A$5:$AN$23,MATCH(Drivers!$A20,DriversGams!$A$5:$A$23,0),MATCH(Drivers!O$3,DriversGams!$A$5:$AN$5,0))</f>
        <v>159.08412657982095</v>
      </c>
      <c r="P20" s="10">
        <f>INDEX(DriversGams!$A$5:$AN$23,MATCH(Drivers!$A20,DriversGams!$A$5:$A$23,0),MATCH(Drivers!P$3,DriversGams!$A$5:$AN$5,0))</f>
        <v>165.34530000159904</v>
      </c>
      <c r="Q20" s="10">
        <f>INDEX(DriversGams!$A$5:$AN$23,MATCH(Drivers!$A20,DriversGams!$A$5:$A$23,0),MATCH(Drivers!Q$3,DriversGams!$A$5:$AN$5,0))</f>
        <v>172.24517117588886</v>
      </c>
      <c r="R20" s="10">
        <f>INDEX(DriversGams!$A$5:$AN$23,MATCH(Drivers!$A20,DriversGams!$A$5:$A$23,0),MATCH(Drivers!R$3,DriversGams!$A$5:$AN$5,0))</f>
        <v>179.65793599991073</v>
      </c>
      <c r="S20" s="10">
        <f>INDEX(DriversGams!$A$5:$AN$23,MATCH(Drivers!$A20,DriversGams!$A$5:$A$23,0),MATCH(Drivers!S$3,DriversGams!$A$5:$AN$5,0))</f>
        <v>187.67068962173454</v>
      </c>
      <c r="T20" s="10">
        <f>INDEX(DriversGams!$A$5:$AN$23,MATCH(Drivers!$A20,DriversGams!$A$5:$A$23,0),MATCH(Drivers!T$3,DriversGams!$A$5:$AN$5,0))</f>
        <v>196.75761673642197</v>
      </c>
      <c r="U20" s="10">
        <f>INDEX(DriversGams!$A$5:$AN$23,MATCH(Drivers!$A20,DriversGams!$A$5:$A$23,0),MATCH(Drivers!U$3,DriversGams!$A$5:$AN$5,0))</f>
        <v>206.20260168203126</v>
      </c>
      <c r="V20" s="10">
        <f>INDEX(DriversGams!$A$5:$AN$23,MATCH(Drivers!$A20,DriversGams!$A$5:$A$23,0),MATCH(Drivers!V$3,DriversGams!$A$5:$AN$5,0))</f>
        <v>215.62823215024673</v>
      </c>
      <c r="W20" s="10">
        <f>INDEX(DriversGams!$A$5:$AN$23,MATCH(Drivers!$A20,DriversGams!$A$5:$A$23,0),MATCH(Drivers!W$3,DriversGams!$A$5:$AN$5,0))</f>
        <v>225.62481970022623</v>
      </c>
      <c r="X20" s="10">
        <f>INDEX(DriversGams!$A$5:$AN$23,MATCH(Drivers!$A20,DriversGams!$A$5:$A$23,0),MATCH(Drivers!X$3,DriversGams!$A$5:$AN$5,0))</f>
        <v>236.14397813859347</v>
      </c>
      <c r="Y20" s="10">
        <f>INDEX(DriversGams!$A$5:$AN$23,MATCH(Drivers!$A20,DriversGams!$A$5:$A$23,0),MATCH(Drivers!Y$3,DriversGams!$A$5:$AN$5,0))</f>
        <v>247.17603022667146</v>
      </c>
      <c r="Z20" s="10">
        <f>INDEX(DriversGams!$A$5:$AN$23,MATCH(Drivers!$A20,DriversGams!$A$5:$A$23,0),MATCH(Drivers!Z$3,DriversGams!$A$5:$AN$5,0))</f>
        <v>257.95647410916763</v>
      </c>
      <c r="AA20" s="10">
        <f>INDEX(DriversGams!$A$5:$AN$23,MATCH(Drivers!$A20,DriversGams!$A$5:$A$23,0),MATCH(Drivers!AA$3,DriversGams!$A$5:$AN$5,0))</f>
        <v>269.17239373197702</v>
      </c>
      <c r="AB20" s="10">
        <f>INDEX(DriversGams!$A$5:$AN$23,MATCH(Drivers!$A20,DriversGams!$A$5:$A$23,0),MATCH(Drivers!AB$3,DriversGams!$A$5:$AN$5,0))</f>
        <v>282.04312116808433</v>
      </c>
      <c r="AC20" s="10">
        <f>INDEX(DriversGams!$A$5:$AN$23,MATCH(Drivers!$A20,DriversGams!$A$5:$A$23,0),MATCH(Drivers!AC$3,DriversGams!$A$5:$AN$5,0))</f>
        <v>295.60093255003414</v>
      </c>
      <c r="AD20" s="10">
        <f>INDEX(DriversGams!$A$5:$AN$23,MATCH(Drivers!$A20,DriversGams!$A$5:$A$23,0),MATCH(Drivers!AD$3,DriversGams!$A$5:$AN$5,0))</f>
        <v>309.96195474191705</v>
      </c>
      <c r="AE20" s="10">
        <f>INDEX(DriversGams!$A$5:$AN$23,MATCH(Drivers!$A20,DriversGams!$A$5:$A$23,0),MATCH(Drivers!AE$3,DriversGams!$A$5:$AN$5,0))</f>
        <v>325.04876983433491</v>
      </c>
      <c r="AF20" s="10">
        <f>INDEX(DriversGams!$A$5:$AN$23,MATCH(Drivers!$A20,DriversGams!$A$5:$A$23,0),MATCH(Drivers!AF$3,DriversGams!$A$5:$AN$5,0))</f>
        <v>417.71800737472</v>
      </c>
      <c r="AG20" s="10">
        <f>INDEX(DriversGams!$A$5:$AN$23,MATCH(Drivers!$A20,DriversGams!$A$5:$A$23,0),MATCH(Drivers!AG$3,DriversGams!$A$5:$AN$5,0))</f>
        <v>536.30289008354384</v>
      </c>
      <c r="AH20" s="138"/>
      <c r="AI20" s="138"/>
      <c r="AJ20" s="138"/>
      <c r="AK20" s="138"/>
      <c r="AL20" s="138"/>
      <c r="AM20" s="138"/>
      <c r="AO20" s="199">
        <f t="shared" si="2"/>
        <v>14</v>
      </c>
    </row>
    <row r="21" spans="1:41" s="199" customFormat="1">
      <c r="A21" s="146" t="s">
        <v>597</v>
      </c>
      <c r="B21" s="199">
        <f t="shared" si="1"/>
        <v>15</v>
      </c>
      <c r="C21" s="10">
        <f>INDEX(DriversGams!$A$5:$AN$23,MATCH(Drivers!$A21,DriversGams!$A$5:$A$23,0),MATCH(Drivers!C$3,DriversGams!$A$5:$AN$5,0))</f>
        <v>21.15</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30.22671499076683</v>
      </c>
      <c r="M21" s="10">
        <f>INDEX(DriversGams!$A$5:$AN$23,MATCH(Drivers!$A21,DriversGams!$A$5:$A$23,0),MATCH(Drivers!M$3,DriversGams!$A$5:$AN$5,0))</f>
        <v>31.552448103408469</v>
      </c>
      <c r="N21" s="10">
        <f>INDEX(DriversGams!$A$5:$AN$23,MATCH(Drivers!$A21,DriversGams!$A$5:$A$23,0),MATCH(Drivers!N$3,DriversGams!$A$5:$AN$5,0))</f>
        <v>33.010754527365201</v>
      </c>
      <c r="O21" s="10">
        <f>INDEX(DriversGams!$A$5:$AN$23,MATCH(Drivers!$A21,DriversGams!$A$5:$A$23,0),MATCH(Drivers!O$3,DriversGams!$A$5:$AN$5,0))</f>
        <v>34.724738051742897</v>
      </c>
      <c r="P21" s="10">
        <f>INDEX(DriversGams!$A$5:$AN$23,MATCH(Drivers!$A21,DriversGams!$A$5:$A$23,0),MATCH(Drivers!P$3,DriversGams!$A$5:$AN$5,0))</f>
        <v>36.628112020855937</v>
      </c>
      <c r="Q21" s="10">
        <f>INDEX(DriversGams!$A$5:$AN$23,MATCH(Drivers!$A21,DriversGams!$A$5:$A$23,0),MATCH(Drivers!Q$3,DriversGams!$A$5:$AN$5,0))</f>
        <v>38.853449746041001</v>
      </c>
      <c r="R21" s="10">
        <f>INDEX(DriversGams!$A$5:$AN$23,MATCH(Drivers!$A21,DriversGams!$A$5:$A$23,0),MATCH(Drivers!R$3,DriversGams!$A$5:$AN$5,0))</f>
        <v>41.306056004898913</v>
      </c>
      <c r="S21" s="10">
        <f>INDEX(DriversGams!$A$5:$AN$23,MATCH(Drivers!$A21,DriversGams!$A$5:$A$23,0),MATCH(Drivers!S$3,DriversGams!$A$5:$AN$5,0))</f>
        <v>43.96699175294566</v>
      </c>
      <c r="T21" s="10">
        <f>INDEX(DriversGams!$A$5:$AN$23,MATCH(Drivers!$A21,DriversGams!$A$5:$A$23,0),MATCH(Drivers!T$3,DriversGams!$A$5:$AN$5,0))</f>
        <v>47.129812179560112</v>
      </c>
      <c r="U21" s="10">
        <f>INDEX(DriversGams!$A$5:$AN$23,MATCH(Drivers!$A21,DriversGams!$A$5:$A$23,0),MATCH(Drivers!U$3,DriversGams!$A$5:$AN$5,0))</f>
        <v>50.718761106821802</v>
      </c>
      <c r="V21" s="10">
        <f>INDEX(DriversGams!$A$5:$AN$23,MATCH(Drivers!$A21,DriversGams!$A$5:$A$23,0),MATCH(Drivers!V$3,DriversGams!$A$5:$AN$5,0))</f>
        <v>54.648612834578742</v>
      </c>
      <c r="W21" s="10">
        <f>INDEX(DriversGams!$A$5:$AN$23,MATCH(Drivers!$A21,DriversGams!$A$5:$A$23,0),MATCH(Drivers!W$3,DriversGams!$A$5:$AN$5,0))</f>
        <v>59.070879718626777</v>
      </c>
      <c r="X21" s="10">
        <f>INDEX(DriversGams!$A$5:$AN$23,MATCH(Drivers!$A21,DriversGams!$A$5:$A$23,0),MATCH(Drivers!X$3,DriversGams!$A$5:$AN$5,0))</f>
        <v>63.90033605881748</v>
      </c>
      <c r="Y21" s="10">
        <f>INDEX(DriversGams!$A$5:$AN$23,MATCH(Drivers!$A21,DriversGams!$A$5:$A$23,0),MATCH(Drivers!Y$3,DriversGams!$A$5:$AN$5,0))</f>
        <v>69.127512332906761</v>
      </c>
      <c r="Z21" s="10">
        <f>INDEX(DriversGams!$A$5:$AN$23,MATCH(Drivers!$A21,DriversGams!$A$5:$A$23,0),MATCH(Drivers!Z$3,DriversGams!$A$5:$AN$5,0))</f>
        <v>74.468322873771484</v>
      </c>
      <c r="AA21" s="10">
        <f>INDEX(DriversGams!$A$5:$AN$23,MATCH(Drivers!$A21,DriversGams!$A$5:$A$23,0),MATCH(Drivers!AA$3,DriversGams!$A$5:$AN$5,0))</f>
        <v>80.017462903785244</v>
      </c>
      <c r="AB21" s="10">
        <f>INDEX(DriversGams!$A$5:$AN$23,MATCH(Drivers!$A21,DriversGams!$A$5:$A$23,0),MATCH(Drivers!AB$3,DriversGams!$A$5:$AN$5,0))</f>
        <v>86.267347579272993</v>
      </c>
      <c r="AC21" s="10">
        <f>INDEX(DriversGams!$A$5:$AN$23,MATCH(Drivers!$A21,DriversGams!$A$5:$A$23,0),MATCH(Drivers!AC$3,DriversGams!$A$5:$AN$5,0))</f>
        <v>93.056995022196489</v>
      </c>
      <c r="AD21" s="10">
        <f>INDEX(DriversGams!$A$5:$AN$23,MATCH(Drivers!$A21,DriversGams!$A$5:$A$23,0),MATCH(Drivers!AD$3,DriversGams!$A$5:$AN$5,0))</f>
        <v>100.39587475478656</v>
      </c>
      <c r="AE21" s="10">
        <f>INDEX(DriversGams!$A$5:$AN$23,MATCH(Drivers!$A21,DriversGams!$A$5:$A$23,0),MATCH(Drivers!AE$3,DriversGams!$A$5:$AN$5,0))</f>
        <v>108.2839867770379</v>
      </c>
      <c r="AF21" s="10">
        <f>INDEX(DriversGams!$A$5:$AN$23,MATCH(Drivers!$A21,DriversGams!$A$5:$A$23,0),MATCH(Drivers!AF$3,DriversGams!$A$5:$AN$5,0))</f>
        <v>153.33997357356841</v>
      </c>
      <c r="AG21" s="10">
        <f>INDEX(DriversGams!$A$5:$AN$23,MATCH(Drivers!$A21,DriversGams!$A$5:$A$23,0),MATCH(Drivers!AG$3,DriversGams!$A$5:$AN$5,0))</f>
        <v>207.94123878278739</v>
      </c>
      <c r="AH21" s="138"/>
      <c r="AI21" s="138"/>
      <c r="AJ21" s="138"/>
      <c r="AK21" s="138"/>
      <c r="AL21" s="138"/>
      <c r="AM21" s="138"/>
      <c r="AO21" s="199">
        <f t="shared" si="2"/>
        <v>15</v>
      </c>
    </row>
    <row r="22" spans="1:41" s="199" customFormat="1">
      <c r="A22" s="146" t="s">
        <v>600</v>
      </c>
      <c r="B22" s="199">
        <f t="shared" si="1"/>
        <v>16</v>
      </c>
      <c r="C22" s="10">
        <f>INDEX(DriversGams!$A$5:$AN$23,MATCH(Drivers!$A22,DriversGams!$A$5:$A$23,0),MATCH(Drivers!C$3,DriversGams!$A$5:$AN$5,0))</f>
        <v>1.1399999999999999</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0.99980197920811664</v>
      </c>
      <c r="M22" s="10">
        <f>INDEX(DriversGams!$A$5:$AN$23,MATCH(Drivers!$A22,DriversGams!$A$5:$A$23,0),MATCH(Drivers!M$3,DriversGams!$A$5:$AN$5,0))</f>
        <v>1.0292079187640339</v>
      </c>
      <c r="N22" s="10">
        <f>INDEX(DriversGams!$A$5:$AN$23,MATCH(Drivers!$A22,DriversGams!$A$5:$A$23,0),MATCH(Drivers!N$3,DriversGams!$A$5:$AN$5,0))</f>
        <v>1.0684158384613154</v>
      </c>
      <c r="O22" s="10">
        <f>INDEX(DriversGams!$A$5:$AN$23,MATCH(Drivers!$A22,DriversGams!$A$5:$A$23,0),MATCH(Drivers!O$3,DriversGams!$A$5:$AN$5,0))</f>
        <v>1.1174257382830033</v>
      </c>
      <c r="P22" s="10">
        <f>INDEX(DriversGams!$A$5:$AN$23,MATCH(Drivers!$A22,DriversGams!$A$5:$A$23,0),MATCH(Drivers!P$3,DriversGams!$A$5:$AN$5,0))</f>
        <v>1.1664356380617003</v>
      </c>
      <c r="Q22" s="10">
        <f>INDEX(DriversGams!$A$5:$AN$23,MATCH(Drivers!$A22,DriversGams!$A$5:$A$23,0),MATCH(Drivers!Q$3,DriversGams!$A$5:$AN$5,0))</f>
        <v>1.2252475179427544</v>
      </c>
      <c r="R22" s="10">
        <f>INDEX(DriversGams!$A$5:$AN$23,MATCH(Drivers!$A22,DriversGams!$A$5:$A$23,0),MATCH(Drivers!R$3,DriversGams!$A$5:$AN$5,0))</f>
        <v>1.2938613779124597</v>
      </c>
      <c r="S22" s="10">
        <f>INDEX(DriversGams!$A$5:$AN$23,MATCH(Drivers!$A22,DriversGams!$A$5:$A$23,0),MATCH(Drivers!S$3,DriversGams!$A$5:$AN$5,0))</f>
        <v>1.382079198086734</v>
      </c>
      <c r="T22" s="10">
        <f>INDEX(DriversGams!$A$5:$AN$23,MATCH(Drivers!$A22,DriversGams!$A$5:$A$23,0),MATCH(Drivers!T$3,DriversGams!$A$5:$AN$5,0))</f>
        <v>1.4800989983197652</v>
      </c>
      <c r="U22" s="10">
        <f>INDEX(DriversGams!$A$5:$AN$23,MATCH(Drivers!$A22,DriversGams!$A$5:$A$23,0),MATCH(Drivers!U$3,DriversGams!$A$5:$AN$5,0))</f>
        <v>1.5781187984878831</v>
      </c>
      <c r="V22" s="10">
        <f>INDEX(DriversGams!$A$5:$AN$23,MATCH(Drivers!$A22,DriversGams!$A$5:$A$23,0),MATCH(Drivers!V$3,DriversGams!$A$5:$AN$5,0))</f>
        <v>1.6957425588126054</v>
      </c>
      <c r="W22" s="10">
        <f>INDEX(DriversGams!$A$5:$AN$23,MATCH(Drivers!$A22,DriversGams!$A$5:$A$23,0),MATCH(Drivers!W$3,DriversGams!$A$5:$AN$5,0))</f>
        <v>1.8133663190693374</v>
      </c>
      <c r="X22" s="10">
        <f>INDEX(DriversGams!$A$5:$AN$23,MATCH(Drivers!$A22,DriversGams!$A$5:$A$23,0),MATCH(Drivers!X$3,DriversGams!$A$5:$AN$5,0))</f>
        <v>1.9407920593602679</v>
      </c>
      <c r="Y22" s="10">
        <f>INDEX(DriversGams!$A$5:$AN$23,MATCH(Drivers!$A22,DriversGams!$A$5:$A$23,0),MATCH(Drivers!Y$3,DriversGams!$A$5:$AN$5,0))</f>
        <v>2.0780197796796709</v>
      </c>
      <c r="Z22" s="10">
        <f>INDEX(DriversGams!$A$5:$AN$23,MATCH(Drivers!$A22,DriversGams!$A$5:$A$23,0),MATCH(Drivers!Z$3,DriversGams!$A$5:$AN$5,0))</f>
        <v>2.2250494800225482</v>
      </c>
      <c r="AA22" s="10">
        <f>INDEX(DriversGams!$A$5:$AN$23,MATCH(Drivers!$A22,DriversGams!$A$5:$A$23,0),MATCH(Drivers!AA$3,DriversGams!$A$5:$AN$5,0))</f>
        <v>2.3916831404684293</v>
      </c>
      <c r="AB22" s="10">
        <f>INDEX(DriversGams!$A$5:$AN$23,MATCH(Drivers!$A22,DriversGams!$A$5:$A$23,0),MATCH(Drivers!AB$3,DriversGams!$A$5:$AN$5,0))</f>
        <v>2.5681187809258881</v>
      </c>
      <c r="AC22" s="10">
        <f>INDEX(DriversGams!$A$5:$AN$23,MATCH(Drivers!$A22,DriversGams!$A$5:$A$23,0),MATCH(Drivers!AC$3,DriversGams!$A$5:$AN$5,0))</f>
        <v>2.7641583814682615</v>
      </c>
      <c r="AD22" s="10">
        <f>INDEX(DriversGams!$A$5:$AN$23,MATCH(Drivers!$A22,DriversGams!$A$5:$A$23,0),MATCH(Drivers!AD$3,DriversGams!$A$5:$AN$5,0))</f>
        <v>2.96999996201377</v>
      </c>
      <c r="AE22" s="10">
        <f>INDEX(DriversGams!$A$5:$AN$23,MATCH(Drivers!$A22,DriversGams!$A$5:$A$23,0),MATCH(Drivers!AE$3,DriversGams!$A$5:$AN$5,0))</f>
        <v>3.1758415424913444</v>
      </c>
      <c r="AF22" s="10">
        <f>INDEX(DriversGams!$A$5:$AN$23,MATCH(Drivers!$A22,DriversGams!$A$5:$A$23,0),MATCH(Drivers!AF$3,DriversGams!$A$5:$AN$5,0))</f>
        <v>4.4893068657331385</v>
      </c>
      <c r="AG22" s="10">
        <f>INDEX(DriversGams!$A$5:$AN$23,MATCH(Drivers!$A22,DriversGams!$A$5:$A$23,0),MATCH(Drivers!AG$3,DriversGams!$A$5:$AN$5,0))</f>
        <v>6.2928711900416285</v>
      </c>
      <c r="AH22" s="138"/>
      <c r="AI22" s="138"/>
      <c r="AJ22" s="138"/>
      <c r="AK22" s="138"/>
      <c r="AL22" s="138"/>
      <c r="AM22" s="138"/>
      <c r="AO22" s="199">
        <f t="shared" si="2"/>
        <v>16</v>
      </c>
    </row>
    <row r="23" spans="1:41" s="199" customFormat="1">
      <c r="A23" s="146" t="s">
        <v>604</v>
      </c>
      <c r="B23" s="199">
        <f t="shared" si="1"/>
        <v>17</v>
      </c>
      <c r="C23" s="10">
        <f>INDEX(DriversGams!$A$5:$AN$23,MATCH(Drivers!$A23,DriversGams!$A$5:$A$23,0),MATCH(Drivers!C$3,DriversGams!$A$5:$AN$5,0))</f>
        <v>66.42</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61.25417989313442</v>
      </c>
      <c r="M23" s="10">
        <f>INDEX(DriversGams!$A$5:$AN$23,MATCH(Drivers!$A23,DriversGams!$A$5:$A$23,0),MATCH(Drivers!M$3,DriversGams!$A$5:$AN$5,0))</f>
        <v>61.001932068231298</v>
      </c>
      <c r="N23" s="10">
        <f>INDEX(DriversGams!$A$5:$AN$23,MATCH(Drivers!$A23,DriversGams!$A$5:$A$23,0),MATCH(Drivers!N$3,DriversGams!$A$5:$AN$5,0))</f>
        <v>61.306731520996301</v>
      </c>
      <c r="O23" s="10">
        <f>INDEX(DriversGams!$A$5:$AN$23,MATCH(Drivers!$A23,DriversGams!$A$5:$A$23,0),MATCH(Drivers!O$3,DriversGams!$A$5:$AN$5,0))</f>
        <v>61.769185863658223</v>
      </c>
      <c r="P23" s="10">
        <f>INDEX(DriversGams!$A$5:$AN$23,MATCH(Drivers!$A23,DriversGams!$A$5:$A$23,0),MATCH(Drivers!P$3,DriversGams!$A$5:$AN$5,0))</f>
        <v>62.610011942070962</v>
      </c>
      <c r="Q23" s="10">
        <f>INDEX(DriversGams!$A$5:$AN$23,MATCH(Drivers!$A23,DriversGams!$A$5:$A$23,0),MATCH(Drivers!Q$3,DriversGams!$A$5:$AN$5,0))</f>
        <v>62.179088575301975</v>
      </c>
      <c r="R23" s="10">
        <f>INDEX(DriversGams!$A$5:$AN$23,MATCH(Drivers!$A23,DriversGams!$A$5:$A$23,0),MATCH(Drivers!R$3,DriversGams!$A$5:$AN$5,0))</f>
        <v>62.010923358363861</v>
      </c>
      <c r="S23" s="10">
        <f>INDEX(DriversGams!$A$5:$AN$23,MATCH(Drivers!$A23,DriversGams!$A$5:$A$23,0),MATCH(Drivers!S$3,DriversGams!$A$5:$AN$5,0))</f>
        <v>62.45235704900896</v>
      </c>
      <c r="T23" s="10">
        <f>INDEX(DriversGams!$A$5:$AN$23,MATCH(Drivers!$A23,DriversGams!$A$5:$A$23,0),MATCH(Drivers!T$3,DriversGams!$A$5:$AN$5,0))</f>
        <v>62.799197805713334</v>
      </c>
      <c r="U23" s="10">
        <f>INDEX(DriversGams!$A$5:$AN$23,MATCH(Drivers!$A23,DriversGams!$A$5:$A$23,0),MATCH(Drivers!U$3,DriversGams!$A$5:$AN$5,0))</f>
        <v>63.209100518366384</v>
      </c>
      <c r="V23" s="10">
        <f>INDEX(DriversGams!$A$5:$AN$23,MATCH(Drivers!$A23,DriversGams!$A$5:$A$23,0),MATCH(Drivers!V$3,DriversGams!$A$5:$AN$5,0))</f>
        <v>62.925321715524937</v>
      </c>
      <c r="W23" s="10">
        <f>INDEX(DriversGams!$A$5:$AN$23,MATCH(Drivers!$A23,DriversGams!$A$5:$A$23,0),MATCH(Drivers!W$3,DriversGams!$A$5:$AN$5,0))</f>
        <v>62.862259758521539</v>
      </c>
      <c r="X23" s="10">
        <f>INDEX(DriversGams!$A$5:$AN$23,MATCH(Drivers!$A23,DriversGams!$A$5:$A$23,0),MATCH(Drivers!X$3,DriversGams!$A$5:$AN$5,0))</f>
        <v>62.052964656095284</v>
      </c>
      <c r="Y23" s="10">
        <f>INDEX(DriversGams!$A$5:$AN$23,MATCH(Drivers!$A23,DriversGams!$A$5:$A$23,0),MATCH(Drivers!Y$3,DriversGams!$A$5:$AN$5,0))</f>
        <v>61.811227157234974</v>
      </c>
      <c r="Z23" s="10">
        <f>INDEX(DriversGams!$A$5:$AN$23,MATCH(Drivers!$A23,DriversGams!$A$5:$A$23,0),MATCH(Drivers!Z$3,DriversGams!$A$5:$AN$5,0))</f>
        <v>60.66560162310725</v>
      </c>
      <c r="AA23" s="10">
        <f>INDEX(DriversGams!$A$5:$AN$23,MATCH(Drivers!$A23,DriversGams!$A$5:$A$23,0),MATCH(Drivers!AA$3,DriversGams!$A$5:$AN$5,0))</f>
        <v>59.530486414990719</v>
      </c>
      <c r="AB23" s="10">
        <f>INDEX(DriversGams!$A$5:$AN$23,MATCH(Drivers!$A23,DriversGams!$A$5:$A$23,0),MATCH(Drivers!AB$3,DriversGams!$A$5:$AN$5,0))</f>
        <v>58.910377180461147</v>
      </c>
      <c r="AC23" s="10">
        <f>INDEX(DriversGams!$A$5:$AN$23,MATCH(Drivers!$A23,DriversGams!$A$5:$A$23,0),MATCH(Drivers!AC$3,DriversGams!$A$5:$AN$5,0))</f>
        <v>57.743730994411983</v>
      </c>
      <c r="AD23" s="10">
        <f>INDEX(DriversGams!$A$5:$AN$23,MATCH(Drivers!$A23,DriversGams!$A$5:$A$23,0),MATCH(Drivers!AD$3,DriversGams!$A$5:$AN$5,0))</f>
        <v>56.577084808384058</v>
      </c>
      <c r="AE23" s="10">
        <f>INDEX(DriversGams!$A$5:$AN$23,MATCH(Drivers!$A23,DriversGams!$A$5:$A$23,0),MATCH(Drivers!AE$3,DriversGams!$A$5:$AN$5,0))</f>
        <v>55.389417970396636</v>
      </c>
      <c r="AF23" s="10">
        <f>INDEX(DriversGams!$A$5:$AN$23,MATCH(Drivers!$A23,DriversGams!$A$5:$A$23,0),MATCH(Drivers!AF$3,DriversGams!$A$5:$AN$5,0))</f>
        <v>52.341423428046618</v>
      </c>
      <c r="AG23" s="10">
        <f>INDEX(DriversGams!$A$5:$AN$23,MATCH(Drivers!$A23,DriversGams!$A$5:$A$23,0),MATCH(Drivers!AG$3,DriversGams!$A$5:$AN$5,0))</f>
        <v>49.335470189959082</v>
      </c>
      <c r="AH23" s="138"/>
      <c r="AI23" s="138"/>
      <c r="AJ23" s="138"/>
      <c r="AK23" s="138"/>
      <c r="AL23" s="138"/>
      <c r="AM23" s="138"/>
    </row>
    <row r="24" spans="1:41" s="199" customFormat="1">
      <c r="A24" s="146" t="s">
        <v>529</v>
      </c>
      <c r="B24" s="199">
        <f t="shared" si="1"/>
        <v>18</v>
      </c>
      <c r="C24" s="10">
        <f>INDEX(DriversGams!$A$5:$AN$23,MATCH(Drivers!$A24,DriversGams!$A$5:$A$23,0),MATCH(Drivers!C$3,DriversGams!$A$5:$AN$5,0))</f>
        <v>84.25</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79.868832789361164</v>
      </c>
      <c r="M24" s="10">
        <f>INDEX(DriversGams!$A$5:$AN$23,MATCH(Drivers!$A24,DriversGams!$A$5:$A$23,0),MATCH(Drivers!M$3,DriversGams!$A$5:$AN$5,0))</f>
        <v>80.787339845850937</v>
      </c>
      <c r="N24" s="10">
        <f>INDEX(DriversGams!$A$5:$AN$23,MATCH(Drivers!$A24,DriversGams!$A$5:$A$23,0),MATCH(Drivers!N$3,DriversGams!$A$5:$AN$5,0))</f>
        <v>82.128979367024627</v>
      </c>
      <c r="O24" s="10">
        <f>INDEX(DriversGams!$A$5:$AN$23,MATCH(Drivers!$A24,DriversGams!$A$5:$A$23,0),MATCH(Drivers!O$3,DriversGams!$A$5:$AN$5,0))</f>
        <v>82.882361559221735</v>
      </c>
      <c r="P24" s="10">
        <f>INDEX(DriversGams!$A$5:$AN$23,MATCH(Drivers!$A24,DriversGams!$A$5:$A$23,0),MATCH(Drivers!P$3,DriversGams!$A$5:$AN$5,0))</f>
        <v>81.035027139198789</v>
      </c>
      <c r="Q24" s="10">
        <f>INDEX(DriversGams!$A$5:$AN$23,MATCH(Drivers!$A24,DriversGams!$A$5:$A$23,0),MATCH(Drivers!Q$3,DriversGams!$A$5:$AN$5,0))</f>
        <v>84.110477735106869</v>
      </c>
      <c r="R24" s="10">
        <f>INDEX(DriversGams!$A$5:$AN$23,MATCH(Drivers!$A24,DriversGams!$A$5:$A$23,0),MATCH(Drivers!R$3,DriversGams!$A$5:$AN$5,0))</f>
        <v>85.957812153019546</v>
      </c>
      <c r="S24" s="10">
        <f>INDEX(DriversGams!$A$5:$AN$23,MATCH(Drivers!$A24,DriversGams!$A$5:$A$23,0),MATCH(Drivers!S$3,DriversGams!$A$5:$AN$5,0))</f>
        <v>87.26849076206102</v>
      </c>
      <c r="T24" s="10">
        <f>INDEX(DriversGams!$A$5:$AN$23,MATCH(Drivers!$A24,DriversGams!$A$5:$A$23,0),MATCH(Drivers!T$3,DriversGams!$A$5:$AN$5,0))</f>
        <v>89.67312159680472</v>
      </c>
      <c r="U24" s="10">
        <f>INDEX(DriversGams!$A$5:$AN$23,MATCH(Drivers!$A24,DriversGams!$A$5:$A$23,0),MATCH(Drivers!U$3,DriversGams!$A$5:$AN$5,0))</f>
        <v>91.210846894169521</v>
      </c>
      <c r="V24" s="10">
        <f>INDEX(DriversGams!$A$5:$AN$23,MATCH(Drivers!$A24,DriversGams!$A$5:$A$23,0),MATCH(Drivers!V$3,DriversGams!$A$5:$AN$5,0))</f>
        <v>95.359609107557191</v>
      </c>
      <c r="W24" s="10">
        <f>INDEX(DriversGams!$A$5:$AN$23,MATCH(Drivers!$A24,DriversGams!$A$5:$A$23,0),MATCH(Drivers!W$3,DriversGams!$A$5:$AN$5,0))</f>
        <v>98.011927238600578</v>
      </c>
      <c r="X24" s="10">
        <f>INDEX(DriversGams!$A$5:$AN$23,MATCH(Drivers!$A24,DriversGams!$A$5:$A$23,0),MATCH(Drivers!X$3,DriversGams!$A$5:$AN$5,0))</f>
        <v>100.65392506560029</v>
      </c>
      <c r="Y24" s="10">
        <f>INDEX(DriversGams!$A$5:$AN$23,MATCH(Drivers!$A24,DriversGams!$A$5:$A$23,0),MATCH(Drivers!Y$3,DriversGams!$A$5:$AN$5,0))</f>
        <v>103.37848532469806</v>
      </c>
      <c r="Z24" s="10">
        <f>INDEX(DriversGams!$A$5:$AN$23,MATCH(Drivers!$A24,DriversGams!$A$5:$A$23,0),MATCH(Drivers!Z$3,DriversGams!$A$5:$AN$5,0))</f>
        <v>106.47457652832807</v>
      </c>
      <c r="AA24" s="10">
        <f>INDEX(DriversGams!$A$5:$AN$23,MATCH(Drivers!$A24,DriversGams!$A$5:$A$23,0),MATCH(Drivers!AA$3,DriversGams!$A$5:$AN$5,0))</f>
        <v>111.34576002258379</v>
      </c>
      <c r="AB24" s="10">
        <f>INDEX(DriversGams!$A$5:$AN$23,MATCH(Drivers!$A24,DriversGams!$A$5:$A$23,0),MATCH(Drivers!AB$3,DriversGams!$A$5:$AN$5,0))</f>
        <v>117.16641148620606</v>
      </c>
      <c r="AC24" s="10">
        <f>INDEX(DriversGams!$A$5:$AN$23,MATCH(Drivers!$A24,DriversGams!$A$5:$A$23,0),MATCH(Drivers!AC$3,DriversGams!$A$5:$AN$5,0))</f>
        <v>120.41730724997892</v>
      </c>
      <c r="AD24" s="10">
        <f>INDEX(DriversGams!$A$5:$AN$23,MATCH(Drivers!$A24,DriversGams!$A$5:$A$23,0),MATCH(Drivers!AD$3,DriversGams!$A$5:$AN$5,0))</f>
        <v>125.30913135213515</v>
      </c>
      <c r="AE24" s="10">
        <f>INDEX(DriversGams!$A$5:$AN$23,MATCH(Drivers!$A24,DriversGams!$A$5:$A$23,0),MATCH(Drivers!AE$3,DriversGams!$A$5:$AN$5,0))</f>
        <v>130.2112757582662</v>
      </c>
      <c r="AF24" s="10">
        <f>INDEX(DriversGams!$A$5:$AN$23,MATCH(Drivers!$A24,DriversGams!$A$5:$A$23,0),MATCH(Drivers!AF$3,DriversGams!$A$5:$AN$5,0))</f>
        <v>144.72162319798196</v>
      </c>
      <c r="AG24" s="10">
        <f>INDEX(DriversGams!$A$5:$AN$23,MATCH(Drivers!$A24,DriversGams!$A$5:$A$23,0),MATCH(Drivers!AG$3,DriversGams!$A$5:$AN$5,0))</f>
        <v>159.35581428534195</v>
      </c>
      <c r="AH24" s="138"/>
      <c r="AI24" s="138"/>
      <c r="AJ24" s="138"/>
      <c r="AK24" s="138"/>
      <c r="AL24" s="138"/>
      <c r="AM24" s="138"/>
    </row>
    <row r="25" spans="1:41">
      <c r="A25" s="5" t="s">
        <v>5</v>
      </c>
      <c r="B25" s="199">
        <f t="shared" si="1"/>
        <v>19</v>
      </c>
      <c r="C25" s="139">
        <f>SUM(C7:C24)</f>
        <v>2893.5800000000004</v>
      </c>
      <c r="D25" s="139">
        <f>SUM(D7:D24)</f>
        <v>2965.2699999999995</v>
      </c>
      <c r="E25" s="139">
        <f t="shared" ref="E25:AG25" si="3">SUM(E7:E24)</f>
        <v>3020.9599999999996</v>
      </c>
      <c r="F25" s="139">
        <f t="shared" si="3"/>
        <v>3059.4500000000003</v>
      </c>
      <c r="G25" s="139">
        <f t="shared" si="3"/>
        <v>3083.9200000000005</v>
      </c>
      <c r="H25" s="139">
        <f t="shared" si="3"/>
        <v>3120.5399999999995</v>
      </c>
      <c r="I25" s="139">
        <f t="shared" si="3"/>
        <v>3152.2400000000002</v>
      </c>
      <c r="J25" s="139">
        <f t="shared" si="3"/>
        <v>3179.29</v>
      </c>
      <c r="K25" s="139">
        <f t="shared" si="3"/>
        <v>2948.9199999999996</v>
      </c>
      <c r="L25" s="139">
        <f t="shared" si="3"/>
        <v>3066.3201349646861</v>
      </c>
      <c r="M25" s="139">
        <f t="shared" si="3"/>
        <v>3168.8584092559568</v>
      </c>
      <c r="N25" s="139">
        <f t="shared" si="3"/>
        <v>3279.6439559197274</v>
      </c>
      <c r="O25" s="139">
        <f t="shared" si="3"/>
        <v>3406.7754771453078</v>
      </c>
      <c r="P25" s="139">
        <f t="shared" si="3"/>
        <v>3542.5134634741785</v>
      </c>
      <c r="Q25" s="139">
        <f t="shared" si="3"/>
        <v>3698.5922523926524</v>
      </c>
      <c r="R25" s="139">
        <f t="shared" si="3"/>
        <v>3866.061040181226</v>
      </c>
      <c r="S25" s="139">
        <f t="shared" si="3"/>
        <v>4047.2575792168536</v>
      </c>
      <c r="T25" s="139">
        <f t="shared" si="3"/>
        <v>4252.9867357313888</v>
      </c>
      <c r="U25" s="139">
        <f t="shared" si="3"/>
        <v>4470.1671743814259</v>
      </c>
      <c r="V25" s="139">
        <f t="shared" si="3"/>
        <v>4692.6065618792209</v>
      </c>
      <c r="W25" s="139">
        <f t="shared" si="3"/>
        <v>4928.5832236449414</v>
      </c>
      <c r="X25" s="139">
        <f t="shared" si="3"/>
        <v>5177.6662209735341</v>
      </c>
      <c r="Y25" s="139">
        <f t="shared" si="3"/>
        <v>5441.1847293518404</v>
      </c>
      <c r="Z25" s="139">
        <f t="shared" si="3"/>
        <v>5702.4488176996365</v>
      </c>
      <c r="AA25" s="139">
        <f t="shared" si="3"/>
        <v>5976.1244991132253</v>
      </c>
      <c r="AB25" s="139">
        <f t="shared" si="3"/>
        <v>6282.0830906195679</v>
      </c>
      <c r="AC25" s="139">
        <f t="shared" si="3"/>
        <v>6607.059104863325</v>
      </c>
      <c r="AD25" s="139">
        <f t="shared" si="3"/>
        <v>6954.0963235486188</v>
      </c>
      <c r="AE25" s="139">
        <f t="shared" si="3"/>
        <v>7318.5663285636874</v>
      </c>
      <c r="AF25" s="139">
        <f t="shared" si="3"/>
        <v>9482.711583628914</v>
      </c>
      <c r="AG25" s="139">
        <f t="shared" si="3"/>
        <v>12227.805598253761</v>
      </c>
      <c r="AH25" s="139"/>
      <c r="AI25" s="139"/>
      <c r="AJ25" s="139"/>
      <c r="AK25" s="139"/>
      <c r="AL25" s="139"/>
      <c r="AM25" s="139"/>
    </row>
    <row r="26" spans="1:41" s="34" customFormat="1">
      <c r="A26" s="268" t="s">
        <v>279</v>
      </c>
      <c r="B26" s="199">
        <f t="shared" si="1"/>
        <v>20</v>
      </c>
      <c r="C26" s="268"/>
      <c r="D26" s="269">
        <f>D25/C25-1</f>
        <v>2.4775537569377448E-2</v>
      </c>
      <c r="E26" s="269">
        <f t="shared" ref="E26:AE26" si="4">E25/D25-1</f>
        <v>1.8780751837100818E-2</v>
      </c>
      <c r="F26" s="269">
        <f t="shared" si="4"/>
        <v>1.2740982998782124E-2</v>
      </c>
      <c r="G26" s="269">
        <f t="shared" si="4"/>
        <v>7.9981696056481422E-3</v>
      </c>
      <c r="H26" s="269">
        <f t="shared" si="4"/>
        <v>1.1874497392928118E-2</v>
      </c>
      <c r="I26" s="269">
        <f t="shared" si="4"/>
        <v>1.0158498208643563E-2</v>
      </c>
      <c r="J26" s="269">
        <f t="shared" si="4"/>
        <v>8.581199401060724E-3</v>
      </c>
      <c r="K26" s="269">
        <f t="shared" si="4"/>
        <v>-7.2459574307471297E-2</v>
      </c>
      <c r="L26" s="269">
        <f t="shared" si="4"/>
        <v>3.9811230879334358E-2</v>
      </c>
      <c r="M26" s="269">
        <f t="shared" si="4"/>
        <v>3.3440172512336774E-2</v>
      </c>
      <c r="N26" s="269">
        <f t="shared" si="4"/>
        <v>3.4960712141689942E-2</v>
      </c>
      <c r="O26" s="269">
        <f t="shared" si="4"/>
        <v>3.8763817943136436E-2</v>
      </c>
      <c r="P26" s="269">
        <f t="shared" si="4"/>
        <v>3.9843537456307976E-2</v>
      </c>
      <c r="Q26" s="269">
        <f t="shared" si="4"/>
        <v>4.4058770849499052E-2</v>
      </c>
      <c r="R26" s="269">
        <f t="shared" si="4"/>
        <v>4.5279061967492318E-2</v>
      </c>
      <c r="S26" s="269">
        <f t="shared" si="4"/>
        <v>4.686851478866827E-2</v>
      </c>
      <c r="T26" s="269">
        <f t="shared" si="4"/>
        <v>5.0831742850017347E-2</v>
      </c>
      <c r="U26" s="269">
        <f t="shared" si="4"/>
        <v>5.1065392897983841E-2</v>
      </c>
      <c r="V26" s="269">
        <f t="shared" si="4"/>
        <v>4.9760865493486905E-2</v>
      </c>
      <c r="W26" s="269">
        <f t="shared" si="4"/>
        <v>5.0286905295384488E-2</v>
      </c>
      <c r="X26" s="269">
        <f t="shared" si="4"/>
        <v>5.0538458219314242E-2</v>
      </c>
      <c r="Y26" s="269">
        <f t="shared" si="4"/>
        <v>5.0895229072676296E-2</v>
      </c>
      <c r="Z26" s="269">
        <f t="shared" si="4"/>
        <v>4.801602984336073E-2</v>
      </c>
      <c r="AA26" s="269">
        <f t="shared" si="4"/>
        <v>4.7992658972078051E-2</v>
      </c>
      <c r="AB26" s="269">
        <f t="shared" si="4"/>
        <v>5.1196823552076776E-2</v>
      </c>
      <c r="AC26" s="269">
        <f t="shared" si="4"/>
        <v>5.17306138037259E-2</v>
      </c>
      <c r="AD26" s="269">
        <f t="shared" si="4"/>
        <v>5.2525217827981363E-2</v>
      </c>
      <c r="AE26" s="269">
        <f t="shared" si="4"/>
        <v>5.2410836441949549E-2</v>
      </c>
      <c r="AF26" s="269">
        <f>(AF25/AE25)^(1/5)-1</f>
        <v>5.3176853479453445E-2</v>
      </c>
      <c r="AG26" s="269">
        <f>(AG25/AF25)^(1/5)-1</f>
        <v>5.2163414979468303E-2</v>
      </c>
      <c r="AH26" s="268"/>
      <c r="AI26" s="268"/>
      <c r="AJ26" s="268"/>
      <c r="AK26" s="268"/>
      <c r="AL26" s="268"/>
      <c r="AM26" s="268"/>
    </row>
    <row r="27" spans="1:41">
      <c r="A27" s="4" t="s">
        <v>615</v>
      </c>
      <c r="B27" s="199">
        <f t="shared" si="1"/>
        <v>21</v>
      </c>
      <c r="C27" s="138">
        <f>INDEX(DriversGams!$A$43:$AN$43,1,MATCH(Drivers!C$3,DriversGams!$A$42:$AN$42,0))/1000</f>
        <v>52.325432882070082</v>
      </c>
      <c r="D27" s="138">
        <f>INDEX(DriversGams!$A$43:$AN$43,1,MATCH(Drivers!D$3,DriversGams!$A$42:$AN$42,0))/1000</f>
        <v>53.104386458423342</v>
      </c>
      <c r="E27" s="138">
        <f>INDEX(DriversGams!$A$43:$AN$43,1,MATCH(Drivers!E$3,DriversGams!$A$42:$AN$42,0))/1000</f>
        <v>53.912365691429272</v>
      </c>
      <c r="F27" s="138">
        <f>INDEX(DriversGams!$A$43:$AN$43,1,MATCH(Drivers!F$3,DriversGams!$A$42:$AN$42,0))/1000</f>
        <v>54.750491457321111</v>
      </c>
      <c r="G27" s="138">
        <f>INDEX(DriversGams!$A$43:$AN$43,1,MATCH(Drivers!G$3,DriversGams!$A$42:$AN$42,0))/1000</f>
        <v>55.619940469824826</v>
      </c>
      <c r="H27" s="138">
        <f>INDEX(DriversGams!$A$43:$AN$43,1,MATCH(Drivers!H$3,DriversGams!$A$42:$AN$42,0))/1000</f>
        <v>56.521948041648095</v>
      </c>
      <c r="I27" s="138">
        <f>INDEX(DriversGams!$A$43:$AN$43,1,MATCH(Drivers!I$3,DriversGams!$A$42:$AN$42,0))/1000</f>
        <v>57.436000617299655</v>
      </c>
      <c r="J27" s="138">
        <f>INDEX(DriversGams!$A$43:$AN$43,1,MATCH(Drivers!J$3,DriversGams!$A$42:$AN$42,0))/1000</f>
        <v>58.364834921819444</v>
      </c>
      <c r="K27" s="138">
        <f>INDEX(DriversGams!$A$43:$AN$43,1,MATCH(Drivers!K$3,DriversGams!$A$42:$AN$42,0))/1000</f>
        <v>59.308690000000006</v>
      </c>
      <c r="L27" s="138">
        <f>INDEX(DriversGams!$A$43:$AN$43,1,MATCH(Drivers!L$3,DriversGams!$A$42:$AN$42,0))/1000</f>
        <v>59.991580449204264</v>
      </c>
      <c r="M27" s="138">
        <f>INDEX(DriversGams!$A$43:$AN$43,1,MATCH(Drivers!M$3,DriversGams!$A$42:$AN$42,0))/1000</f>
        <v>60.682333816399378</v>
      </c>
      <c r="N27" s="138">
        <f>INDEX(DriversGams!$A$43:$AN$43,1,MATCH(Drivers!N$3,DriversGams!$A$42:$AN$42,0))/1000</f>
        <v>61.381040636574369</v>
      </c>
      <c r="O27" s="138">
        <f>INDEX(DriversGams!$A$43:$AN$43,1,MATCH(Drivers!O$3,DriversGams!$A$42:$AN$42,0))/1000</f>
        <v>62.087792487153699</v>
      </c>
      <c r="P27" s="138">
        <f>INDEX(DriversGams!$A$43:$AN$43,1,MATCH(Drivers!P$3,DriversGams!$A$42:$AN$42,0))/1000</f>
        <v>62.802682000000026</v>
      </c>
      <c r="Q27" s="138">
        <f>INDEX(DriversGams!$A$43:$AN$43,1,MATCH(Drivers!Q$3,DriversGams!$A$42:$AN$42,0))/1000</f>
        <v>63.421065342005143</v>
      </c>
      <c r="R27" s="138">
        <f>INDEX(DriversGams!$A$43:$AN$43,1,MATCH(Drivers!R$3,DriversGams!$A$42:$AN$42,0))/1000</f>
        <v>64.045537563425796</v>
      </c>
      <c r="S27" s="138">
        <f>INDEX(DriversGams!$A$43:$AN$43,1,MATCH(Drivers!S$3,DriversGams!$A$42:$AN$42,0))/1000</f>
        <v>64.676158618096451</v>
      </c>
      <c r="T27" s="138">
        <f>INDEX(DriversGams!$A$43:$AN$43,1,MATCH(Drivers!T$3,DriversGams!$A$42:$AN$42,0))/1000</f>
        <v>65.31298905018393</v>
      </c>
      <c r="U27" s="138">
        <f>INDEX(DriversGams!$A$43:$AN$43,1,MATCH(Drivers!U$3,DriversGams!$A$42:$AN$42,0))/1000</f>
        <v>65.956090000000003</v>
      </c>
      <c r="V27" s="138">
        <f>INDEX(DriversGams!$A$43:$AN$43,1,MATCH(Drivers!V$3,DriversGams!$A$42:$AN$42,0))/1000</f>
        <v>66.518977190687664</v>
      </c>
      <c r="W27" s="138">
        <f>INDEX(DriversGams!$A$43:$AN$43,1,MATCH(Drivers!W$3,DriversGams!$A$42:$AN$42,0))/1000</f>
        <v>67.08666821358311</v>
      </c>
      <c r="X27" s="138">
        <f>INDEX(DriversGams!$A$43:$AN$43,1,MATCH(Drivers!X$3,DriversGams!$A$42:$AN$42,0))/1000</f>
        <v>67.659204065895452</v>
      </c>
      <c r="Y27" s="138">
        <f>INDEX(DriversGams!$A$43:$AN$43,1,MATCH(Drivers!Y$3,DriversGams!$A$42:$AN$42,0))/1000</f>
        <v>68.236626094715163</v>
      </c>
      <c r="Z27" s="138">
        <f>INDEX(DriversGams!$A$43:$AN$43,1,MATCH(Drivers!Z$3,DriversGams!$A$42:$AN$42,0))/1000</f>
        <v>68.818976000000006</v>
      </c>
      <c r="AA27" s="138">
        <f>INDEX(DriversGams!$A$43:$AN$43,1,MATCH(Drivers!AA$3,DriversGams!$A$42:$AN$42,0))/1000</f>
        <v>69.322810489383542</v>
      </c>
      <c r="AB27" s="138">
        <f>INDEX(DriversGams!$A$43:$AN$43,1,MATCH(Drivers!AB$3,DriversGams!$A$42:$AN$42,0))/1000</f>
        <v>69.830333629884052</v>
      </c>
      <c r="AC27" s="138">
        <f>INDEX(DriversGams!$A$43:$AN$43,1,MATCH(Drivers!AC$3,DriversGams!$A$42:$AN$42,0))/1000</f>
        <v>70.341572426693446</v>
      </c>
      <c r="AD27" s="138">
        <f>INDEX(DriversGams!$A$43:$AN$43,1,MATCH(Drivers!AD$3,DriversGams!$A$42:$AN$42,0))/1000</f>
        <v>70.856554082712819</v>
      </c>
      <c r="AE27" s="138">
        <f>INDEX(DriversGams!$A$43:$AN$43,1,MATCH(Drivers!AE$3,DriversGams!$A$42:$AN$42,0))/1000</f>
        <v>71.375305999999995</v>
      </c>
      <c r="AF27" s="138">
        <f>INDEX(DriversGams!$A$43:$AN$43,1,MATCH(Drivers!AF$3,DriversGams!$A$42:$AN$42,0))/1000</f>
        <v>73.619545999999971</v>
      </c>
      <c r="AG27" s="138">
        <f>INDEX(DriversGams!$A$43:$AN$43,1,MATCH(Drivers!AG$3,DriversGams!$A$42:$AN$42,0))/1000</f>
        <v>75.517908999999989</v>
      </c>
      <c r="AH27" s="138"/>
      <c r="AI27" s="138"/>
      <c r="AJ27" s="138"/>
      <c r="AK27" s="138"/>
      <c r="AL27" s="138"/>
      <c r="AM27" s="138"/>
    </row>
    <row r="28" spans="1:41">
      <c r="A28" t="s">
        <v>396</v>
      </c>
      <c r="B28" s="199">
        <f t="shared" si="1"/>
        <v>22</v>
      </c>
      <c r="C28" s="24">
        <f>INDEX(DriversGams!$B61:$AN61,1,MATCH(Drivers!C$3,DriversGams!$B$60:$AN$60,0))</f>
        <v>0.50003199863472492</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0.48048204001899236</v>
      </c>
      <c r="M28" s="24">
        <f>INDEX(DriversGams!$B61:$AN61,1,MATCH(Drivers!M$3,DriversGams!$B$60:$AN$60,0))</f>
        <v>0.46632260330648179</v>
      </c>
      <c r="N28" s="24">
        <f>INDEX(DriversGams!$B61:$AN61,1,MATCH(Drivers!N$3,DriversGams!$B$60:$AN$60,0))</f>
        <v>0.45300257157848828</v>
      </c>
      <c r="O28" s="24">
        <f>INDEX(DriversGams!$B61:$AN61,1,MATCH(Drivers!O$3,DriversGams!$B$60:$AN$60,0))</f>
        <v>0.4383019395470128</v>
      </c>
      <c r="P28" s="24">
        <f>INDEX(DriversGams!$B61:$AN61,1,MATCH(Drivers!P$3,DriversGams!$B$60:$AN$60,0))</f>
        <v>0.42309324660385594</v>
      </c>
      <c r="Q28" s="24">
        <f>INDEX(DriversGams!$B61:$AN61,1,MATCH(Drivers!Q$3,DriversGams!$B$60:$AN$60,0))</f>
        <v>0.40826007694324618</v>
      </c>
      <c r="R28" s="24">
        <f>INDEX(DriversGams!$B61:$AN61,1,MATCH(Drivers!R$3,DriversGams!$B$60:$AN$60,0))</f>
        <v>0.39299615998795007</v>
      </c>
      <c r="S28" s="24">
        <f>INDEX(DriversGams!$B61:$AN61,1,MATCH(Drivers!S$3,DriversGams!$B$60:$AN$60,0))</f>
        <v>0.37789791506907178</v>
      </c>
      <c r="T28" s="24">
        <f>INDEX(DriversGams!$B61:$AN61,1,MATCH(Drivers!T$3,DriversGams!$B$60:$AN$60,0))</f>
        <v>0.36226951963365644</v>
      </c>
      <c r="U28" s="24">
        <f>INDEX(DriversGams!$B61:$AN61,1,MATCH(Drivers!U$3,DriversGams!$B$60:$AN$60,0))</f>
        <v>0.34685097544437032</v>
      </c>
      <c r="V28" s="24">
        <f>INDEX(DriversGams!$B61:$AN61,1,MATCH(Drivers!V$3,DriversGams!$B$60:$AN$60,0))</f>
        <v>0.33263631471972044</v>
      </c>
      <c r="W28" s="24">
        <f>INDEX(DriversGams!$B61:$AN61,1,MATCH(Drivers!W$3,DriversGams!$B$60:$AN$60,0))</f>
        <v>0.31889658049946834</v>
      </c>
      <c r="X28" s="24">
        <f>INDEX(DriversGams!$B61:$AN61,1,MATCH(Drivers!X$3,DriversGams!$B$60:$AN$60,0))</f>
        <v>0.30575326561032051</v>
      </c>
      <c r="Y28" s="24">
        <f>INDEX(DriversGams!$B61:$AN61,1,MATCH(Drivers!Y$3,DriversGams!$B$60:$AN$60,0))</f>
        <v>0.29312905643528181</v>
      </c>
      <c r="Z28" s="24">
        <f>INDEX(DriversGams!$B61:$AN61,1,MATCH(Drivers!Z$3,DriversGams!$B$60:$AN$60,0))</f>
        <v>0.28141052105932723</v>
      </c>
      <c r="AA28" s="24">
        <f>INDEX(DriversGams!$B61:$AN61,1,MATCH(Drivers!AA$3,DriversGams!$B$60:$AN$60,0))</f>
        <v>0.27064183869216824</v>
      </c>
      <c r="AB28" s="24">
        <f>INDEX(DriversGams!$B61:$AN61,1,MATCH(Drivers!AB$3,DriversGams!$B$60:$AN$60,0))</f>
        <v>0.25930987140118861</v>
      </c>
      <c r="AC28" s="24">
        <f>INDEX(DriversGams!$B61:$AN61,1,MATCH(Drivers!AC$3,DriversGams!$B$60:$AN$60,0))</f>
        <v>0.24835342739275609</v>
      </c>
      <c r="AD28" s="24">
        <f>INDEX(DriversGams!$B61:$AN61,1,MATCH(Drivers!AD$3,DriversGams!$B$60:$AN$60,0))</f>
        <v>0.23803758192513916</v>
      </c>
      <c r="AE28" s="24">
        <f>INDEX(DriversGams!$B61:$AN61,1,MATCH(Drivers!AE$3,DriversGams!$B$60:$AN$60,0))</f>
        <v>0.22807517013521361</v>
      </c>
      <c r="AF28" s="24">
        <f>INDEX(DriversGams!$B61:$AN61,1,MATCH(Drivers!AF$3,DriversGams!$B$60:$AN$60,0))</f>
        <v>0.18524342631999047</v>
      </c>
      <c r="AG28" s="24">
        <f>INDEX(DriversGams!$B61:$AN61,1,MATCH(Drivers!AG$3,DriversGams!$B$60:$AN$60,0))</f>
        <v>0.1526060351456778</v>
      </c>
      <c r="AH28" s="138"/>
      <c r="AI28" s="138"/>
      <c r="AJ28" s="138"/>
      <c r="AK28" s="138"/>
      <c r="AL28" s="138"/>
      <c r="AM28" s="138"/>
    </row>
    <row r="29" spans="1:41">
      <c r="A29" s="4" t="s">
        <v>397</v>
      </c>
      <c r="B29" s="199">
        <f t="shared" si="1"/>
        <v>23</v>
      </c>
      <c r="C29" s="24">
        <f>INDEX(DriversGams!$B62:$AN62,1,MATCH(Drivers!C$3,DriversGams!$B$60:$AN$60,0))</f>
        <v>0.30001919918083497</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0.31007808577642904</v>
      </c>
      <c r="M29" s="24">
        <f>INDEX(DriversGams!$B62:$AN62,1,MATCH(Drivers!M$3,DriversGams!$B$60:$AN$60,0))</f>
        <v>0.31742933525837452</v>
      </c>
      <c r="N29" s="24">
        <f>INDEX(DriversGams!$B62:$AN62,1,MATCH(Drivers!N$3,DriversGams!$B$60:$AN$60,0))</f>
        <v>0.32340320310815612</v>
      </c>
      <c r="O29" s="24">
        <f>INDEX(DriversGams!$B62:$AN62,1,MATCH(Drivers!O$3,DriversGams!$B$60:$AN$60,0))</f>
        <v>0.32959823883114625</v>
      </c>
      <c r="P29" s="24">
        <f>INDEX(DriversGams!$B62:$AN62,1,MATCH(Drivers!P$3,DriversGams!$B$60:$AN$60,0))</f>
        <v>0.33633843730358653</v>
      </c>
      <c r="Q29" s="24">
        <f>INDEX(DriversGams!$B62:$AN62,1,MATCH(Drivers!Q$3,DriversGams!$B$60:$AN$60,0))</f>
        <v>0.34171991379260791</v>
      </c>
      <c r="R29" s="24">
        <f>INDEX(DriversGams!$B62:$AN62,1,MATCH(Drivers!R$3,DriversGams!$B$60:$AN$60,0))</f>
        <v>0.34765271854906404</v>
      </c>
      <c r="S29" s="24">
        <f>INDEX(DriversGams!$B62:$AN62,1,MATCH(Drivers!S$3,DriversGams!$B$60:$AN$60,0))</f>
        <v>0.35335492305300714</v>
      </c>
      <c r="T29" s="24">
        <f>INDEX(DriversGams!$B62:$AN62,1,MATCH(Drivers!T$3,DriversGams!$B$60:$AN$60,0))</f>
        <v>0.35882669039922782</v>
      </c>
      <c r="U29" s="24">
        <f>INDEX(DriversGams!$B62:$AN62,1,MATCH(Drivers!U$3,DriversGams!$B$60:$AN$60,0))</f>
        <v>0.3648028168763679</v>
      </c>
      <c r="V29" s="24">
        <f>INDEX(DriversGams!$B62:$AN62,1,MATCH(Drivers!V$3,DriversGams!$B$60:$AN$60,0))</f>
        <v>0.36945447891612304</v>
      </c>
      <c r="W29" s="24">
        <f>INDEX(DriversGams!$B62:$AN62,1,MATCH(Drivers!W$3,DriversGams!$B$60:$AN$60,0))</f>
        <v>0.37410426288303206</v>
      </c>
      <c r="X29" s="24">
        <f>INDEX(DriversGams!$B62:$AN62,1,MATCH(Drivers!X$3,DriversGams!$B$60:$AN$60,0))</f>
        <v>0.37845444222098673</v>
      </c>
      <c r="Y29" s="24">
        <f>INDEX(DriversGams!$B62:$AN62,1,MATCH(Drivers!Y$3,DriversGams!$B$60:$AN$60,0))</f>
        <v>0.38260088146586674</v>
      </c>
      <c r="Z29" s="24">
        <f>INDEX(DriversGams!$B62:$AN62,1,MATCH(Drivers!Z$3,DriversGams!$B$60:$AN$60,0))</f>
        <v>0.38673209101811257</v>
      </c>
      <c r="AA29" s="24">
        <f>INDEX(DriversGams!$B62:$AN62,1,MATCH(Drivers!AA$3,DriversGams!$B$60:$AN$60,0))</f>
        <v>0.38955170464331734</v>
      </c>
      <c r="AB29" s="24">
        <f>INDEX(DriversGams!$B62:$AN62,1,MATCH(Drivers!AB$3,DriversGams!$B$60:$AN$60,0))</f>
        <v>0.39212763822087277</v>
      </c>
      <c r="AC29" s="24">
        <f>INDEX(DriversGams!$B62:$AN62,1,MATCH(Drivers!AC$3,DriversGams!$B$60:$AN$60,0))</f>
        <v>0.39511646256846666</v>
      </c>
      <c r="AD29" s="24">
        <f>INDEX(DriversGams!$B62:$AN62,1,MATCH(Drivers!AD$3,DriversGams!$B$60:$AN$60,0))</f>
        <v>0.39762237118576232</v>
      </c>
      <c r="AE29" s="24">
        <f>INDEX(DriversGams!$B62:$AN62,1,MATCH(Drivers!AE$3,DriversGams!$B$60:$AN$60,0))</f>
        <v>0.40005310990863213</v>
      </c>
      <c r="AF29" s="24">
        <f>INDEX(DriversGams!$B62:$AN62,1,MATCH(Drivers!AF$3,DriversGams!$B$60:$AN$60,0))</f>
        <v>0.40606127973837347</v>
      </c>
      <c r="AG29" s="24">
        <f>INDEX(DriversGams!$B62:$AN62,1,MATCH(Drivers!AG$3,DriversGams!$B$60:$AN$60,0))</f>
        <v>0.40511223227252768</v>
      </c>
      <c r="AH29" s="138"/>
      <c r="AI29" s="138"/>
      <c r="AJ29" s="138"/>
      <c r="AK29" s="138"/>
      <c r="AL29" s="138"/>
      <c r="AM29" s="138"/>
    </row>
    <row r="30" spans="1:41">
      <c r="A30" s="4" t="s">
        <v>398</v>
      </c>
      <c r="B30" s="199">
        <f t="shared" si="1"/>
        <v>24</v>
      </c>
      <c r="C30" s="24">
        <f>1-C29-C28</f>
        <v>0.19994880218444011</v>
      </c>
      <c r="D30" s="24">
        <f t="shared" ref="D30:AG30" si="5">1-D29-D28</f>
        <v>0.20681301601884478</v>
      </c>
      <c r="E30" s="24">
        <f t="shared" si="5"/>
        <v>0.21187240941818569</v>
      </c>
      <c r="F30" s="24">
        <f t="shared" si="5"/>
        <v>0.21532904186887569</v>
      </c>
      <c r="G30" s="24">
        <f t="shared" si="5"/>
        <v>0.21739542684991425</v>
      </c>
      <c r="H30" s="24">
        <f t="shared" si="5"/>
        <v>0.22370723267434656</v>
      </c>
      <c r="I30" s="24">
        <f t="shared" si="5"/>
        <v>0.22714232188243744</v>
      </c>
      <c r="J30" s="24">
        <f t="shared" si="5"/>
        <v>0.22662862386045102</v>
      </c>
      <c r="K30" s="24">
        <f t="shared" si="5"/>
        <v>0.20226066859632597</v>
      </c>
      <c r="L30" s="24">
        <f t="shared" si="5"/>
        <v>0.2094398742045786</v>
      </c>
      <c r="M30" s="24">
        <f t="shared" si="5"/>
        <v>0.21624806143514363</v>
      </c>
      <c r="N30" s="24">
        <f t="shared" si="5"/>
        <v>0.22359422531335554</v>
      </c>
      <c r="O30" s="24">
        <f t="shared" si="5"/>
        <v>0.23209982162184095</v>
      </c>
      <c r="P30" s="24">
        <f t="shared" si="5"/>
        <v>0.24056831609255758</v>
      </c>
      <c r="Q30" s="24">
        <f t="shared" si="5"/>
        <v>0.25002000926414591</v>
      </c>
      <c r="R30" s="24">
        <f t="shared" si="5"/>
        <v>0.25935112146298583</v>
      </c>
      <c r="S30" s="24">
        <f t="shared" si="5"/>
        <v>0.26874716187792114</v>
      </c>
      <c r="T30" s="24">
        <f t="shared" si="5"/>
        <v>0.27890378996711568</v>
      </c>
      <c r="U30" s="24">
        <f t="shared" si="5"/>
        <v>0.28834620767926172</v>
      </c>
      <c r="V30" s="24">
        <f t="shared" si="5"/>
        <v>0.29790920636415652</v>
      </c>
      <c r="W30" s="24">
        <f t="shared" si="5"/>
        <v>0.30699915661749966</v>
      </c>
      <c r="X30" s="24">
        <f t="shared" si="5"/>
        <v>0.3157922921686927</v>
      </c>
      <c r="Y30" s="24">
        <f t="shared" si="5"/>
        <v>0.3242700620988514</v>
      </c>
      <c r="Z30" s="24">
        <f t="shared" si="5"/>
        <v>0.3318573879225602</v>
      </c>
      <c r="AA30" s="24">
        <f t="shared" si="5"/>
        <v>0.33980645666451442</v>
      </c>
      <c r="AB30" s="24">
        <f t="shared" si="5"/>
        <v>0.34856249037793868</v>
      </c>
      <c r="AC30" s="24">
        <f t="shared" si="5"/>
        <v>0.35653011003877721</v>
      </c>
      <c r="AD30" s="24">
        <f t="shared" si="5"/>
        <v>0.3643400468890986</v>
      </c>
      <c r="AE30" s="24">
        <f t="shared" si="5"/>
        <v>0.3718717199561542</v>
      </c>
      <c r="AF30" s="24">
        <f t="shared" si="5"/>
        <v>0.40869529394163606</v>
      </c>
      <c r="AG30" s="24">
        <f t="shared" si="5"/>
        <v>0.44228173258179448</v>
      </c>
      <c r="AH30" s="138"/>
      <c r="AI30" s="138"/>
      <c r="AJ30" s="138"/>
      <c r="AK30" s="138"/>
      <c r="AL30" s="138"/>
      <c r="AM30" s="138"/>
    </row>
    <row r="31" spans="1:41">
      <c r="A31" t="s">
        <v>399</v>
      </c>
      <c r="B31" s="199">
        <f t="shared" si="1"/>
        <v>25</v>
      </c>
      <c r="C31" s="10">
        <f>C28*C$27</f>
        <v>26.164390783448656</v>
      </c>
      <c r="D31" s="10">
        <f t="shared" ref="D31:AG31" si="6">D28*D$27</f>
        <v>26.379251330070801</v>
      </c>
      <c r="E31" s="10">
        <f t="shared" si="6"/>
        <v>26.321563508905001</v>
      </c>
      <c r="F31" s="10">
        <f t="shared" si="6"/>
        <v>26.360993218184007</v>
      </c>
      <c r="G31" s="10">
        <f t="shared" si="6"/>
        <v>26.55165611504972</v>
      </c>
      <c r="H31" s="10">
        <f t="shared" si="6"/>
        <v>26.578764727799523</v>
      </c>
      <c r="I31" s="10">
        <f t="shared" si="6"/>
        <v>26.623535799649542</v>
      </c>
      <c r="J31" s="10">
        <f t="shared" si="6"/>
        <v>26.911307025844376</v>
      </c>
      <c r="K31" s="10">
        <f t="shared" si="6"/>
        <v>28.111589337230718</v>
      </c>
      <c r="L31" s="10">
        <f t="shared" si="6"/>
        <v>28.824876958197162</v>
      </c>
      <c r="M31" s="10">
        <f t="shared" si="6"/>
        <v>28.297543879976313</v>
      </c>
      <c r="N31" s="10">
        <f t="shared" si="6"/>
        <v>27.805769254531878</v>
      </c>
      <c r="O31" s="10">
        <f t="shared" si="6"/>
        <v>27.213199869311914</v>
      </c>
      <c r="P31" s="10">
        <f t="shared" si="6"/>
        <v>26.571390622809556</v>
      </c>
      <c r="Q31" s="10">
        <f t="shared" si="6"/>
        <v>25.892289016349665</v>
      </c>
      <c r="R31" s="10">
        <f t="shared" si="6"/>
        <v>25.16965032679035</v>
      </c>
      <c r="S31" s="10">
        <f t="shared" si="6"/>
        <v>24.440985496455227</v>
      </c>
      <c r="T31" s="10">
        <f t="shared" si="6"/>
        <v>23.660905169048394</v>
      </c>
      <c r="U31" s="10">
        <f t="shared" si="6"/>
        <v>22.876934152996679</v>
      </c>
      <c r="V31" s="10">
        <f t="shared" si="6"/>
        <v>22.126627431635487</v>
      </c>
      <c r="W31" s="10">
        <f t="shared" si="6"/>
        <v>21.393709090414031</v>
      </c>
      <c r="X31" s="10">
        <f t="shared" si="6"/>
        <v>20.687022591742611</v>
      </c>
      <c r="Y31" s="10">
        <f t="shared" si="6"/>
        <v>20.002137821470985</v>
      </c>
      <c r="Z31" s="10">
        <f t="shared" si="6"/>
        <v>19.366383894929339</v>
      </c>
      <c r="AA31" s="10">
        <f t="shared" si="6"/>
        <v>18.761652894155489</v>
      </c>
      <c r="AB31" s="10">
        <f t="shared" si="6"/>
        <v>18.107694833467331</v>
      </c>
      <c r="AC31" s="10">
        <f t="shared" si="6"/>
        <v>17.469570600365106</v>
      </c>
      <c r="AD31" s="10">
        <f t="shared" si="6"/>
        <v>16.866522797396804</v>
      </c>
      <c r="AE31" s="10">
        <f t="shared" si="6"/>
        <v>16.278935059402933</v>
      </c>
      <c r="AF31" s="10">
        <f t="shared" si="6"/>
        <v>13.637536945162143</v>
      </c>
      <c r="AG31" s="10">
        <f t="shared" si="6"/>
        <v>11.524488674982097</v>
      </c>
      <c r="AH31" s="10"/>
      <c r="AI31" s="10"/>
      <c r="AJ31" s="10"/>
      <c r="AK31" s="10"/>
      <c r="AL31" s="10"/>
      <c r="AM31" s="10"/>
    </row>
    <row r="32" spans="1:41">
      <c r="A32" s="4" t="s">
        <v>400</v>
      </c>
      <c r="B32" s="199">
        <f t="shared" si="1"/>
        <v>26</v>
      </c>
      <c r="C32" s="10">
        <f t="shared" ref="C32:C33" si="7">C29*C$27</f>
        <v>15.698634470069196</v>
      </c>
      <c r="D32" s="10">
        <f t="shared" ref="D32:AG32" si="8">D29*D$27</f>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18.602074428391902</v>
      </c>
      <c r="M32" s="10">
        <f t="shared" si="8"/>
        <v>19.262352885266434</v>
      </c>
      <c r="N32" s="10">
        <f t="shared" si="8"/>
        <v>19.850825151980047</v>
      </c>
      <c r="O32" s="10">
        <f t="shared" si="8"/>
        <v>20.464027056679534</v>
      </c>
      <c r="P32" s="10">
        <f t="shared" si="8"/>
        <v>21.122955922354091</v>
      </c>
      <c r="Q32" s="10">
        <f t="shared" si="8"/>
        <v>21.67224098130535</v>
      </c>
      <c r="R32" s="10">
        <f t="shared" si="8"/>
        <v>22.265605244861177</v>
      </c>
      <c r="S32" s="10">
        <f t="shared" si="8"/>
        <v>22.853639051861556</v>
      </c>
      <c r="T32" s="10">
        <f t="shared" si="8"/>
        <v>23.436043700958507</v>
      </c>
      <c r="U32" s="10">
        <f t="shared" si="8"/>
        <v>24.06096742215124</v>
      </c>
      <c r="V32" s="10">
        <f t="shared" si="8"/>
        <v>24.575734056018984</v>
      </c>
      <c r="W32" s="10">
        <f t="shared" si="8"/>
        <v>25.097408561321046</v>
      </c>
      <c r="X32" s="10">
        <f t="shared" si="8"/>
        <v>25.605926335874379</v>
      </c>
      <c r="Y32" s="10">
        <f t="shared" si="8"/>
        <v>26.107393292094784</v>
      </c>
      <c r="Z32" s="10">
        <f t="shared" si="8"/>
        <v>26.614506490205308</v>
      </c>
      <c r="AA32" s="10">
        <f t="shared" si="8"/>
        <v>27.004818996805</v>
      </c>
      <c r="AB32" s="10">
        <f t="shared" si="8"/>
        <v>27.382403802462019</v>
      </c>
      <c r="AC32" s="10">
        <f t="shared" si="8"/>
        <v>27.793113268738708</v>
      </c>
      <c r="AD32" s="10">
        <f t="shared" si="8"/>
        <v>28.17415104842048</v>
      </c>
      <c r="AE32" s="10">
        <f t="shared" si="8"/>
        <v>28.553913135980249</v>
      </c>
      <c r="AF32" s="10">
        <f t="shared" si="8"/>
        <v>29.894047062518041</v>
      </c>
      <c r="AG32" s="10">
        <f t="shared" si="8"/>
        <v>30.593228691543604</v>
      </c>
      <c r="AH32" s="10"/>
      <c r="AI32" s="10"/>
      <c r="AJ32" s="10"/>
      <c r="AK32" s="10"/>
      <c r="AL32" s="10"/>
      <c r="AM32" s="10"/>
    </row>
    <row r="33" spans="1:39">
      <c r="A33" s="4" t="s">
        <v>401</v>
      </c>
      <c r="B33" s="199">
        <f t="shared" si="1"/>
        <v>27</v>
      </c>
      <c r="C33" s="10">
        <f t="shared" si="7"/>
        <v>10.46240762855223</v>
      </c>
      <c r="D33" s="10">
        <f t="shared" ref="D33:AG33" si="9">D30*D$27</f>
        <v>10.98267832729683</v>
      </c>
      <c r="E33" s="10">
        <f t="shared" si="9"/>
        <v>11.422542816477451</v>
      </c>
      <c r="F33" s="10">
        <f t="shared" si="9"/>
        <v>11.789370867355018</v>
      </c>
      <c r="G33" s="10">
        <f t="shared" si="9"/>
        <v>12.091520699804388</v>
      </c>
      <c r="H33" s="10">
        <f t="shared" si="9"/>
        <v>12.644368581760297</v>
      </c>
      <c r="I33" s="10">
        <f t="shared" si="9"/>
        <v>13.046146539854554</v>
      </c>
      <c r="J33" s="10">
        <f t="shared" si="9"/>
        <v>13.227142220174334</v>
      </c>
      <c r="K33" s="10">
        <f t="shared" si="9"/>
        <v>11.995815292972233</v>
      </c>
      <c r="L33" s="10">
        <f t="shared" si="9"/>
        <v>12.564629062615198</v>
      </c>
      <c r="M33" s="10">
        <f t="shared" si="9"/>
        <v>13.122437051156627</v>
      </c>
      <c r="N33" s="10">
        <f t="shared" si="9"/>
        <v>13.724446230062442</v>
      </c>
      <c r="O33" s="10">
        <f t="shared" si="9"/>
        <v>14.410565561162251</v>
      </c>
      <c r="P33" s="10">
        <f t="shared" si="9"/>
        <v>15.108335454836382</v>
      </c>
      <c r="Q33" s="10">
        <f t="shared" si="9"/>
        <v>15.85653534435013</v>
      </c>
      <c r="R33" s="10">
        <f t="shared" si="9"/>
        <v>16.610281991774265</v>
      </c>
      <c r="S33" s="10">
        <f t="shared" si="9"/>
        <v>17.381534069779672</v>
      </c>
      <c r="T33" s="10">
        <f t="shared" si="9"/>
        <v>18.216040180177025</v>
      </c>
      <c r="U33" s="10">
        <f t="shared" si="9"/>
        <v>19.018188424852077</v>
      </c>
      <c r="V33" s="10">
        <f t="shared" si="9"/>
        <v>19.816615703033193</v>
      </c>
      <c r="W33" s="10">
        <f t="shared" si="9"/>
        <v>20.595550561848036</v>
      </c>
      <c r="X33" s="10">
        <f t="shared" si="9"/>
        <v>21.366255138278458</v>
      </c>
      <c r="Y33" s="10">
        <f t="shared" si="9"/>
        <v>22.127094981149391</v>
      </c>
      <c r="Z33" s="10">
        <f t="shared" si="9"/>
        <v>22.838085614865363</v>
      </c>
      <c r="AA33" s="10">
        <f t="shared" si="9"/>
        <v>23.556338598423054</v>
      </c>
      <c r="AB33" s="10">
        <f t="shared" si="9"/>
        <v>24.340234993954709</v>
      </c>
      <c r="AC33" s="10">
        <f t="shared" si="9"/>
        <v>25.078888557589632</v>
      </c>
      <c r="AD33" s="10">
        <f t="shared" si="9"/>
        <v>25.815880236895538</v>
      </c>
      <c r="AE33" s="10">
        <f t="shared" si="9"/>
        <v>26.542457804616809</v>
      </c>
      <c r="AF33" s="10">
        <f t="shared" si="9"/>
        <v>30.087961992319787</v>
      </c>
      <c r="AG33" s="10">
        <f t="shared" si="9"/>
        <v>33.400191633474286</v>
      </c>
      <c r="AH33" s="10"/>
      <c r="AI33" s="10"/>
      <c r="AJ33" s="10"/>
      <c r="AK33" s="10"/>
      <c r="AL33" s="10"/>
      <c r="AM33" s="10"/>
    </row>
    <row r="34" spans="1:39">
      <c r="A34" t="s">
        <v>402</v>
      </c>
      <c r="B34" s="199">
        <f t="shared" si="1"/>
        <v>28</v>
      </c>
      <c r="C34">
        <f>INDEX(DriversGams!$A71:$AN71,1,MATCH(Drivers!C$3,DriversGams!$A$70:$AN$70,0))</f>
        <v>0.29299999999999998</v>
      </c>
      <c r="D34" s="297">
        <f>INDEX(DriversGams!$A71:$AN71,1,MATCH(Drivers!D$3,DriversGams!$A$70:$AN$70,0))</f>
        <v>0.29799999999999999</v>
      </c>
      <c r="E34" s="297">
        <f>INDEX(DriversGams!$A71:$AN71,1,MATCH(Drivers!E$3,DriversGams!$A$70:$AN$70,0))</f>
        <v>0.30099999999999999</v>
      </c>
      <c r="F34" s="297">
        <f>INDEX(DriversGams!$A71:$AN71,1,MATCH(Drivers!F$3,DriversGams!$A$70:$AN$70,0))</f>
        <v>0.30299999999999999</v>
      </c>
      <c r="G34" s="297">
        <f>INDEX(DriversGams!$A71:$AN71,1,MATCH(Drivers!G$3,DriversGams!$A$70:$AN$70,0))</f>
        <v>0.30299999999999999</v>
      </c>
      <c r="H34" s="297">
        <f>INDEX(DriversGams!$A71:$AN71,1,MATCH(Drivers!H$3,DriversGams!$A$70:$AN$70,0))</f>
        <v>0.307</v>
      </c>
      <c r="I34" s="297">
        <f>INDEX(DriversGams!$A71:$AN71,1,MATCH(Drivers!I$3,DriversGams!$A$70:$AN$70,0))</f>
        <v>0.308</v>
      </c>
      <c r="J34" s="297">
        <f>INDEX(DriversGams!$A71:$AN71,1,MATCH(Drivers!J$3,DriversGams!$A$70:$AN$70,0))</f>
        <v>0.30599999999999999</v>
      </c>
      <c r="K34" s="297">
        <f>INDEX(DriversGams!$A71:$AN71,1,MATCH(Drivers!K$3,DriversGams!$A$70:$AN$70,0))</f>
        <v>0.27900000000000003</v>
      </c>
      <c r="L34" s="297">
        <f>INDEX(DriversGams!$A71:$AN71,1,MATCH(Drivers!L$3,DriversGams!$A$70:$AN$70,0))</f>
        <v>0.29081079913606916</v>
      </c>
      <c r="M34" s="297">
        <f>INDEX(DriversGams!$A71:$AN71,1,MATCH(Drivers!M$3,DriversGams!$A$70:$AN$70,0))</f>
        <v>0.29743930885529163</v>
      </c>
      <c r="N34" s="297">
        <f>INDEX(DriversGams!$A71:$AN71,1,MATCH(Drivers!N$3,DriversGams!$A$70:$AN$70,0))</f>
        <v>0.30520810765907963</v>
      </c>
      <c r="O34" s="297">
        <f>INDEX(DriversGams!$A71:$AN71,1,MATCH(Drivers!O$3,DriversGams!$A$70:$AN$70,0))</f>
        <v>0.31461781026748631</v>
      </c>
      <c r="P34" s="297">
        <f>INDEX(DriversGams!$A71:$AN71,1,MATCH(Drivers!P$3,DriversGams!$A$70:$AN$70,0))</f>
        <v>0.3244725037381625</v>
      </c>
      <c r="Q34" s="297">
        <f>INDEX(DriversGams!$A71:$AN71,1,MATCH(Drivers!Q$3,DriversGams!$A$70:$AN$70,0))</f>
        <v>0.33579195879714235</v>
      </c>
      <c r="R34" s="297">
        <f>INDEX(DriversGams!$A71:$AN71,1,MATCH(Drivers!R$3,DriversGams!$A$70:$AN$70,0))</f>
        <v>0.34753786343246384</v>
      </c>
      <c r="S34" s="297">
        <f>INDEX(DriversGams!$A71:$AN71,1,MATCH(Drivers!S$3,DriversGams!$A$70:$AN$70,0))</f>
        <v>0.39310307360026581</v>
      </c>
      <c r="T34" s="297">
        <f>INDEX(DriversGams!$A71:$AN71,1,MATCH(Drivers!T$3,DriversGams!$A$70:$AN$70,0))</f>
        <v>0.40956773550423659</v>
      </c>
      <c r="U34" s="297">
        <f>INDEX(DriversGams!$A71:$AN71,1,MATCH(Drivers!U$3,DriversGams!$A$70:$AN$70,0))</f>
        <v>0.42587479647782017</v>
      </c>
      <c r="V34" s="297">
        <f>INDEX(DriversGams!$A71:$AN71,1,MATCH(Drivers!V$3,DriversGams!$A$70:$AN$70,0))</f>
        <v>0.4432850639641136</v>
      </c>
      <c r="W34" s="297">
        <f>INDEX(DriversGams!$A71:$AN71,1,MATCH(Drivers!W$3,DriversGams!$A$70:$AN$70,0))</f>
        <v>0.46098272138228935</v>
      </c>
      <c r="X34" s="297">
        <f>INDEX(DriversGams!$A71:$AN71,1,MATCH(Drivers!X$3,DriversGams!$A$70:$AN$70,0))</f>
        <v>0.4793200531649775</v>
      </c>
      <c r="Y34" s="297">
        <f>INDEX(DriversGams!$A71:$AN71,1,MATCH(Drivers!Y$3,DriversGams!$A$70:$AN$70,0))</f>
        <v>0.49854736667220462</v>
      </c>
      <c r="Z34" s="297">
        <f>INDEX(DriversGams!$A71:$AN71,1,MATCH(Drivers!Z$3,DriversGams!$A$70:$AN$70,0))</f>
        <v>0.51659730852301033</v>
      </c>
      <c r="AA34" s="297">
        <f>INDEX(DriversGams!$A71:$AN71,1,MATCH(Drivers!AA$3,DriversGams!$A$70:$AN$70,0))</f>
        <v>0.536260342249543</v>
      </c>
      <c r="AB34" s="297">
        <f>INDEX(DriversGams!$A71:$AN71,1,MATCH(Drivers!AB$3,DriversGams!$A$70:$AN$70,0))</f>
        <v>0.5601786010965274</v>
      </c>
      <c r="AC34" s="297">
        <f>INDEX(DriversGams!$A71:$AN71,1,MATCH(Drivers!AC$3,DriversGams!$A$70:$AN$70,0))</f>
        <v>0.62079006479481613</v>
      </c>
      <c r="AD34" s="297">
        <f>INDEX(DriversGams!$A71:$AN71,1,MATCH(Drivers!AD$3,DriversGams!$A$70:$AN$70,0))</f>
        <v>0.64689619538129239</v>
      </c>
      <c r="AE34" s="297">
        <f>INDEX(DriversGams!$A71:$AN71,1,MATCH(Drivers!AE$3,DriversGams!$A$70:$AN$70,0))</f>
        <v>0.67391084897823539</v>
      </c>
      <c r="AF34" s="297">
        <f>INDEX(DriversGams!$A71:$AN71,1,MATCH(Drivers!AF$3,DriversGams!$A$70:$AN$70,0))</f>
        <v>0.82848027911613187</v>
      </c>
      <c r="AG34" s="297">
        <f>INDEX(DriversGams!$A71:$AN71,1,MATCH(Drivers!AG$3,DriversGams!$A$70:$AN$70,0))</f>
        <v>1.0131607576009301</v>
      </c>
      <c r="AH34" s="138"/>
      <c r="AI34" s="138"/>
      <c r="AJ34" s="138"/>
      <c r="AK34" s="138"/>
      <c r="AL34" s="138"/>
      <c r="AM34" s="138"/>
    </row>
    <row r="35" spans="1:39">
      <c r="A35" s="4" t="s">
        <v>279</v>
      </c>
      <c r="B35" s="4"/>
      <c r="C35" s="118"/>
      <c r="D35" s="118">
        <f>(D34/C34)^(1/(D$5-C$5))-1</f>
        <v>1.7064846416382284E-2</v>
      </c>
      <c r="E35" s="118">
        <f t="shared" ref="E35:AG35" si="10">(E34/D34)^(1/(E$5-D$5))-1</f>
        <v>1.0067114093959662E-2</v>
      </c>
      <c r="F35" s="118">
        <f t="shared" si="10"/>
        <v>6.6445182724252927E-3</v>
      </c>
      <c r="G35" s="118">
        <f t="shared" si="10"/>
        <v>0</v>
      </c>
      <c r="H35" s="118">
        <f t="shared" si="10"/>
        <v>1.3201320132013139E-2</v>
      </c>
      <c r="I35" s="118">
        <f t="shared" si="10"/>
        <v>3.2573289902280145E-3</v>
      </c>
      <c r="J35" s="118">
        <f t="shared" si="10"/>
        <v>-6.4935064935065512E-3</v>
      </c>
      <c r="K35" s="118">
        <f t="shared" si="10"/>
        <v>-8.8235294117646967E-2</v>
      </c>
      <c r="L35" s="118">
        <f t="shared" si="10"/>
        <v>4.2332613390928753E-2</v>
      </c>
      <c r="M35" s="118">
        <f t="shared" si="10"/>
        <v>2.2793203481143776E-2</v>
      </c>
      <c r="N35" s="118">
        <f t="shared" si="10"/>
        <v>2.6118937788305763E-2</v>
      </c>
      <c r="O35" s="118">
        <f t="shared" si="10"/>
        <v>3.0830447724925492E-2</v>
      </c>
      <c r="P35" s="118">
        <f t="shared" si="10"/>
        <v>3.1322745086483694E-2</v>
      </c>
      <c r="Q35" s="118">
        <f t="shared" si="10"/>
        <v>3.4885714285714187E-2</v>
      </c>
      <c r="R35" s="118">
        <f t="shared" si="10"/>
        <v>3.497970790425442E-2</v>
      </c>
      <c r="S35" s="118">
        <f t="shared" si="10"/>
        <v>0.13110862142552282</v>
      </c>
      <c r="T35" s="118">
        <f t="shared" si="10"/>
        <v>4.1883828974365045E-2</v>
      </c>
      <c r="U35" s="118">
        <f t="shared" si="10"/>
        <v>3.9815296860499227E-2</v>
      </c>
      <c r="V35" s="118">
        <f t="shared" si="10"/>
        <v>4.0881187687753062E-2</v>
      </c>
      <c r="W35" s="118">
        <f t="shared" si="10"/>
        <v>3.992387485360549E-2</v>
      </c>
      <c r="X35" s="118">
        <f t="shared" si="10"/>
        <v>3.9778783308195065E-2</v>
      </c>
      <c r="Y35" s="118">
        <f t="shared" si="10"/>
        <v>4.0113726476219913E-2</v>
      </c>
      <c r="Z35" s="118">
        <f t="shared" si="10"/>
        <v>3.6205069081577612E-2</v>
      </c>
      <c r="AA35" s="118">
        <f t="shared" si="10"/>
        <v>3.8062594214342216E-2</v>
      </c>
      <c r="AB35" s="118">
        <f t="shared" si="10"/>
        <v>4.4601953496412605E-2</v>
      </c>
      <c r="AC35" s="118">
        <f t="shared" si="10"/>
        <v>0.10820024824162178</v>
      </c>
      <c r="AD35" s="118">
        <f t="shared" si="10"/>
        <v>4.2053074085689257E-2</v>
      </c>
      <c r="AE35" s="118">
        <f t="shared" si="10"/>
        <v>4.1760415024577613E-2</v>
      </c>
      <c r="AF35" s="118">
        <f t="shared" si="10"/>
        <v>4.216370818085724E-2</v>
      </c>
      <c r="AG35" s="118">
        <f t="shared" si="10"/>
        <v>4.106833444062663E-2</v>
      </c>
      <c r="AH35" s="118"/>
      <c r="AI35" s="118"/>
      <c r="AJ35" s="118"/>
      <c r="AK35" s="118"/>
      <c r="AL35" s="118"/>
      <c r="AM35" s="118"/>
    </row>
    <row r="36" spans="1:39">
      <c r="L36" s="10"/>
      <c r="Y36" s="118"/>
      <c r="Z36" s="118"/>
      <c r="AA36" s="118"/>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61" zoomScale="70" zoomScaleNormal="70" workbookViewId="0">
      <selection activeCell="G87" sqref="G87:AM87"/>
    </sheetView>
  </sheetViews>
  <sheetFormatPr defaultColWidth="8.85546875" defaultRowHeight="15"/>
  <cols>
    <col min="4" max="4" width="8.85546875" style="4"/>
    <col min="6" max="6" width="11.85546875" customWidth="1"/>
    <col min="7" max="7" width="9.85546875" customWidth="1"/>
    <col min="15" max="15" width="8.85546875" style="206"/>
    <col min="20" max="20" width="10.140625" style="206"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06">
        <f>AGR!R21</f>
        <v>2020</v>
      </c>
      <c r="P4" s="4">
        <f>AGR!S21</f>
        <v>2021</v>
      </c>
      <c r="Q4" s="4">
        <f>AGR!T21</f>
        <v>2022</v>
      </c>
      <c r="R4" s="4">
        <f>AGR!U21</f>
        <v>2023</v>
      </c>
      <c r="S4" s="4">
        <f>AGR!V21</f>
        <v>2024</v>
      </c>
      <c r="T4" s="206">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305</v>
      </c>
      <c r="B5">
        <v>3.4886478690149998</v>
      </c>
      <c r="E5" s="140">
        <f>MATCH(F5,AGR!$D$22:$D$26,0)</f>
        <v>1</v>
      </c>
      <c r="F5" t="str">
        <f>A5</f>
        <v>AH</v>
      </c>
      <c r="G5" s="138">
        <f ca="1">OFFSET(AGR!J$21,$E5,0)</f>
        <v>2.5043970166379772</v>
      </c>
      <c r="H5" s="138">
        <f ca="1">OFFSET(AGR!K$21,$E5,0)</f>
        <v>2.6102115568711772</v>
      </c>
      <c r="I5" s="138">
        <f ca="1">OFFSET(AGR!L$21,$E5,0)</f>
        <v>2.7204969205602345</v>
      </c>
      <c r="J5" s="138">
        <f ca="1">OFFSET(AGR!M$21,$E5,0)</f>
        <v>2.822931461749393</v>
      </c>
      <c r="K5" s="138">
        <f ca="1">OFFSET(AGR!N$21,$E5,0)</f>
        <v>2.7799388623451842</v>
      </c>
      <c r="L5" s="138">
        <f ca="1">OFFSET(AGR!O$21,$E5,0)</f>
        <v>2.7496571184170024</v>
      </c>
      <c r="M5" s="138">
        <f ca="1">OFFSET(AGR!P$21,$E5,0)</f>
        <v>2.8412500475824909</v>
      </c>
      <c r="N5" s="138">
        <f ca="1">OFFSET(AGR!Q$21,$E5,0)</f>
        <v>2.7956405073449826</v>
      </c>
      <c r="O5" s="217">
        <f ca="1">OFFSET(AGR!R$21,$E5,0)</f>
        <v>2.7489094210360601</v>
      </c>
      <c r="P5" s="138">
        <f ca="1">OFFSET(AGR!S$21,$E5,0)</f>
        <v>2.6528303075849147</v>
      </c>
      <c r="Q5" s="138">
        <f ca="1">OFFSET(AGR!T$21,$E5,0)</f>
        <v>2.7653346457741717</v>
      </c>
      <c r="R5" s="138">
        <f ca="1">OFFSET(AGR!U$21,$E5,0)</f>
        <v>2.8617145836952469</v>
      </c>
      <c r="S5" s="138">
        <f ca="1">OFFSET(AGR!V$21,$E5,0)</f>
        <v>2.9514981760515262</v>
      </c>
      <c r="T5" s="217">
        <f ca="1">OFFSET(AGR!W$21,$E5,0)</f>
        <v>3.0522756776791571</v>
      </c>
      <c r="U5" s="138">
        <f ca="1">OFFSET(AGR!X$21,$E5,0)</f>
        <v>3.1629476976506794</v>
      </c>
      <c r="V5" s="138">
        <f ca="1">OFFSET(AGR!Y$21,$E5,0)</f>
        <v>3.2805825268266502</v>
      </c>
      <c r="W5" s="138">
        <f ca="1">OFFSET(AGR!Z$21,$E5,0)</f>
        <v>3.4018819924253356</v>
      </c>
      <c r="X5" s="138">
        <f ca="1">OFFSET(AGR!AA$21,$E5,0)</f>
        <v>3.5228149943803158</v>
      </c>
      <c r="Y5" s="219">
        <f ca="1">OFFSET(AGR!AB$21,$E5,0)</f>
        <v>3.6595059329570252</v>
      </c>
      <c r="Z5" s="138">
        <f ca="1">OFFSET(AGR!AC$21,$E5,0)</f>
        <v>3.7965633351747572</v>
      </c>
      <c r="AA5" s="138">
        <f ca="1">OFFSET(AGR!AD$21,$E5,0)</f>
        <v>3.9325213464640023</v>
      </c>
      <c r="AB5" s="138">
        <f ca="1">OFFSET(AGR!AE$21,$E5,0)</f>
        <v>4.0714110668910557</v>
      </c>
      <c r="AC5" s="138">
        <f ca="1">OFFSET(AGR!AF$21,$E5,0)</f>
        <v>4.2103007873168599</v>
      </c>
      <c r="AD5" s="138">
        <f ca="1">OFFSET(AGR!AG$21,$E5,0)</f>
        <v>4.3583520988009035</v>
      </c>
      <c r="AE5" s="138">
        <f ca="1">OFFSET(AGR!AH$21,$E5,0)</f>
        <v>4.495409501012456</v>
      </c>
      <c r="AF5" s="138">
        <f ca="1">OFFSET(AGR!AI$21,$E5,0)</f>
        <v>4.6383303215008418</v>
      </c>
      <c r="AG5" s="138">
        <f ca="1">OFFSET(AGR!AJ$21,$E5,0)</f>
        <v>4.808002987881034</v>
      </c>
      <c r="AH5" s="138">
        <f ca="1">OFFSET(AGR!AK$21,$E5,0)</f>
        <v>4.9923341999545805</v>
      </c>
      <c r="AI5" s="138">
        <f ca="1">OFFSET(AGR!AL$21,$E5,0)</f>
        <v>5.18765932129768</v>
      </c>
      <c r="AJ5" s="138">
        <f ca="1">OFFSET(AGR!AM$21,$E5,0)</f>
        <v>5.3954442064796693</v>
      </c>
      <c r="AK5" s="138">
        <f ca="1">OFFSET(AGR!AN$21,$E5,0)</f>
        <v>6.6421535175831821</v>
      </c>
      <c r="AL5" s="138">
        <f ca="1">OFFSET(AGR!AO$21,$E5,0)</f>
        <v>8.2348045070246183</v>
      </c>
      <c r="AM5" s="138">
        <f ca="1">OFFSET(AGR!AP$21,$E5,0)</f>
        <v>8.2348045070246183</v>
      </c>
      <c r="AQ5" s="4"/>
    </row>
    <row r="6" spans="1:56">
      <c r="A6" s="36" t="s">
        <v>306</v>
      </c>
      <c r="B6">
        <v>6.8942225938929997</v>
      </c>
      <c r="E6" s="141">
        <f>MATCH(F6,AGR!$D$22:$D$26,0)</f>
        <v>4</v>
      </c>
      <c r="F6" s="4" t="str">
        <f t="shared" ref="F6:F68" si="0">A6</f>
        <v>AI</v>
      </c>
      <c r="G6" s="138">
        <f ca="1">OFFSET(AGR!J$21,$E6,0)</f>
        <v>5.0203080915278155</v>
      </c>
      <c r="H6" s="138">
        <f ca="1">OFFSET(AGR!K$21,$E6,0)</f>
        <v>5.23242365827097</v>
      </c>
      <c r="I6" s="138">
        <f ca="1">OFFSET(AGR!L$21,$E6,0)</f>
        <v>5.4535014267026423</v>
      </c>
      <c r="J6" s="138">
        <f ca="1">OFFSET(AGR!M$21,$E6,0)</f>
        <v>5.6588414556866367</v>
      </c>
      <c r="K6" s="138">
        <f ca="1">OFFSET(AGR!N$21,$E6,0)</f>
        <v>5.5726585968064928</v>
      </c>
      <c r="L6" s="138">
        <f ca="1">OFFSET(AGR!O$21,$E6,0)</f>
        <v>5.5119558875083046</v>
      </c>
      <c r="M6" s="138">
        <f ca="1">OFFSET(AGR!P$21,$E6,0)</f>
        <v>5.6955628477312192</v>
      </c>
      <c r="N6" s="138">
        <f ca="1">OFFSET(AGR!Q$21,$E6,0)</f>
        <v>5.6041340757018503</v>
      </c>
      <c r="O6" s="217">
        <f ca="1">OFFSET(AGR!R$21,$E6,0)</f>
        <v>5.5104570551799554</v>
      </c>
      <c r="P6" s="138">
        <f ca="1">OFFSET(AGR!S$21,$E6,0)</f>
        <v>5.317857100986938</v>
      </c>
      <c r="Q6" s="138">
        <f ca="1">OFFSET(AGR!T$21,$E6,0)</f>
        <v>5.5433830202366465</v>
      </c>
      <c r="R6" s="138">
        <f ca="1">OFFSET(AGR!U$21,$E6,0)</f>
        <v>5.7365860064211915</v>
      </c>
      <c r="S6" s="138">
        <f ca="1">OFFSET(AGR!V$21,$E6,0)</f>
        <v>5.9165659745325421</v>
      </c>
      <c r="T6" s="217">
        <f ca="1">OFFSET(AGR!W$21,$E6,0)</f>
        <v>6.1185843060925853</v>
      </c>
      <c r="U6" s="138">
        <f ca="1">OFFSET(AGR!X$21,$E6,0)</f>
        <v>6.3404371647557998</v>
      </c>
      <c r="V6" s="138">
        <f ca="1">OFFSET(AGR!Y$21,$E6,0)</f>
        <v>6.5762476536017012</v>
      </c>
      <c r="W6" s="138">
        <f ca="1">OFFSET(AGR!Z$21,$E6,0)</f>
        <v>6.8194042635950236</v>
      </c>
      <c r="X6" s="138">
        <f ca="1">OFFSET(AGR!AA$21,$E6,0)</f>
        <v>7.0618262614707294</v>
      </c>
      <c r="Y6" s="219">
        <f ca="1">OFFSET(AGR!AB$21,$E6,0)</f>
        <v>7.3358365802884764</v>
      </c>
      <c r="Z6" s="138">
        <f ca="1">OFFSET(AGR!AC$21,$E6,0)</f>
        <v>7.6105815112184612</v>
      </c>
      <c r="AA6" s="138">
        <f ca="1">OFFSET(AGR!AD$21,$E6,0)</f>
        <v>7.8831226058008683</v>
      </c>
      <c r="AB6" s="138">
        <f ca="1">OFFSET(AGR!AE$21,$E6,0)</f>
        <v>8.1615405973004815</v>
      </c>
      <c r="AC6" s="138">
        <f ca="1">OFFSET(AGR!AF$21,$E6,0)</f>
        <v>8.439958588797591</v>
      </c>
      <c r="AD6" s="138">
        <f ca="1">OFFSET(AGR!AG$21,$E6,0)</f>
        <v>8.7367418831661645</v>
      </c>
      <c r="AE6" s="138">
        <f ca="1">OFFSET(AGR!AH$21,$E6,0)</f>
        <v>9.0114868140837636</v>
      </c>
      <c r="AF6" s="138">
        <f ca="1">OFFSET(AGR!AI$21,$E6,0)</f>
        <v>9.2979855388382155</v>
      </c>
      <c r="AG6" s="138">
        <f ca="1">OFFSET(AGR!AJ$21,$E6,0)</f>
        <v>9.6381109479808469</v>
      </c>
      <c r="AH6" s="138">
        <f ca="1">OFFSET(AGR!AK$21,$E6,0)</f>
        <v>10.007620841718165</v>
      </c>
      <c r="AI6" s="138">
        <f ca="1">OFFSET(AGR!AL$21,$E6,0)</f>
        <v>10.399169098900568</v>
      </c>
      <c r="AJ6" s="138">
        <f ca="1">OFFSET(AGR!AM$21,$E6,0)</f>
        <v>10.815694167987532</v>
      </c>
      <c r="AK6" s="138">
        <f ca="1">OFFSET(AGR!AN$21,$E6,0)</f>
        <v>13.314844582532519</v>
      </c>
      <c r="AL6" s="138">
        <f ca="1">OFFSET(AGR!AO$21,$E6,0)</f>
        <v>16.507468833461509</v>
      </c>
      <c r="AM6" s="138">
        <f ca="1">OFFSET(AGR!AP$21,$E6,0)</f>
        <v>16.507468833461509</v>
      </c>
      <c r="AQ6" s="4"/>
    </row>
    <row r="7" spans="1:56">
      <c r="A7" s="36" t="s">
        <v>307</v>
      </c>
      <c r="B7">
        <v>8.6660070567129992</v>
      </c>
      <c r="E7" s="141">
        <f>MATCH(F7,AGR!$D$22:$D$26,0)</f>
        <v>5</v>
      </c>
      <c r="F7" s="4" t="str">
        <f t="shared" si="0"/>
        <v>AO</v>
      </c>
      <c r="G7" s="138">
        <f ca="1">OFFSET(AGR!J$21,$E7,0)</f>
        <v>8.4310585921569263</v>
      </c>
      <c r="H7" s="138">
        <f ca="1">OFFSET(AGR!K$21,$E7,0)</f>
        <v>8.7872834968670794</v>
      </c>
      <c r="I7" s="138">
        <f ca="1">OFFSET(AGR!L$21,$E7,0)</f>
        <v>9.1585594395161465</v>
      </c>
      <c r="J7" s="138">
        <f ca="1">OFFSET(AGR!M$21,$E7,0)</f>
        <v>9.5034055692986712</v>
      </c>
      <c r="K7" s="138">
        <f ca="1">OFFSET(AGR!N$21,$E7,0)</f>
        <v>9.3586708797914078</v>
      </c>
      <c r="L7" s="138">
        <f ca="1">OFFSET(AGR!O$21,$E7,0)</f>
        <v>9.2567273158775958</v>
      </c>
      <c r="M7" s="138">
        <f ca="1">OFFSET(AGR!P$21,$E7,0)</f>
        <v>9.5650751326539414</v>
      </c>
      <c r="N7" s="138">
        <f ca="1">OFFSET(AGR!Q$21,$E7,0)</f>
        <v>9.4115305055244978</v>
      </c>
      <c r="O7" s="217">
        <f ca="1">OFFSET(AGR!R$21,$E7,0)</f>
        <v>9.2542101908426897</v>
      </c>
      <c r="P7" s="138">
        <f ca="1">OFFSET(AGR!S$21,$E7,0)</f>
        <v>8.9307596238568898</v>
      </c>
      <c r="Q7" s="138">
        <f ca="1">OFFSET(AGR!T$21,$E7,0)</f>
        <v>9.3095057495086504</v>
      </c>
      <c r="R7" s="138">
        <f ca="1">OFFSET(AGR!U$21,$E7,0)</f>
        <v>9.633969042797462</v>
      </c>
      <c r="S7" s="138">
        <f ca="1">OFFSET(AGR!V$21,$E7,0)</f>
        <v>9.9362257228450677</v>
      </c>
      <c r="T7" s="217">
        <f ca="1">OFFSET(AGR!W$21,$E7,0)</f>
        <v>10.275493424950213</v>
      </c>
      <c r="U7" s="138">
        <f ca="1">OFFSET(AGR!X$21,$E7,0)</f>
        <v>10.648071046906049</v>
      </c>
      <c r="V7" s="138">
        <f ca="1">OFFSET(AGR!Y$21,$E7,0)</f>
        <v>11.044088982829166</v>
      </c>
      <c r="W7" s="138">
        <f ca="1">OFFSET(AGR!Z$21,$E7,0)</f>
        <v>11.452443926101196</v>
      </c>
      <c r="X7" s="138">
        <f ca="1">OFFSET(AGR!AA$21,$E7,0)</f>
        <v>11.859565168633507</v>
      </c>
      <c r="Y7" s="219">
        <f ca="1">OFFSET(AGR!AB$21,$E7,0)</f>
        <v>12.319735542779801</v>
      </c>
      <c r="Z7" s="138">
        <f ca="1">OFFSET(AGR!AC$21,$E7,0)</f>
        <v>12.781139617656782</v>
      </c>
      <c r="AA7" s="138">
        <f ca="1">OFFSET(AGR!AD$21,$E7,0)</f>
        <v>13.238842590323459</v>
      </c>
      <c r="AB7" s="138">
        <f ca="1">OFFSET(AGR!AE$21,$E7,0)</f>
        <v>13.706415168868043</v>
      </c>
      <c r="AC7" s="138">
        <f ca="1">OFFSET(AGR!AF$21,$E7,0)</f>
        <v>14.17398774740842</v>
      </c>
      <c r="AD7" s="138">
        <f ca="1">OFFSET(AGR!AG$21,$E7,0)</f>
        <v>14.672402844325973</v>
      </c>
      <c r="AE7" s="138">
        <f ca="1">OFFSET(AGR!AH$21,$E7,0)</f>
        <v>15.133806919182152</v>
      </c>
      <c r="AF7" s="138">
        <f ca="1">OFFSET(AGR!AI$21,$E7,0)</f>
        <v>15.614950205798239</v>
      </c>
      <c r="AG7" s="138">
        <f ca="1">OFFSET(AGR!AJ$21,$E7,0)</f>
        <v>16.186153646081557</v>
      </c>
      <c r="AH7" s="138">
        <f ca="1">OFFSET(AGR!AK$21,$E7,0)</f>
        <v>16.806705115768931</v>
      </c>
      <c r="AI7" s="138">
        <f ca="1">OFFSET(AGR!AL$21,$E7,0)</f>
        <v>17.464267607507789</v>
      </c>
      <c r="AJ7" s="138">
        <f ca="1">OFFSET(AGR!AM$21,$E7,0)</f>
        <v>18.163775924238543</v>
      </c>
      <c r="AK7" s="138">
        <f ca="1">OFFSET(AGR!AN$21,$E7,0)</f>
        <v>22.360825824662033</v>
      </c>
      <c r="AL7" s="138">
        <f ca="1">OFFSET(AGR!AO$21,$E7,0)</f>
        <v>27.722489218936268</v>
      </c>
      <c r="AM7" s="138">
        <f ca="1">OFFSET(AGR!AP$21,$E7,0)</f>
        <v>27.722489218936268</v>
      </c>
      <c r="AQ7" s="4"/>
    </row>
    <row r="8" spans="1:56">
      <c r="A8" s="36" t="s">
        <v>308</v>
      </c>
      <c r="B8">
        <v>5.4851590254799998</v>
      </c>
      <c r="E8" s="141">
        <f>MATCH(F8,AGR!$D$22:$D$26,0)</f>
        <v>2</v>
      </c>
      <c r="F8" s="4" t="str">
        <f t="shared" si="0"/>
        <v>AP</v>
      </c>
      <c r="G8" s="138">
        <f ca="1">OFFSET(AGR!J$21,$E8,0)</f>
        <v>3.8349683201390801</v>
      </c>
      <c r="H8" s="138">
        <f ca="1">OFFSET(AGR!K$21,$E8,0)</f>
        <v>3.9970014989475917</v>
      </c>
      <c r="I8" s="138">
        <f ca="1">OFFSET(AGR!L$21,$E8,0)</f>
        <v>4.1658808232371278</v>
      </c>
      <c r="J8" s="138">
        <f ca="1">OFFSET(AGR!M$21,$E8,0)</f>
        <v>4.3227382295263919</v>
      </c>
      <c r="K8" s="138">
        <f ca="1">OFFSET(AGR!N$21,$E8,0)</f>
        <v>4.2569039166677589</v>
      </c>
      <c r="L8" s="138">
        <f ca="1">OFFSET(AGR!O$21,$E8,0)</f>
        <v>4.2105336615238524</v>
      </c>
      <c r="M8" s="138">
        <f ca="1">OFFSET(AGR!P$21,$E8,0)</f>
        <v>4.3507893715270267</v>
      </c>
      <c r="N8" s="138">
        <f ca="1">OFFSET(AGR!Q$21,$E8,0)</f>
        <v>4.280947752668304</v>
      </c>
      <c r="O8" s="217">
        <f ca="1">OFFSET(AGR!R$21,$E8,0)</f>
        <v>4.2093887169523985</v>
      </c>
      <c r="P8" s="138">
        <f ca="1">OFFSET(AGR!S$21,$E8,0)</f>
        <v>4.0622633395204968</v>
      </c>
      <c r="Q8" s="138">
        <f ca="1">OFFSET(AGR!T$21,$E8,0)</f>
        <v>4.2345405663210673</v>
      </c>
      <c r="R8" s="138">
        <f ca="1">OFFSET(AGR!U$21,$E8,0)</f>
        <v>4.3821265944822425</v>
      </c>
      <c r="S8" s="138">
        <f ca="1">OFFSET(AGR!V$21,$E8,0)</f>
        <v>4.5196116777446562</v>
      </c>
      <c r="T8" s="217">
        <f ca="1">OFFSET(AGR!W$21,$E8,0)</f>
        <v>4.6739316691666062</v>
      </c>
      <c r="U8" s="138">
        <f ca="1">OFFSET(AGR!X$21,$E8,0)</f>
        <v>4.843403077931641</v>
      </c>
      <c r="V8" s="138">
        <f ca="1">OFFSET(AGR!Y$21,$E8,0)</f>
        <v>5.0235365951965809</v>
      </c>
      <c r="W8" s="138">
        <f ca="1">OFFSET(AGR!Z$21,$E8,0)</f>
        <v>5.209281748513062</v>
      </c>
      <c r="X8" s="138">
        <f ca="1">OFFSET(AGR!AA$21,$E8,0)</f>
        <v>5.394465738222193</v>
      </c>
      <c r="Y8" s="219">
        <f ca="1">OFFSET(AGR!AB$21,$E8,0)</f>
        <v>5.6037797629591637</v>
      </c>
      <c r="Z8" s="138">
        <f ca="1">OFFSET(AGR!AC$21,$E8,0)</f>
        <v>5.8136549512993758</v>
      </c>
      <c r="AA8" s="138">
        <f ca="1">OFFSET(AGR!AD$21,$E8,0)</f>
        <v>6.0218466488215654</v>
      </c>
      <c r="AB8" s="138">
        <f ca="1">OFFSET(AGR!AE$21,$E8,0)</f>
        <v>6.2345276551844302</v>
      </c>
      <c r="AC8" s="138">
        <f ca="1">OFFSET(AGR!AF$21,$E8,0)</f>
        <v>6.4472086615453827</v>
      </c>
      <c r="AD8" s="138">
        <f ca="1">OFFSET(AGR!AG$21,$E8,0)</f>
        <v>6.6739187580374137</v>
      </c>
      <c r="AE8" s="138">
        <f ca="1">OFFSET(AGR!AH$21,$E8,0)</f>
        <v>6.8837939463681641</v>
      </c>
      <c r="AF8" s="138">
        <f ca="1">OFFSET(AGR!AI$21,$E8,0)</f>
        <v>7.1026477523821301</v>
      </c>
      <c r="AG8" s="138">
        <f ca="1">OFFSET(AGR!AJ$21,$E8,0)</f>
        <v>7.3624665015815198</v>
      </c>
      <c r="AH8" s="138">
        <f ca="1">OFFSET(AGR!AK$21,$E8,0)</f>
        <v>7.6447317949908973</v>
      </c>
      <c r="AI8" s="138">
        <f ca="1">OFFSET(AGR!AL$21,$E8,0)</f>
        <v>7.9438319965570567</v>
      </c>
      <c r="AJ8" s="138">
        <f ca="1">OFFSET(AGR!AM$21,$E8,0)</f>
        <v>8.2620117607010002</v>
      </c>
      <c r="AK8" s="138">
        <f ca="1">OFFSET(AGR!AN$21,$E8,0)</f>
        <v>10.171090345582384</v>
      </c>
      <c r="AL8" s="138">
        <f ca="1">OFFSET(AGR!AO$21,$E8,0)</f>
        <v>12.609907373780823</v>
      </c>
      <c r="AM8" s="138">
        <f ca="1">OFFSET(AGR!AP$21,$E8,0)</f>
        <v>12.609907373780823</v>
      </c>
      <c r="AQ8" s="4"/>
    </row>
    <row r="9" spans="1:56">
      <c r="A9" s="36" t="s">
        <v>309</v>
      </c>
      <c r="B9">
        <v>14.26028349219</v>
      </c>
      <c r="E9" s="142">
        <f>MATCH(F9,AGR!$D$22:$D$26,0)</f>
        <v>3</v>
      </c>
      <c r="F9" s="4" t="str">
        <f t="shared" si="0"/>
        <v>AT</v>
      </c>
      <c r="G9" s="138">
        <f ca="1">OFFSET(AGR!J$21,$E9,0)</f>
        <v>14.570390350961301</v>
      </c>
      <c r="H9" s="138">
        <f ca="1">OFFSET(AGR!K$21,$E9,0)</f>
        <v>15.186011255219906</v>
      </c>
      <c r="I9" s="138">
        <f ca="1">OFFSET(AGR!L$21,$E9,0)</f>
        <v>15.827643068495453</v>
      </c>
      <c r="J9" s="138">
        <f ca="1">OFFSET(AGR!M$21,$E9,0)</f>
        <v>16.423599396758167</v>
      </c>
      <c r="K9" s="138">
        <f ca="1">OFFSET(AGR!N$21,$E9,0)</f>
        <v>16.173471740735494</v>
      </c>
      <c r="L9" s="138">
        <f ca="1">OFFSET(AGR!O$21,$E9,0)</f>
        <v>15.997294869971698</v>
      </c>
      <c r="M9" s="138">
        <f ca="1">OFFSET(AGR!P$21,$E9,0)</f>
        <v>16.53017552845478</v>
      </c>
      <c r="N9" s="138">
        <f ca="1">OFFSET(AGR!Q$21,$E9,0)</f>
        <v>16.264822710761166</v>
      </c>
      <c r="O9" s="217">
        <f ca="1">OFFSET(AGR!R$21,$E9,0)</f>
        <v>15.992944823780002</v>
      </c>
      <c r="P9" s="138">
        <f ca="1">OFFSET(AGR!S$21,$E9,0)</f>
        <v>15.433963888146726</v>
      </c>
      <c r="Q9" s="138">
        <f ca="1">OFFSET(AGR!T$21,$E9,0)</f>
        <v>16.088505525396645</v>
      </c>
      <c r="R9" s="138">
        <f ca="1">OFFSET(AGR!U$21,$E9,0)</f>
        <v>16.64923663479426</v>
      </c>
      <c r="S9" s="138">
        <f ca="1">OFFSET(AGR!V$21,$E9,0)</f>
        <v>17.171590710067335</v>
      </c>
      <c r="T9" s="217">
        <f ca="1">OFFSET(AGR!W$21,$E9,0)</f>
        <v>17.75790650886206</v>
      </c>
      <c r="U9" s="138">
        <f ca="1">OFFSET(AGR!X$21,$E9,0)</f>
        <v>18.401787858824381</v>
      </c>
      <c r="V9" s="138">
        <f ca="1">OFFSET(AGR!Y$21,$E9,0)</f>
        <v>19.086178300346102</v>
      </c>
      <c r="W9" s="138">
        <f ca="1">OFFSET(AGR!Z$21,$E9,0)</f>
        <v>19.79188931636882</v>
      </c>
      <c r="X9" s="138">
        <f ca="1">OFFSET(AGR!AA$21,$E9,0)</f>
        <v>20.495468274933096</v>
      </c>
      <c r="Y9" s="219">
        <f ca="1">OFFSET(AGR!AB$21,$E9,0)</f>
        <v>21.290725703875253</v>
      </c>
      <c r="Z9" s="138">
        <f ca="1">OFFSET(AGR!AC$21,$E9,0)</f>
        <v>22.088115190260243</v>
      </c>
      <c r="AA9" s="138">
        <f ca="1">OFFSET(AGR!AD$21,$E9,0)</f>
        <v>22.87910850428521</v>
      </c>
      <c r="AB9" s="138">
        <f ca="1">OFFSET(AGR!AE$21,$E9,0)</f>
        <v>23.687158277908853</v>
      </c>
      <c r="AC9" s="138">
        <f ca="1">OFFSET(AGR!AF$21,$E9,0)</f>
        <v>24.495208051525232</v>
      </c>
      <c r="AD9" s="138">
        <f ca="1">OFFSET(AGR!AG$21,$E9,0)</f>
        <v>25.356559261402552</v>
      </c>
      <c r="AE9" s="138">
        <f ca="1">OFFSET(AGR!AH$21,$E9,0)</f>
        <v>26.153948747751596</v>
      </c>
      <c r="AF9" s="138">
        <f ca="1">OFFSET(AGR!AI$21,$E9,0)</f>
        <v>26.985451153305078</v>
      </c>
      <c r="AG9" s="138">
        <f ca="1">OFFSET(AGR!AJ$21,$E9,0)</f>
        <v>27.972593752750679</v>
      </c>
      <c r="AH9" s="138">
        <f ca="1">OFFSET(AGR!AK$21,$E9,0)</f>
        <v>29.045018650214789</v>
      </c>
      <c r="AI9" s="138">
        <f ca="1">OFFSET(AGR!AL$21,$E9,0)</f>
        <v>30.181405271190084</v>
      </c>
      <c r="AJ9" s="138">
        <f ca="1">OFFSET(AGR!AM$21,$E9,0)</f>
        <v>31.390281845478427</v>
      </c>
      <c r="AK9" s="138">
        <f ca="1">OFFSET(AGR!AN$21,$E9,0)</f>
        <v>38.643541291275824</v>
      </c>
      <c r="AL9" s="138">
        <f ca="1">OFFSET(AGR!AO$21,$E9,0)</f>
        <v>47.909462970163105</v>
      </c>
      <c r="AM9" s="138">
        <f ca="1">OFFSET(AGR!AP$21,$E9,0)</f>
        <v>47.909462970163105</v>
      </c>
      <c r="AQ9" s="4"/>
    </row>
    <row r="10" spans="1:56">
      <c r="A10" s="36" t="s">
        <v>310</v>
      </c>
      <c r="B10">
        <v>0.39719718710289997</v>
      </c>
      <c r="E10" s="141">
        <f ca="1">MATCH(F10,IND!$D$26:$D$255,0)</f>
        <v>110</v>
      </c>
      <c r="F10" s="4" t="str">
        <f t="shared" si="0"/>
        <v>ICPA</v>
      </c>
      <c r="G10" s="138">
        <f ca="1">OFFSET(IND!J$25,$E10,0)</f>
        <v>0.2086787369811067</v>
      </c>
      <c r="H10" s="138">
        <f ca="1">OFFSET(IND!K$25,$E10,0)</f>
        <v>0.21460598760545171</v>
      </c>
      <c r="I10" s="138">
        <f ca="1">OFFSET(IND!L$25,$E10,0)</f>
        <v>0.21835991300087018</v>
      </c>
      <c r="J10" s="138">
        <f ca="1">OFFSET(IND!M$25,$E10,0)</f>
        <v>0.30344250000000006</v>
      </c>
      <c r="K10" s="138">
        <f ca="1">OFFSET(IND!N$25,$E10,0)</f>
        <v>0.30344250000000006</v>
      </c>
      <c r="L10" s="138">
        <f ca="1">OFFSET(IND!O$25,$E10,0)</f>
        <v>0.30344250000000006</v>
      </c>
      <c r="M10" s="138">
        <f ca="1">OFFSET(IND!P$25,$E10,0)</f>
        <v>0.30606947570671383</v>
      </c>
      <c r="N10" s="138">
        <f ca="1">OFFSET(IND!Q$25,$E10,0)</f>
        <v>0.30537252296819795</v>
      </c>
      <c r="O10" s="217">
        <f ca="1">OFFSET(IND!R$25,$E10,0)</f>
        <v>0.28076473012367492</v>
      </c>
      <c r="P10" s="138">
        <f ca="1">OFFSET(IND!S$25,$E10,0)</f>
        <v>0.29282782842526695</v>
      </c>
      <c r="Q10" s="138">
        <f ca="1">OFFSET(IND!T$25,$E10,0)</f>
        <v>0.30328596514937861</v>
      </c>
      <c r="R10" s="138">
        <f ca="1">OFFSET(IND!U$25,$E10,0)</f>
        <v>0.31431360436846129</v>
      </c>
      <c r="S10" s="138">
        <f ca="1">OFFSET(IND!V$25,$E10,0)</f>
        <v>0.32704975107278295</v>
      </c>
      <c r="T10" s="217">
        <f ca="1">OFFSET(IND!W$25,$E10,0)</f>
        <v>0.34102844867537102</v>
      </c>
      <c r="U10" s="138">
        <f ca="1">OFFSET(IND!X$25,$E10,0)</f>
        <v>0.35593905945158366</v>
      </c>
      <c r="V10" s="138">
        <f ca="1">OFFSET(IND!Y$25,$E10,0)</f>
        <v>0.37193690226370663</v>
      </c>
      <c r="W10" s="138">
        <f ca="1">OFFSET(IND!Z$25,$E10,0)</f>
        <v>0.3892808418822219</v>
      </c>
      <c r="X10" s="138">
        <f ca="1">OFFSET(IND!AA$25,$E10,0)</f>
        <v>0.40885101852680156</v>
      </c>
      <c r="Y10" s="219">
        <f ca="1">OFFSET(IND!AB$25,$E10,0)</f>
        <v>0.42956020016131646</v>
      </c>
      <c r="Z10" s="138">
        <f ca="1">OFFSET(IND!AC$25,$E10,0)</f>
        <v>0.44964810634639846</v>
      </c>
      <c r="AA10" s="138">
        <f ca="1">OFFSET(IND!AD$25,$E10,0)</f>
        <v>0.47092679047550345</v>
      </c>
      <c r="AB10" s="138">
        <f ca="1">OFFSET(IND!AE$25,$E10,0)</f>
        <v>0.49303384186993371</v>
      </c>
      <c r="AC10" s="138">
        <f ca="1">OFFSET(IND!AF$25,$E10,0)</f>
        <v>0.51648699007065102</v>
      </c>
      <c r="AD10" s="138">
        <f ca="1">OFFSET(IND!AG$25,$E10,0)</f>
        <v>0.53931886282197672</v>
      </c>
      <c r="AE10" s="138">
        <f ca="1">OFFSET(IND!AH$25,$E10,0)</f>
        <v>0.56292732988452154</v>
      </c>
      <c r="AF10" s="138">
        <f ca="1">OFFSET(IND!AI$25,$E10,0)</f>
        <v>0.58927976351390554</v>
      </c>
      <c r="AG10" s="138">
        <f ca="1">OFFSET(IND!AJ$25,$E10,0)</f>
        <v>0.61734070462819146</v>
      </c>
      <c r="AH10" s="138">
        <f ca="1">OFFSET(IND!AK$25,$E10,0)</f>
        <v>0.64716192618145563</v>
      </c>
      <c r="AI10" s="138">
        <f ca="1">OFFSET(IND!AL$25,$E10,0)</f>
        <v>0.67843279044911597</v>
      </c>
      <c r="AJ10" s="138">
        <f ca="1">OFFSET(IND!AM$25,$E10,0)</f>
        <v>0.87113172555717611</v>
      </c>
      <c r="AK10" s="138">
        <f ca="1">OFFSET(IND!AN$25,$E10,0)</f>
        <v>1.1195901322159709</v>
      </c>
      <c r="AL10" s="138">
        <f ca="1">OFFSET(IND!AO$25,$E10,0)</f>
        <v>1.5514542287243833</v>
      </c>
      <c r="AM10" s="138">
        <f ca="1">OFFSET(IND!AP$25,$E10,0)</f>
        <v>1.9926115704912344</v>
      </c>
      <c r="AQ10" s="4"/>
    </row>
    <row r="11" spans="1:56">
      <c r="A11" s="36" t="s">
        <v>311</v>
      </c>
      <c r="B11">
        <v>5.295962494706</v>
      </c>
      <c r="E11" s="141">
        <f ca="1">MATCH(F11,IND!$D$26:$D$255,0)</f>
        <v>112</v>
      </c>
      <c r="F11" s="4" t="str">
        <f t="shared" si="0"/>
        <v>ICPC</v>
      </c>
      <c r="G11" s="138">
        <f ca="1">OFFSET(IND!J$25,$E11,0)</f>
        <v>2.7823831597480893</v>
      </c>
      <c r="H11" s="138">
        <f ca="1">OFFSET(IND!K$25,$E11,0)</f>
        <v>2.8614131680726893</v>
      </c>
      <c r="I11" s="138">
        <f ca="1">OFFSET(IND!L$25,$E11,0)</f>
        <v>2.9114655066782689</v>
      </c>
      <c r="J11" s="138">
        <f ca="1">OFFSET(IND!M$25,$E11,0)</f>
        <v>4.0459000000000005</v>
      </c>
      <c r="K11" s="138">
        <f ca="1">OFFSET(IND!N$25,$E11,0)</f>
        <v>4.0459000000000005</v>
      </c>
      <c r="L11" s="138">
        <f ca="1">OFFSET(IND!O$25,$E11,0)</f>
        <v>4.0459000000000005</v>
      </c>
      <c r="M11" s="138">
        <f ca="1">OFFSET(IND!P$25,$E11,0)</f>
        <v>4.0809263427561842</v>
      </c>
      <c r="N11" s="138">
        <f ca="1">OFFSET(IND!Q$25,$E11,0)</f>
        <v>4.071633639575972</v>
      </c>
      <c r="O11" s="217">
        <f ca="1">OFFSET(IND!R$25,$E11,0)</f>
        <v>3.743529734982332</v>
      </c>
      <c r="P11" s="138">
        <f ca="1">OFFSET(IND!S$25,$E11,0)</f>
        <v>3.9043710456702256</v>
      </c>
      <c r="Q11" s="138">
        <f ca="1">OFFSET(IND!T$25,$E11,0)</f>
        <v>4.0438128686583807</v>
      </c>
      <c r="R11" s="138">
        <f ca="1">OFFSET(IND!U$25,$E11,0)</f>
        <v>4.19084805824615</v>
      </c>
      <c r="S11" s="138">
        <f ca="1">OFFSET(IND!V$25,$E11,0)</f>
        <v>4.3606633476371055</v>
      </c>
      <c r="T11" s="217">
        <f ca="1">OFFSET(IND!W$25,$E11,0)</f>
        <v>4.5470459823382798</v>
      </c>
      <c r="U11" s="138">
        <f ca="1">OFFSET(IND!X$25,$E11,0)</f>
        <v>4.7458541260211149</v>
      </c>
      <c r="V11" s="138">
        <f ca="1">OFFSET(IND!Y$25,$E11,0)</f>
        <v>4.9591586968494212</v>
      </c>
      <c r="W11" s="138">
        <f ca="1">OFFSET(IND!Z$25,$E11,0)</f>
        <v>5.190411225096291</v>
      </c>
      <c r="X11" s="138">
        <f ca="1">OFFSET(IND!AA$25,$E11,0)</f>
        <v>5.4513469136906867</v>
      </c>
      <c r="Y11" s="219">
        <f ca="1">OFFSET(IND!AB$25,$E11,0)</f>
        <v>5.7274693354842183</v>
      </c>
      <c r="Z11" s="138">
        <f ca="1">OFFSET(IND!AC$25,$E11,0)</f>
        <v>5.9953080846186451</v>
      </c>
      <c r="AA11" s="138">
        <f ca="1">OFFSET(IND!AD$25,$E11,0)</f>
        <v>6.2790238730067118</v>
      </c>
      <c r="AB11" s="138">
        <f ca="1">OFFSET(IND!AE$25,$E11,0)</f>
        <v>6.5737845582657819</v>
      </c>
      <c r="AC11" s="138">
        <f ca="1">OFFSET(IND!AF$25,$E11,0)</f>
        <v>6.886493200942013</v>
      </c>
      <c r="AD11" s="138">
        <f ca="1">OFFSET(IND!AG$25,$E11,0)</f>
        <v>7.190918170959689</v>
      </c>
      <c r="AE11" s="138">
        <f ca="1">OFFSET(IND!AH$25,$E11,0)</f>
        <v>7.5056977317936191</v>
      </c>
      <c r="AF11" s="138">
        <f ca="1">OFFSET(IND!AI$25,$E11,0)</f>
        <v>7.8570635135187397</v>
      </c>
      <c r="AG11" s="138">
        <f ca="1">OFFSET(IND!AJ$25,$E11,0)</f>
        <v>8.2312093950425531</v>
      </c>
      <c r="AH11" s="138">
        <f ca="1">OFFSET(IND!AK$25,$E11,0)</f>
        <v>8.6288256824194089</v>
      </c>
      <c r="AI11" s="138">
        <f ca="1">OFFSET(IND!AL$25,$E11,0)</f>
        <v>9.0457705393215466</v>
      </c>
      <c r="AJ11" s="138">
        <f ca="1">OFFSET(IND!AM$25,$E11,0)</f>
        <v>11.615089674095682</v>
      </c>
      <c r="AK11" s="138">
        <f ca="1">OFFSET(IND!AN$25,$E11,0)</f>
        <v>14.927868429546278</v>
      </c>
      <c r="AL11" s="138">
        <f ca="1">OFFSET(IND!AO$25,$E11,0)</f>
        <v>20.686056382991776</v>
      </c>
      <c r="AM11" s="138">
        <f ca="1">OFFSET(IND!AP$25,$E11,0)</f>
        <v>26.568154273216454</v>
      </c>
      <c r="AQ11" s="4"/>
    </row>
    <row r="12" spans="1:56">
      <c r="A12" s="36" t="s">
        <v>312</v>
      </c>
      <c r="B12">
        <v>3.219945196781</v>
      </c>
      <c r="E12" s="141">
        <f ca="1">MATCH(F12,IND!$D$26:$D$255,0)</f>
        <v>117</v>
      </c>
      <c r="F12" s="4" t="str">
        <f t="shared" si="0"/>
        <v>ICPE</v>
      </c>
      <c r="G12" s="138">
        <f ca="1">OFFSET(IND!J$25,$E12,0)</f>
        <v>1.6916889611268384</v>
      </c>
      <c r="H12" s="138">
        <f ca="1">OFFSET(IND!K$25,$E12,0)</f>
        <v>1.7397392061881953</v>
      </c>
      <c r="I12" s="138">
        <f ca="1">OFFSET(IND!L$25,$E12,0)</f>
        <v>1.7701710280603877</v>
      </c>
      <c r="J12" s="138">
        <f ca="1">OFFSET(IND!M$25,$E12,0)</f>
        <v>2.4599072000000004</v>
      </c>
      <c r="K12" s="138">
        <f ca="1">OFFSET(IND!N$25,$E12,0)</f>
        <v>2.4599072000000004</v>
      </c>
      <c r="L12" s="138">
        <f ca="1">OFFSET(IND!O$25,$E12,0)</f>
        <v>2.4599072000000004</v>
      </c>
      <c r="M12" s="138">
        <f ca="1">OFFSET(IND!P$25,$E12,0)</f>
        <v>2.4812032163957602</v>
      </c>
      <c r="N12" s="138">
        <f ca="1">OFFSET(IND!Q$25,$E12,0)</f>
        <v>2.4755532528621913</v>
      </c>
      <c r="O12" s="217">
        <f ca="1">OFFSET(IND!R$25,$E12,0)</f>
        <v>2.2760660788692584</v>
      </c>
      <c r="P12" s="138">
        <f ca="1">OFFSET(IND!S$25,$E12,0)</f>
        <v>2.3738575957674977</v>
      </c>
      <c r="Q12" s="138">
        <f ca="1">OFFSET(IND!T$25,$E12,0)</f>
        <v>2.4586382241442961</v>
      </c>
      <c r="R12" s="138">
        <f ca="1">OFFSET(IND!U$25,$E12,0)</f>
        <v>2.54803561941366</v>
      </c>
      <c r="S12" s="138">
        <f ca="1">OFFSET(IND!V$25,$E12,0)</f>
        <v>2.651283315363361</v>
      </c>
      <c r="T12" s="217">
        <f ca="1">OFFSET(IND!W$25,$E12,0)</f>
        <v>2.764603957261675</v>
      </c>
      <c r="U12" s="138">
        <f ca="1">OFFSET(IND!X$25,$E12,0)</f>
        <v>2.8854793086208388</v>
      </c>
      <c r="V12" s="138">
        <f ca="1">OFFSET(IND!Y$25,$E12,0)</f>
        <v>3.0151684876844489</v>
      </c>
      <c r="W12" s="138">
        <f ca="1">OFFSET(IND!Z$25,$E12,0)</f>
        <v>3.1557700248585459</v>
      </c>
      <c r="X12" s="138">
        <f ca="1">OFFSET(IND!AA$25,$E12,0)</f>
        <v>3.3144189235239385</v>
      </c>
      <c r="Y12" s="219">
        <f ca="1">OFFSET(IND!AB$25,$E12,0)</f>
        <v>3.482301355974406</v>
      </c>
      <c r="Z12" s="138">
        <f ca="1">OFFSET(IND!AC$25,$E12,0)</f>
        <v>3.6451473154481375</v>
      </c>
      <c r="AA12" s="138">
        <f ca="1">OFFSET(IND!AD$25,$E12,0)</f>
        <v>3.8176465147880818</v>
      </c>
      <c r="AB12" s="138">
        <f ca="1">OFFSET(IND!AE$25,$E12,0)</f>
        <v>3.996861011425596</v>
      </c>
      <c r="AC12" s="138">
        <f ca="1">OFFSET(IND!AF$25,$E12,0)</f>
        <v>4.1869878661727444</v>
      </c>
      <c r="AD12" s="138">
        <f ca="1">OFFSET(IND!AG$25,$E12,0)</f>
        <v>4.3720782479434916</v>
      </c>
      <c r="AE12" s="138">
        <f ca="1">OFFSET(IND!AH$25,$E12,0)</f>
        <v>4.5634642209305216</v>
      </c>
      <c r="AF12" s="138">
        <f ca="1">OFFSET(IND!AI$25,$E12,0)</f>
        <v>4.7770946162193946</v>
      </c>
      <c r="AG12" s="138">
        <f ca="1">OFFSET(IND!AJ$25,$E12,0)</f>
        <v>5.0045753121858727</v>
      </c>
      <c r="AH12" s="138">
        <f ca="1">OFFSET(IND!AK$25,$E12,0)</f>
        <v>5.2463260149110011</v>
      </c>
      <c r="AI12" s="138">
        <f ca="1">OFFSET(IND!AL$25,$E12,0)</f>
        <v>5.499828487907501</v>
      </c>
      <c r="AJ12" s="138">
        <f ca="1">OFFSET(IND!AM$25,$E12,0)</f>
        <v>7.0619745218501748</v>
      </c>
      <c r="AK12" s="138">
        <f ca="1">OFFSET(IND!AN$25,$E12,0)</f>
        <v>9.0761440051641387</v>
      </c>
      <c r="AL12" s="138">
        <f ca="1">OFFSET(IND!AO$25,$E12,0)</f>
        <v>12.577122280859003</v>
      </c>
      <c r="AM12" s="138">
        <f ca="1">OFFSET(IND!AP$25,$E12,0)</f>
        <v>16.153437798115608</v>
      </c>
      <c r="AQ12" s="4"/>
    </row>
    <row r="13" spans="1:56">
      <c r="A13" s="36" t="s">
        <v>313</v>
      </c>
      <c r="B13">
        <v>3.389415996611</v>
      </c>
      <c r="E13" s="141">
        <f ca="1">MATCH(F13,IND!$D$26:$D$255,0)</f>
        <v>115</v>
      </c>
      <c r="F13" s="4" t="str">
        <f t="shared" si="0"/>
        <v>ICPF</v>
      </c>
      <c r="G13" s="138">
        <f ca="1">OFFSET(IND!J$25,$E13,0)</f>
        <v>1.7807252222387775</v>
      </c>
      <c r="H13" s="138">
        <f ca="1">OFFSET(IND!K$25,$E13,0)</f>
        <v>1.8313044275665216</v>
      </c>
      <c r="I13" s="138">
        <f ca="1">OFFSET(IND!L$25,$E13,0)</f>
        <v>1.8633379242740926</v>
      </c>
      <c r="J13" s="138">
        <f ca="1">OFFSET(IND!M$25,$E13,0)</f>
        <v>2.5893760000000006</v>
      </c>
      <c r="K13" s="138">
        <f ca="1">OFFSET(IND!N$25,$E13,0)</f>
        <v>2.5893760000000006</v>
      </c>
      <c r="L13" s="138">
        <f ca="1">OFFSET(IND!O$25,$E13,0)</f>
        <v>2.5893760000000006</v>
      </c>
      <c r="M13" s="138">
        <f ca="1">OFFSET(IND!P$25,$E13,0)</f>
        <v>2.6117928593639581</v>
      </c>
      <c r="N13" s="138">
        <f ca="1">OFFSET(IND!Q$25,$E13,0)</f>
        <v>2.6058455293286222</v>
      </c>
      <c r="O13" s="217">
        <f ca="1">OFFSET(IND!R$25,$E13,0)</f>
        <v>2.3958590303886926</v>
      </c>
      <c r="P13" s="138">
        <f ca="1">OFFSET(IND!S$25,$E13,0)</f>
        <v>2.4987974692289447</v>
      </c>
      <c r="Q13" s="138">
        <f ca="1">OFFSET(IND!T$25,$E13,0)</f>
        <v>2.5880402359413641</v>
      </c>
      <c r="R13" s="138">
        <f ca="1">OFFSET(IND!U$25,$E13,0)</f>
        <v>2.6821427572775365</v>
      </c>
      <c r="S13" s="138">
        <f ca="1">OFFSET(IND!V$25,$E13,0)</f>
        <v>2.7908245424877478</v>
      </c>
      <c r="T13" s="217">
        <f ca="1">OFFSET(IND!W$25,$E13,0)</f>
        <v>2.910109428696499</v>
      </c>
      <c r="U13" s="138">
        <f ca="1">OFFSET(IND!X$25,$E13,0)</f>
        <v>3.0373466406535132</v>
      </c>
      <c r="V13" s="138">
        <f ca="1">OFFSET(IND!Y$25,$E13,0)</f>
        <v>3.1738615659836293</v>
      </c>
      <c r="W13" s="138">
        <f ca="1">OFFSET(IND!Z$25,$E13,0)</f>
        <v>3.321863184061626</v>
      </c>
      <c r="X13" s="138">
        <f ca="1">OFFSET(IND!AA$25,$E13,0)</f>
        <v>3.4888620247620392</v>
      </c>
      <c r="Y13" s="219">
        <f ca="1">OFFSET(IND!AB$25,$E13,0)</f>
        <v>3.6655803747098998</v>
      </c>
      <c r="Z13" s="138">
        <f ca="1">OFFSET(IND!AC$25,$E13,0)</f>
        <v>3.8369971741559326</v>
      </c>
      <c r="AA13" s="138">
        <f ca="1">OFFSET(IND!AD$25,$E13,0)</f>
        <v>4.0185752787242954</v>
      </c>
      <c r="AB13" s="138">
        <f ca="1">OFFSET(IND!AE$25,$E13,0)</f>
        <v>4.2072221172901001</v>
      </c>
      <c r="AC13" s="138">
        <f ca="1">OFFSET(IND!AF$25,$E13,0)</f>
        <v>4.4073556486028878</v>
      </c>
      <c r="AD13" s="138">
        <f ca="1">OFFSET(IND!AG$25,$E13,0)</f>
        <v>4.6021876294142006</v>
      </c>
      <c r="AE13" s="138">
        <f ca="1">OFFSET(IND!AH$25,$E13,0)</f>
        <v>4.803646548347916</v>
      </c>
      <c r="AF13" s="138">
        <f ca="1">OFFSET(IND!AI$25,$E13,0)</f>
        <v>5.0285206486519929</v>
      </c>
      <c r="AG13" s="138">
        <f ca="1">OFFSET(IND!AJ$25,$E13,0)</f>
        <v>5.2679740128272332</v>
      </c>
      <c r="AH13" s="138">
        <f ca="1">OFFSET(IND!AK$25,$E13,0)</f>
        <v>5.5224484367484212</v>
      </c>
      <c r="AI13" s="138">
        <f ca="1">OFFSET(IND!AL$25,$E13,0)</f>
        <v>5.7892931451657894</v>
      </c>
      <c r="AJ13" s="138">
        <f ca="1">OFFSET(IND!AM$25,$E13,0)</f>
        <v>7.4336573914212352</v>
      </c>
      <c r="AK13" s="138">
        <f ca="1">OFFSET(IND!AN$25,$E13,0)</f>
        <v>9.5538357949096167</v>
      </c>
      <c r="AL13" s="138">
        <f ca="1">OFFSET(IND!AO$25,$E13,0)</f>
        <v>13.239076085114736</v>
      </c>
      <c r="AM13" s="138">
        <f ca="1">OFFSET(IND!AP$25,$E13,0)</f>
        <v>17.003618734858531</v>
      </c>
      <c r="AQ13" s="4"/>
    </row>
    <row r="14" spans="1:56">
      <c r="A14" s="36" t="s">
        <v>314</v>
      </c>
      <c r="B14">
        <v>0.95327324904709998</v>
      </c>
      <c r="E14" s="141">
        <f ca="1">MATCH(F14,IND!$D$26:$D$255,0)</f>
        <v>113</v>
      </c>
      <c r="F14" s="4" t="str">
        <f t="shared" si="0"/>
        <v>ICPH</v>
      </c>
      <c r="G14" s="138">
        <f ca="1">OFFSET(IND!J$25,$E14,0)</f>
        <v>0.5008289687546561</v>
      </c>
      <c r="H14" s="138">
        <f ca="1">OFFSET(IND!K$25,$E14,0)</f>
        <v>0.51505437025308409</v>
      </c>
      <c r="I14" s="138">
        <f ca="1">OFFSET(IND!L$25,$E14,0)</f>
        <v>0.52406379120208846</v>
      </c>
      <c r="J14" s="138">
        <f ca="1">OFFSET(IND!M$25,$E14,0)</f>
        <v>0.72826200000000008</v>
      </c>
      <c r="K14" s="138">
        <f ca="1">OFFSET(IND!N$25,$E14,0)</f>
        <v>0.72826200000000008</v>
      </c>
      <c r="L14" s="138">
        <f ca="1">OFFSET(IND!O$25,$E14,0)</f>
        <v>0.72826200000000008</v>
      </c>
      <c r="M14" s="138">
        <f ca="1">OFFSET(IND!P$25,$E14,0)</f>
        <v>0.73456674169611313</v>
      </c>
      <c r="N14" s="138">
        <f ca="1">OFFSET(IND!Q$25,$E14,0)</f>
        <v>0.732894055123675</v>
      </c>
      <c r="O14" s="217">
        <f ca="1">OFFSET(IND!R$25,$E14,0)</f>
        <v>0.67383535229681979</v>
      </c>
      <c r="P14" s="138">
        <f ca="1">OFFSET(IND!S$25,$E14,0)</f>
        <v>0.70278678822064067</v>
      </c>
      <c r="Q14" s="138">
        <f ca="1">OFFSET(IND!T$25,$E14,0)</f>
        <v>0.72788631635850864</v>
      </c>
      <c r="R14" s="138">
        <f ca="1">OFFSET(IND!U$25,$E14,0)</f>
        <v>0.75435265048430711</v>
      </c>
      <c r="S14" s="138">
        <f ca="1">OFFSET(IND!V$25,$E14,0)</f>
        <v>0.78491940257467907</v>
      </c>
      <c r="T14" s="217">
        <f ca="1">OFFSET(IND!W$25,$E14,0)</f>
        <v>0.81846827682089041</v>
      </c>
      <c r="U14" s="138">
        <f ca="1">OFFSET(IND!X$25,$E14,0)</f>
        <v>0.85425374268380072</v>
      </c>
      <c r="V14" s="138">
        <f ca="1">OFFSET(IND!Y$25,$E14,0)</f>
        <v>0.89264856543289584</v>
      </c>
      <c r="W14" s="138">
        <f ca="1">OFFSET(IND!Z$25,$E14,0)</f>
        <v>0.93427402051733244</v>
      </c>
      <c r="X14" s="138">
        <f ca="1">OFFSET(IND!AA$25,$E14,0)</f>
        <v>0.98124244446432363</v>
      </c>
      <c r="Y14" s="219">
        <f ca="1">OFFSET(IND!AB$25,$E14,0)</f>
        <v>1.0309444803871595</v>
      </c>
      <c r="Z14" s="138">
        <f ca="1">OFFSET(IND!AC$25,$E14,0)</f>
        <v>1.0791554552313563</v>
      </c>
      <c r="AA14" s="138">
        <f ca="1">OFFSET(IND!AD$25,$E14,0)</f>
        <v>1.1302242971412082</v>
      </c>
      <c r="AB14" s="138">
        <f ca="1">OFFSET(IND!AE$25,$E14,0)</f>
        <v>1.1832812204878407</v>
      </c>
      <c r="AC14" s="138">
        <f ca="1">OFFSET(IND!AF$25,$E14,0)</f>
        <v>1.2395687761695622</v>
      </c>
      <c r="AD14" s="138">
        <f ca="1">OFFSET(IND!AG$25,$E14,0)</f>
        <v>1.2943652707727438</v>
      </c>
      <c r="AE14" s="138">
        <f ca="1">OFFSET(IND!AH$25,$E14,0)</f>
        <v>1.3510255917228513</v>
      </c>
      <c r="AF14" s="138">
        <f ca="1">OFFSET(IND!AI$25,$E14,0)</f>
        <v>1.4142714324333729</v>
      </c>
      <c r="AG14" s="138">
        <f ca="1">OFFSET(IND!AJ$25,$E14,0)</f>
        <v>1.4816176911076593</v>
      </c>
      <c r="AH14" s="138">
        <f ca="1">OFFSET(IND!AK$25,$E14,0)</f>
        <v>1.5531886228354934</v>
      </c>
      <c r="AI14" s="138">
        <f ca="1">OFFSET(IND!AL$25,$E14,0)</f>
        <v>1.6282386970778784</v>
      </c>
      <c r="AJ14" s="138">
        <f ca="1">OFFSET(IND!AM$25,$E14,0)</f>
        <v>2.0907161413372228</v>
      </c>
      <c r="AK14" s="138">
        <f ca="1">OFFSET(IND!AN$25,$E14,0)</f>
        <v>2.6870163173183301</v>
      </c>
      <c r="AL14" s="138">
        <f ca="1">OFFSET(IND!AO$25,$E14,0)</f>
        <v>3.7234901489385197</v>
      </c>
      <c r="AM14" s="138">
        <f ca="1">OFFSET(IND!AP$25,$E14,0)</f>
        <v>4.7822677691789623</v>
      </c>
      <c r="AQ14" s="4"/>
    </row>
    <row r="15" spans="1:56">
      <c r="A15" s="36" t="s">
        <v>315</v>
      </c>
      <c r="B15">
        <v>1.059192498941</v>
      </c>
      <c r="E15" s="141">
        <f ca="1">MATCH(F15,IND!$D$26:$D$255,0)</f>
        <v>109</v>
      </c>
      <c r="F15" s="4" t="str">
        <f t="shared" si="0"/>
        <v>ICPK</v>
      </c>
      <c r="G15" s="138">
        <f ca="1">OFFSET(IND!J$25,$E15,0)</f>
        <v>0.55647663194961794</v>
      </c>
      <c r="H15" s="138">
        <f ca="1">OFFSET(IND!K$25,$E15,0)</f>
        <v>0.57228263361453802</v>
      </c>
      <c r="I15" s="138">
        <f ca="1">OFFSET(IND!L$25,$E15,0)</f>
        <v>0.58229310133565393</v>
      </c>
      <c r="J15" s="138">
        <f ca="1">OFFSET(IND!M$25,$E15,0)</f>
        <v>0.80918000000000012</v>
      </c>
      <c r="K15" s="138">
        <f ca="1">OFFSET(IND!N$25,$E15,0)</f>
        <v>0.80918000000000012</v>
      </c>
      <c r="L15" s="138">
        <f ca="1">OFFSET(IND!O$25,$E15,0)</f>
        <v>0.80918000000000012</v>
      </c>
      <c r="M15" s="138">
        <f ca="1">OFFSET(IND!P$25,$E15,0)</f>
        <v>0.81618526855123685</v>
      </c>
      <c r="N15" s="138">
        <f ca="1">OFFSET(IND!Q$25,$E15,0)</f>
        <v>0.81432672791519445</v>
      </c>
      <c r="O15" s="217">
        <f ca="1">OFFSET(IND!R$25,$E15,0)</f>
        <v>0.74870594699646642</v>
      </c>
      <c r="P15" s="138">
        <f ca="1">OFFSET(IND!S$25,$E15,0)</f>
        <v>0.78087420913404515</v>
      </c>
      <c r="Q15" s="138">
        <f ca="1">OFFSET(IND!T$25,$E15,0)</f>
        <v>0.80876257373167615</v>
      </c>
      <c r="R15" s="138">
        <f ca="1">OFFSET(IND!U$25,$E15,0)</f>
        <v>0.83816961164922998</v>
      </c>
      <c r="S15" s="138">
        <f ca="1">OFFSET(IND!V$25,$E15,0)</f>
        <v>0.87213266952742108</v>
      </c>
      <c r="T15" s="217">
        <f ca="1">OFFSET(IND!W$25,$E15,0)</f>
        <v>0.90940919646765594</v>
      </c>
      <c r="U15" s="138">
        <f ca="1">OFFSET(IND!X$25,$E15,0)</f>
        <v>0.94917082520422291</v>
      </c>
      <c r="V15" s="138">
        <f ca="1">OFFSET(IND!Y$25,$E15,0)</f>
        <v>0.99183173936988411</v>
      </c>
      <c r="W15" s="138">
        <f ca="1">OFFSET(IND!Z$25,$E15,0)</f>
        <v>1.0380822450192582</v>
      </c>
      <c r="X15" s="138">
        <f ca="1">OFFSET(IND!AA$25,$E15,0)</f>
        <v>1.0902693827381373</v>
      </c>
      <c r="Y15" s="219">
        <f ca="1">OFFSET(IND!AB$25,$E15,0)</f>
        <v>1.1454938670968438</v>
      </c>
      <c r="Z15" s="138">
        <f ca="1">OFFSET(IND!AC$25,$E15,0)</f>
        <v>1.1990616169237291</v>
      </c>
      <c r="AA15" s="138">
        <f ca="1">OFFSET(IND!AD$25,$E15,0)</f>
        <v>1.2558047746013425</v>
      </c>
      <c r="AB15" s="138">
        <f ca="1">OFFSET(IND!AE$25,$E15,0)</f>
        <v>1.3147569116531566</v>
      </c>
      <c r="AC15" s="138">
        <f ca="1">OFFSET(IND!AF$25,$E15,0)</f>
        <v>1.3772986401884026</v>
      </c>
      <c r="AD15" s="138">
        <f ca="1">OFFSET(IND!AG$25,$E15,0)</f>
        <v>1.4381836341919378</v>
      </c>
      <c r="AE15" s="138">
        <f ca="1">OFFSET(IND!AH$25,$E15,0)</f>
        <v>1.501139546358724</v>
      </c>
      <c r="AF15" s="138">
        <f ca="1">OFFSET(IND!AI$25,$E15,0)</f>
        <v>1.5714127027037481</v>
      </c>
      <c r="AG15" s="138">
        <f ca="1">OFFSET(IND!AJ$25,$E15,0)</f>
        <v>1.6462418790085107</v>
      </c>
      <c r="AH15" s="138">
        <f ca="1">OFFSET(IND!AK$25,$E15,0)</f>
        <v>1.725765136483882</v>
      </c>
      <c r="AI15" s="138">
        <f ca="1">OFFSET(IND!AL$25,$E15,0)</f>
        <v>1.8091541078643096</v>
      </c>
      <c r="AJ15" s="138">
        <f ca="1">OFFSET(IND!AM$25,$E15,0)</f>
        <v>2.3230179348191369</v>
      </c>
      <c r="AK15" s="138">
        <f ca="1">OFFSET(IND!AN$25,$E15,0)</f>
        <v>2.9855736859092565</v>
      </c>
      <c r="AL15" s="138">
        <f ca="1">OFFSET(IND!AO$25,$E15,0)</f>
        <v>4.1372112765983564</v>
      </c>
      <c r="AM15" s="138">
        <f ca="1">OFFSET(IND!AP$25,$E15,0)</f>
        <v>5.3136308546432929</v>
      </c>
      <c r="AQ15" s="4"/>
    </row>
    <row r="16" spans="1:56">
      <c r="A16" s="36" t="s">
        <v>316</v>
      </c>
      <c r="B16">
        <v>0.63551549936469998</v>
      </c>
      <c r="E16" s="141">
        <f ca="1">MATCH(F16,IND!$D$26:$D$255,0)</f>
        <v>111</v>
      </c>
      <c r="F16" s="4" t="str">
        <f t="shared" si="0"/>
        <v>ICPL</v>
      </c>
      <c r="G16" s="138">
        <f ca="1">OFFSET(IND!J$25,$E16,0)</f>
        <v>0.3338859791697707</v>
      </c>
      <c r="H16" s="138">
        <f ca="1">OFFSET(IND!K$25,$E16,0)</f>
        <v>0.34336958016872271</v>
      </c>
      <c r="I16" s="138">
        <f ca="1">OFFSET(IND!L$25,$E16,0)</f>
        <v>0.34937586080139227</v>
      </c>
      <c r="J16" s="138">
        <f ca="1">OFFSET(IND!M$25,$E16,0)</f>
        <v>0.48550800000000005</v>
      </c>
      <c r="K16" s="138">
        <f ca="1">OFFSET(IND!N$25,$E16,0)</f>
        <v>0.48550800000000005</v>
      </c>
      <c r="L16" s="138">
        <f ca="1">OFFSET(IND!O$25,$E16,0)</f>
        <v>0.48550800000000005</v>
      </c>
      <c r="M16" s="138">
        <f ca="1">OFFSET(IND!P$25,$E16,0)</f>
        <v>0.48971116113074209</v>
      </c>
      <c r="N16" s="138">
        <f ca="1">OFFSET(IND!Q$25,$E16,0)</f>
        <v>0.48859603674911667</v>
      </c>
      <c r="O16" s="217">
        <f ca="1">OFFSET(IND!R$25,$E16,0)</f>
        <v>0.4492235681978799</v>
      </c>
      <c r="P16" s="138">
        <f ca="1">OFFSET(IND!S$25,$E16,0)</f>
        <v>0.46852452548042717</v>
      </c>
      <c r="Q16" s="138">
        <f ca="1">OFFSET(IND!T$25,$E16,0)</f>
        <v>0.4852575442390058</v>
      </c>
      <c r="R16" s="138">
        <f ca="1">OFFSET(IND!U$25,$E16,0)</f>
        <v>0.50290176698953815</v>
      </c>
      <c r="S16" s="138">
        <f ca="1">OFFSET(IND!V$25,$E16,0)</f>
        <v>0.52327960171645282</v>
      </c>
      <c r="T16" s="217">
        <f ca="1">OFFSET(IND!W$25,$E16,0)</f>
        <v>0.54564551788059368</v>
      </c>
      <c r="U16" s="138">
        <f ca="1">OFFSET(IND!X$25,$E16,0)</f>
        <v>0.56950249512253392</v>
      </c>
      <c r="V16" s="138">
        <f ca="1">OFFSET(IND!Y$25,$E16,0)</f>
        <v>0.59509904362193067</v>
      </c>
      <c r="W16" s="138">
        <f ca="1">OFFSET(IND!Z$25,$E16,0)</f>
        <v>0.62284934701155503</v>
      </c>
      <c r="X16" s="138">
        <f ca="1">OFFSET(IND!AA$25,$E16,0)</f>
        <v>0.65416162964288249</v>
      </c>
      <c r="Y16" s="219">
        <f ca="1">OFFSET(IND!AB$25,$E16,0)</f>
        <v>0.68729632025810639</v>
      </c>
      <c r="Z16" s="138">
        <f ca="1">OFFSET(IND!AC$25,$E16,0)</f>
        <v>0.71943697015423758</v>
      </c>
      <c r="AA16" s="138">
        <f ca="1">OFFSET(IND!AD$25,$E16,0)</f>
        <v>0.75348286476080562</v>
      </c>
      <c r="AB16" s="138">
        <f ca="1">OFFSET(IND!AE$25,$E16,0)</f>
        <v>0.78885414699189393</v>
      </c>
      <c r="AC16" s="138">
        <f ca="1">OFFSET(IND!AF$25,$E16,0)</f>
        <v>0.82637918411304168</v>
      </c>
      <c r="AD16" s="138">
        <f ca="1">OFFSET(IND!AG$25,$E16,0)</f>
        <v>0.86291018051516277</v>
      </c>
      <c r="AE16" s="138">
        <f ca="1">OFFSET(IND!AH$25,$E16,0)</f>
        <v>0.90068372781523443</v>
      </c>
      <c r="AF16" s="138">
        <f ca="1">OFFSET(IND!AI$25,$E16,0)</f>
        <v>0.94284762162224889</v>
      </c>
      <c r="AG16" s="138">
        <f ca="1">OFFSET(IND!AJ$25,$E16,0)</f>
        <v>0.98774512740510645</v>
      </c>
      <c r="AH16" s="138">
        <f ca="1">OFFSET(IND!AK$25,$E16,0)</f>
        <v>1.0354590818903291</v>
      </c>
      <c r="AI16" s="138">
        <f ca="1">OFFSET(IND!AL$25,$E16,0)</f>
        <v>1.0854924647185857</v>
      </c>
      <c r="AJ16" s="138">
        <f ca="1">OFFSET(IND!AM$25,$E16,0)</f>
        <v>1.393810760891482</v>
      </c>
      <c r="AK16" s="138">
        <f ca="1">OFFSET(IND!AN$25,$E16,0)</f>
        <v>1.7913442115455538</v>
      </c>
      <c r="AL16" s="138">
        <f ca="1">OFFSET(IND!AO$25,$E16,0)</f>
        <v>2.4823267659590136</v>
      </c>
      <c r="AM16" s="138">
        <f ca="1">OFFSET(IND!AP$25,$E16,0)</f>
        <v>3.1881785127859752</v>
      </c>
      <c r="AQ16" s="4"/>
    </row>
    <row r="17" spans="1:43">
      <c r="A17" s="36" t="s">
        <v>317</v>
      </c>
      <c r="B17">
        <v>8.4735399915289999</v>
      </c>
      <c r="E17" s="141">
        <f ca="1">MATCH(F17,IND!$D$26:$D$255,0)</f>
        <v>116</v>
      </c>
      <c r="F17" s="4" t="str">
        <f t="shared" si="0"/>
        <v>ICPO</v>
      </c>
      <c r="G17" s="138">
        <f ca="1">OFFSET(IND!J$25,$E17,0)</f>
        <v>4.4518130555969435</v>
      </c>
      <c r="H17" s="138">
        <f ca="1">OFFSET(IND!K$25,$E17,0)</f>
        <v>4.5782610689163041</v>
      </c>
      <c r="I17" s="138">
        <f ca="1">OFFSET(IND!L$25,$E17,0)</f>
        <v>4.6583448106852314</v>
      </c>
      <c r="J17" s="138">
        <f ca="1">OFFSET(IND!M$25,$E17,0)</f>
        <v>6.473440000000001</v>
      </c>
      <c r="K17" s="138">
        <f ca="1">OFFSET(IND!N$25,$E17,0)</f>
        <v>6.473440000000001</v>
      </c>
      <c r="L17" s="138">
        <f ca="1">OFFSET(IND!O$25,$E17,0)</f>
        <v>6.473440000000001</v>
      </c>
      <c r="M17" s="138">
        <f ca="1">OFFSET(IND!P$25,$E17,0)</f>
        <v>6.5294821484098948</v>
      </c>
      <c r="N17" s="138">
        <f ca="1">OFFSET(IND!Q$25,$E17,0)</f>
        <v>6.5146138233215556</v>
      </c>
      <c r="O17" s="217">
        <f ca="1">OFFSET(IND!R$25,$E17,0)</f>
        <v>5.9896475759717314</v>
      </c>
      <c r="P17" s="138">
        <f ca="1">OFFSET(IND!S$25,$E17,0)</f>
        <v>6.2469936730723612</v>
      </c>
      <c r="Q17" s="138">
        <f ca="1">OFFSET(IND!T$25,$E17,0)</f>
        <v>6.4701005898534092</v>
      </c>
      <c r="R17" s="138">
        <f ca="1">OFFSET(IND!U$25,$E17,0)</f>
        <v>6.7053568931938399</v>
      </c>
      <c r="S17" s="138">
        <f ca="1">OFFSET(IND!V$25,$E17,0)</f>
        <v>6.9770613562193686</v>
      </c>
      <c r="T17" s="217">
        <f ca="1">OFFSET(IND!W$25,$E17,0)</f>
        <v>7.2752735717412476</v>
      </c>
      <c r="U17" s="138">
        <f ca="1">OFFSET(IND!X$25,$E17,0)</f>
        <v>7.5933666016337833</v>
      </c>
      <c r="V17" s="138">
        <f ca="1">OFFSET(IND!Y$25,$E17,0)</f>
        <v>7.9346539149590729</v>
      </c>
      <c r="W17" s="138">
        <f ca="1">OFFSET(IND!Z$25,$E17,0)</f>
        <v>8.3046579601540653</v>
      </c>
      <c r="X17" s="138">
        <f ca="1">OFFSET(IND!AA$25,$E17,0)</f>
        <v>8.7221550619050987</v>
      </c>
      <c r="Y17" s="219">
        <f ca="1">OFFSET(IND!AB$25,$E17,0)</f>
        <v>9.16395093677475</v>
      </c>
      <c r="Z17" s="138">
        <f ca="1">OFFSET(IND!AC$25,$E17,0)</f>
        <v>9.5924929353898332</v>
      </c>
      <c r="AA17" s="138">
        <f ca="1">OFFSET(IND!AD$25,$E17,0)</f>
        <v>10.04643819681074</v>
      </c>
      <c r="AB17" s="138">
        <f ca="1">OFFSET(IND!AE$25,$E17,0)</f>
        <v>10.518055293225252</v>
      </c>
      <c r="AC17" s="138">
        <f ca="1">OFFSET(IND!AF$25,$E17,0)</f>
        <v>11.018389121507221</v>
      </c>
      <c r="AD17" s="138">
        <f ca="1">OFFSET(IND!AG$25,$E17,0)</f>
        <v>11.505469073535503</v>
      </c>
      <c r="AE17" s="138">
        <f ca="1">OFFSET(IND!AH$25,$E17,0)</f>
        <v>12.009116370869792</v>
      </c>
      <c r="AF17" s="138">
        <f ca="1">OFFSET(IND!AI$25,$E17,0)</f>
        <v>12.571301621629985</v>
      </c>
      <c r="AG17" s="138">
        <f ca="1">OFFSET(IND!AJ$25,$E17,0)</f>
        <v>13.169935032068086</v>
      </c>
      <c r="AH17" s="138">
        <f ca="1">OFFSET(IND!AK$25,$E17,0)</f>
        <v>13.806121091871056</v>
      </c>
      <c r="AI17" s="138">
        <f ca="1">OFFSET(IND!AL$25,$E17,0)</f>
        <v>14.473232862914477</v>
      </c>
      <c r="AJ17" s="138">
        <f ca="1">OFFSET(IND!AM$25,$E17,0)</f>
        <v>18.584143478553095</v>
      </c>
      <c r="AK17" s="138">
        <f ca="1">OFFSET(IND!AN$25,$E17,0)</f>
        <v>23.884589487274052</v>
      </c>
      <c r="AL17" s="138">
        <f ca="1">OFFSET(IND!AO$25,$E17,0)</f>
        <v>33.097690212786851</v>
      </c>
      <c r="AM17" s="138">
        <f ca="1">OFFSET(IND!AP$25,$E17,0)</f>
        <v>42.509046837146343</v>
      </c>
      <c r="AQ17" s="4"/>
    </row>
    <row r="18" spans="1:43">
      <c r="A18" s="36" t="s">
        <v>318</v>
      </c>
      <c r="B18">
        <v>14.828694985169999</v>
      </c>
      <c r="E18" s="141">
        <f ca="1">MATCH(F18,IND!$D$26:$D$255,0)</f>
        <v>114</v>
      </c>
      <c r="F18" s="4" t="str">
        <f t="shared" si="0"/>
        <v>ICPP</v>
      </c>
      <c r="G18" s="138">
        <f ca="1">OFFSET(IND!J$25,$E18,0)</f>
        <v>7.7906728472946494</v>
      </c>
      <c r="H18" s="138">
        <f ca="1">OFFSET(IND!K$25,$E18,0)</f>
        <v>8.0119568706035302</v>
      </c>
      <c r="I18" s="138">
        <f ca="1">OFFSET(IND!L$25,$E18,0)</f>
        <v>8.1521034186991539</v>
      </c>
      <c r="J18" s="138">
        <f ca="1">OFFSET(IND!M$25,$E18,0)</f>
        <v>11.328520000000001</v>
      </c>
      <c r="K18" s="138">
        <f ca="1">OFFSET(IND!N$25,$E18,0)</f>
        <v>11.328520000000001</v>
      </c>
      <c r="L18" s="138">
        <f ca="1">OFFSET(IND!O$25,$E18,0)</f>
        <v>11.328520000000001</v>
      </c>
      <c r="M18" s="138">
        <f ca="1">OFFSET(IND!P$25,$E18,0)</f>
        <v>11.426593759717315</v>
      </c>
      <c r="N18" s="138">
        <f ca="1">OFFSET(IND!Q$25,$E18,0)</f>
        <v>11.400574190812721</v>
      </c>
      <c r="O18" s="217">
        <f ca="1">OFFSET(IND!R$25,$E18,0)</f>
        <v>10.481883257950528</v>
      </c>
      <c r="P18" s="138">
        <f ca="1">OFFSET(IND!S$25,$E18,0)</f>
        <v>10.932238927876631</v>
      </c>
      <c r="Q18" s="138">
        <f ca="1">OFFSET(IND!T$25,$E18,0)</f>
        <v>11.322676032243464</v>
      </c>
      <c r="R18" s="138">
        <f ca="1">OFFSET(IND!U$25,$E18,0)</f>
        <v>11.734374563089219</v>
      </c>
      <c r="S18" s="138">
        <f ca="1">OFFSET(IND!V$25,$E18,0)</f>
        <v>12.209857373383894</v>
      </c>
      <c r="T18" s="217">
        <f ca="1">OFFSET(IND!W$25,$E18,0)</f>
        <v>12.731728750547182</v>
      </c>
      <c r="U18" s="138">
        <f ca="1">OFFSET(IND!X$25,$E18,0)</f>
        <v>13.288391552859119</v>
      </c>
      <c r="V18" s="138">
        <f ca="1">OFFSET(IND!Y$25,$E18,0)</f>
        <v>13.885644351178376</v>
      </c>
      <c r="W18" s="138">
        <f ca="1">OFFSET(IND!Z$25,$E18,0)</f>
        <v>14.533151430269612</v>
      </c>
      <c r="X18" s="138">
        <f ca="1">OFFSET(IND!AA$25,$E18,0)</f>
        <v>15.263771358333919</v>
      </c>
      <c r="Y18" s="219">
        <f ca="1">OFFSET(IND!AB$25,$E18,0)</f>
        <v>16.036914139355808</v>
      </c>
      <c r="Z18" s="138">
        <f ca="1">OFFSET(IND!AC$25,$E18,0)</f>
        <v>16.786862636932202</v>
      </c>
      <c r="AA18" s="138">
        <f ca="1">OFFSET(IND!AD$25,$E18,0)</f>
        <v>17.581266844418789</v>
      </c>
      <c r="AB18" s="138">
        <f ca="1">OFFSET(IND!AE$25,$E18,0)</f>
        <v>18.406596763144183</v>
      </c>
      <c r="AC18" s="138">
        <f ca="1">OFFSET(IND!AF$25,$E18,0)</f>
        <v>19.282180962637629</v>
      </c>
      <c r="AD18" s="138">
        <f ca="1">OFFSET(IND!AG$25,$E18,0)</f>
        <v>20.134570878687121</v>
      </c>
      <c r="AE18" s="138">
        <f ca="1">OFFSET(IND!AH$25,$E18,0)</f>
        <v>21.015953649022126</v>
      </c>
      <c r="AF18" s="138">
        <f ca="1">OFFSET(IND!AI$25,$E18,0)</f>
        <v>21.999777837852463</v>
      </c>
      <c r="AG18" s="138">
        <f ca="1">OFFSET(IND!AJ$25,$E18,0)</f>
        <v>23.04738630611914</v>
      </c>
      <c r="AH18" s="138">
        <f ca="1">OFFSET(IND!AK$25,$E18,0)</f>
        <v>24.160711910774335</v>
      </c>
      <c r="AI18" s="138">
        <f ca="1">OFFSET(IND!AL$25,$E18,0)</f>
        <v>25.328157510100322</v>
      </c>
      <c r="AJ18" s="138">
        <f ca="1">OFFSET(IND!AM$25,$E18,0)</f>
        <v>32.522251087467893</v>
      </c>
      <c r="AK18" s="138">
        <f ca="1">OFFSET(IND!AN$25,$E18,0)</f>
        <v>41.798031602729559</v>
      </c>
      <c r="AL18" s="138">
        <f ca="1">OFFSET(IND!AO$25,$E18,0)</f>
        <v>57.920957872376945</v>
      </c>
      <c r="AM18" s="138">
        <f ca="1">OFFSET(IND!AP$25,$E18,0)</f>
        <v>74.390831965006043</v>
      </c>
      <c r="AQ18" s="4"/>
    </row>
    <row r="19" spans="1:43">
      <c r="A19" s="36" t="s">
        <v>319</v>
      </c>
      <c r="B19">
        <v>32.941303389589997</v>
      </c>
      <c r="E19" s="141">
        <f ca="1">MATCH(F19,IND!$D$26:$D$255,0)</f>
        <v>119</v>
      </c>
      <c r="F19" s="4" t="str">
        <f t="shared" si="0"/>
        <v>ICPS</v>
      </c>
      <c r="G19" s="138">
        <f ca="1">OFFSET(IND!J$25,$E19,0)</f>
        <v>27.288197120140854</v>
      </c>
      <c r="H19" s="138">
        <f ca="1">OFFSET(IND!K$25,$E19,0)</f>
        <v>28.063283196266802</v>
      </c>
      <c r="I19" s="138">
        <f ca="1">OFFSET(IND!L$25,$E19,0)</f>
        <v>28.554171044479897</v>
      </c>
      <c r="J19" s="138">
        <f ca="1">OFFSET(IND!M$25,$E19,0)</f>
        <v>16.650368400000001</v>
      </c>
      <c r="K19" s="138">
        <f ca="1">OFFSET(IND!N$25,$E19,0)</f>
        <v>16.650368400000001</v>
      </c>
      <c r="L19" s="138">
        <f ca="1">OFFSET(IND!O$25,$E19,0)</f>
        <v>16.650368400000001</v>
      </c>
      <c r="M19" s="138">
        <f ca="1">OFFSET(IND!P$25,$E19,0)</f>
        <v>16.794514698869261</v>
      </c>
      <c r="N19" s="138">
        <f ca="1">OFFSET(IND!Q$25,$E19,0)</f>
        <v>16.756271803250886</v>
      </c>
      <c r="O19" s="217">
        <f ca="1">OFFSET(IND!R$25,$E19,0)</f>
        <v>15.406003411802121</v>
      </c>
      <c r="P19" s="138">
        <f ca="1">OFFSET(IND!S$25,$E19,0)</f>
        <v>16.067924634989122</v>
      </c>
      <c r="Q19" s="138">
        <f ca="1">OFFSET(IND!T$25,$E19,0)</f>
        <v>16.641779085944503</v>
      </c>
      <c r="R19" s="138">
        <f ca="1">OFFSET(IND!U$25,$E19,0)</f>
        <v>17.246883036709523</v>
      </c>
      <c r="S19" s="138">
        <f ca="1">OFFSET(IND!V$25,$E19,0)</f>
        <v>17.945735486921347</v>
      </c>
      <c r="T19" s="217">
        <f ca="1">OFFSET(IND!W$25,$E19,0)</f>
        <v>18.712768663998677</v>
      </c>
      <c r="U19" s="138">
        <f ca="1">OFFSET(IND!X$25,$E19,0)</f>
        <v>19.530937386221009</v>
      </c>
      <c r="V19" s="138">
        <f ca="1">OFFSET(IND!Y$25,$E19,0)</f>
        <v>20.408764244446665</v>
      </c>
      <c r="W19" s="138">
        <f ca="1">OFFSET(IND!Z$25,$E19,0)</f>
        <v>21.360453556773166</v>
      </c>
      <c r="X19" s="138">
        <f ca="1">OFFSET(IND!AA$25,$E19,0)</f>
        <v>22.434300004733906</v>
      </c>
      <c r="Y19" s="219">
        <f ca="1">OFFSET(IND!AB$25,$E19,0)</f>
        <v>23.570645452313553</v>
      </c>
      <c r="Z19" s="138">
        <f ca="1">OFFSET(IND!AC$25,$E19,0)</f>
        <v>24.672900536444001</v>
      </c>
      <c r="AA19" s="138">
        <f ca="1">OFFSET(IND!AD$25,$E19,0)</f>
        <v>25.840495483812386</v>
      </c>
      <c r="AB19" s="138">
        <f ca="1">OFFSET(IND!AE$25,$E19,0)</f>
        <v>27.053544249080918</v>
      </c>
      <c r="AC19" s="138">
        <f ca="1">OFFSET(IND!AF$25,$E19,0)</f>
        <v>28.340455468444521</v>
      </c>
      <c r="AD19" s="138">
        <f ca="1">OFFSET(IND!AG$25,$E19,0)</f>
        <v>29.593276324361192</v>
      </c>
      <c r="AE19" s="138">
        <f ca="1">OFFSET(IND!AH$25,$E19,0)</f>
        <v>30.888710134557972</v>
      </c>
      <c r="AF19" s="138">
        <f ca="1">OFFSET(IND!AI$25,$E19,0)</f>
        <v>32.334709716573649</v>
      </c>
      <c r="AG19" s="138">
        <f ca="1">OFFSET(IND!AJ$25,$E19,0)</f>
        <v>33.874457798017637</v>
      </c>
      <c r="AH19" s="138">
        <f ca="1">OFFSET(IND!AK$25,$E19,0)</f>
        <v>35.510795242508337</v>
      </c>
      <c r="AI19" s="138">
        <f ca="1">OFFSET(IND!AL$25,$E19,0)</f>
        <v>37.226676868328518</v>
      </c>
      <c r="AJ19" s="138">
        <f ca="1">OFFSET(IND!AM$25,$E19,0)</f>
        <v>47.800371257996716</v>
      </c>
      <c r="AK19" s="138">
        <f ca="1">OFFSET(IND!AN$25,$E19,0)</f>
        <v>61.433675765262322</v>
      </c>
      <c r="AL19" s="138">
        <f ca="1">OFFSET(IND!AO$25,$E19,0)</f>
        <v>85.130739642597291</v>
      </c>
      <c r="AM19" s="138">
        <f ca="1">OFFSET(IND!AP$25,$E19,0)</f>
        <v>109.33773853953089</v>
      </c>
      <c r="AQ19" s="4"/>
    </row>
    <row r="20" spans="1:43">
      <c r="A20" s="36" t="s">
        <v>320</v>
      </c>
      <c r="B20">
        <v>39.685391397639997</v>
      </c>
      <c r="E20" s="141">
        <f ca="1">MATCH(F20,IND!$D$26:$D$255,0)</f>
        <v>126</v>
      </c>
      <c r="F20" s="4" t="str">
        <f t="shared" si="0"/>
        <v>ICPT</v>
      </c>
      <c r="G20" s="138">
        <f ca="1">OFFSET(IND!J$25,$E20,0)</f>
        <v>39.004000030517574</v>
      </c>
      <c r="H20" s="138">
        <f ca="1">OFFSET(IND!K$25,$E20,0)</f>
        <v>40.11185839154345</v>
      </c>
      <c r="I20" s="138">
        <f ca="1">OFFSET(IND!L$25,$E20,0)</f>
        <v>40.813502020193162</v>
      </c>
      <c r="J20" s="138">
        <f ca="1">OFFSET(IND!M$25,$E20,0)</f>
        <v>28.64</v>
      </c>
      <c r="K20" s="138">
        <f ca="1">OFFSET(IND!N$25,$E20,0)</f>
        <v>28.64</v>
      </c>
      <c r="L20" s="138">
        <f ca="1">OFFSET(IND!O$25,$E20,0)</f>
        <v>28.64</v>
      </c>
      <c r="M20" s="138">
        <f ca="1">OFFSET(IND!P$25,$E20,0)</f>
        <v>28.887943462897528</v>
      </c>
      <c r="N20" s="138">
        <f ca="1">OFFSET(IND!Q$25,$E20,0)</f>
        <v>28.822162544169615</v>
      </c>
      <c r="O20" s="217">
        <f ca="1">OFFSET(IND!R$25,$E20,0)</f>
        <v>26.499590106007069</v>
      </c>
      <c r="P20" s="138">
        <f ca="1">OFFSET(IND!S$25,$E20,0)</f>
        <v>27.638148928049453</v>
      </c>
      <c r="Q20" s="138">
        <f ca="1">OFFSET(IND!T$25,$E20,0)</f>
        <v>28.625225674973688</v>
      </c>
      <c r="R20" s="138">
        <f ca="1">OFFSET(IND!U$25,$E20,0)</f>
        <v>29.666054125947195</v>
      </c>
      <c r="S20" s="138">
        <f ca="1">OFFSET(IND!V$25,$E20,0)</f>
        <v>30.868137689099264</v>
      </c>
      <c r="T20" s="217">
        <f ca="1">OFFSET(IND!W$25,$E20,0)</f>
        <v>32.187497697463691</v>
      </c>
      <c r="U20" s="138">
        <f ca="1">OFFSET(IND!X$25,$E20,0)</f>
        <v>33.594815039730278</v>
      </c>
      <c r="V20" s="138">
        <f ca="1">OFFSET(IND!Y$25,$E20,0)</f>
        <v>35.104749271550808</v>
      </c>
      <c r="W20" s="138">
        <f ca="1">OFFSET(IND!Z$25,$E20,0)</f>
        <v>36.74173298567878</v>
      </c>
      <c r="X20" s="138">
        <f ca="1">OFFSET(IND!AA$25,$E20,0)</f>
        <v>38.588836997479241</v>
      </c>
      <c r="Y20" s="219">
        <f ca="1">OFFSET(IND!AB$25,$E20,0)</f>
        <v>40.5434444173776</v>
      </c>
      <c r="Z20" s="138">
        <f ca="1">OFFSET(IND!AC$25,$E20,0)</f>
        <v>42.439413614641488</v>
      </c>
      <c r="AA20" s="138">
        <f ca="1">OFFSET(IND!AD$25,$E20,0)</f>
        <v>44.447772738553155</v>
      </c>
      <c r="AB20" s="138">
        <f ca="1">OFFSET(IND!AE$25,$E20,0)</f>
        <v>46.534316159255532</v>
      </c>
      <c r="AC20" s="138">
        <f ca="1">OFFSET(IND!AF$25,$E20,0)</f>
        <v>48.747909062255417</v>
      </c>
      <c r="AD20" s="138">
        <f ca="1">OFFSET(IND!AG$25,$E20,0)</f>
        <v>50.902863742624739</v>
      </c>
      <c r="AE20" s="138">
        <f ca="1">OFFSET(IND!AH$25,$E20,0)</f>
        <v>53.131116201233148</v>
      </c>
      <c r="AF20" s="138">
        <f ca="1">OFFSET(IND!AI$25,$E20,0)</f>
        <v>55.618354143003195</v>
      </c>
      <c r="AG20" s="138">
        <f ca="1">OFFSET(IND!AJ$25,$E20,0)</f>
        <v>58.266847196919997</v>
      </c>
      <c r="AH20" s="138">
        <f ca="1">OFFSET(IND!AK$25,$E20,0)</f>
        <v>61.081481881532362</v>
      </c>
      <c r="AI20" s="138">
        <f ca="1">OFFSET(IND!AL$25,$E20,0)</f>
        <v>64.03293908553573</v>
      </c>
      <c r="AJ20" s="138">
        <f ca="1">OFFSET(IND!AM$25,$E20,0)</f>
        <v>82.220561127585995</v>
      </c>
      <c r="AK20" s="138">
        <f ca="1">OFFSET(IND!AN$25,$E20,0)</f>
        <v>105.67096364769402</v>
      </c>
      <c r="AL20" s="138">
        <f ca="1">OFFSET(IND!AO$25,$E20,0)</f>
        <v>146.43185813017729</v>
      </c>
      <c r="AM20" s="138">
        <f ca="1">OFFSET(IND!AP$25,$E20,0)</f>
        <v>188.06988269233523</v>
      </c>
      <c r="AQ20" s="4"/>
    </row>
    <row r="21" spans="1:43">
      <c r="A21" s="36" t="s">
        <v>321</v>
      </c>
      <c r="B21">
        <v>5.3061366499999998E-2</v>
      </c>
      <c r="E21" s="141">
        <f ca="1">MATCH(F21,IND!$D$26:$D$255,0)</f>
        <v>169</v>
      </c>
      <c r="F21" s="4" t="str">
        <f t="shared" si="0"/>
        <v>IFBA</v>
      </c>
      <c r="G21" s="138">
        <f ca="1">OFFSET(IND!J$25,$E21,0)</f>
        <v>3.1931633262906718E-2</v>
      </c>
      <c r="H21" s="138">
        <f ca="1">OFFSET(IND!K$25,$E21,0)</f>
        <v>3.2518132649368273E-2</v>
      </c>
      <c r="I21" s="138">
        <f ca="1">OFFSET(IND!L$25,$E21,0)</f>
        <v>3.294000062910378E-2</v>
      </c>
      <c r="J21" s="138">
        <f ca="1">OFFSET(IND!M$25,$E21,0)</f>
        <v>2.9904000000000003E-2</v>
      </c>
      <c r="K21" s="138">
        <f ca="1">OFFSET(IND!N$25,$E21,0)</f>
        <v>2.9904000000000003E-2</v>
      </c>
      <c r="L21" s="138">
        <f ca="1">OFFSET(IND!O$25,$E21,0)</f>
        <v>2.9904000000000003E-2</v>
      </c>
      <c r="M21" s="138">
        <f ca="1">OFFSET(IND!P$25,$E21,0)</f>
        <v>3.0108842858603421E-2</v>
      </c>
      <c r="N21" s="138">
        <f ca="1">OFFSET(IND!Q$25,$E21,0)</f>
        <v>2.9873426439014417E-2</v>
      </c>
      <c r="O21" s="217">
        <f ca="1">OFFSET(IND!R$25,$E21,0)</f>
        <v>2.836920723852367E-2</v>
      </c>
      <c r="P21" s="138">
        <f ca="1">OFFSET(IND!S$25,$E21,0)</f>
        <v>2.9706768951462788E-2</v>
      </c>
      <c r="Q21" s="138">
        <f ca="1">OFFSET(IND!T$25,$E21,0)</f>
        <v>3.0831218106310197E-2</v>
      </c>
      <c r="R21" s="138">
        <f ca="1">OFFSET(IND!U$25,$E21,0)</f>
        <v>3.1933234360297151E-2</v>
      </c>
      <c r="S21" s="138">
        <f ca="1">OFFSET(IND!V$25,$E21,0)</f>
        <v>3.3183868582405872E-2</v>
      </c>
      <c r="T21" s="217">
        <f ca="1">OFFSET(IND!W$25,$E21,0)</f>
        <v>3.45354508583283E-2</v>
      </c>
      <c r="U21" s="138">
        <f ca="1">OFFSET(IND!X$25,$E21,0)</f>
        <v>3.5934703048545284E-2</v>
      </c>
      <c r="V21" s="138">
        <f ca="1">OFFSET(IND!Y$25,$E21,0)</f>
        <v>3.7404058053905981E-2</v>
      </c>
      <c r="W21" s="138">
        <f ca="1">OFFSET(IND!Z$25,$E21,0)</f>
        <v>3.8946319987015934E-2</v>
      </c>
      <c r="X21" s="138">
        <f ca="1">OFFSET(IND!AA$25,$E21,0)</f>
        <v>4.0701694478181748E-2</v>
      </c>
      <c r="Y21" s="219">
        <f ca="1">OFFSET(IND!AB$25,$E21,0)</f>
        <v>4.2515955334064076E-2</v>
      </c>
      <c r="Z21" s="138">
        <f ca="1">OFFSET(IND!AC$25,$E21,0)</f>
        <v>4.4209639347871872E-2</v>
      </c>
      <c r="AA21" s="138">
        <f ca="1">OFFSET(IND!AD$25,$E21,0)</f>
        <v>4.5979034402033311E-2</v>
      </c>
      <c r="AB21" s="138">
        <f ca="1">OFFSET(IND!AE$25,$E21,0)</f>
        <v>4.7717584217517171E-2</v>
      </c>
      <c r="AC21" s="138">
        <f ca="1">OFFSET(IND!AF$25,$E21,0)</f>
        <v>4.9604752001111738E-2</v>
      </c>
      <c r="AD21" s="138">
        <f ca="1">OFFSET(IND!AG$25,$E21,0)</f>
        <v>5.1393775843484264E-2</v>
      </c>
      <c r="AE21" s="138">
        <f ca="1">OFFSET(IND!AH$25,$E21,0)</f>
        <v>5.3194016136271123E-2</v>
      </c>
      <c r="AF21" s="138">
        <f ca="1">OFFSET(IND!AI$25,$E21,0)</f>
        <v>5.5215781324923205E-2</v>
      </c>
      <c r="AG21" s="138">
        <f ca="1">OFFSET(IND!AJ$25,$E21,0)</f>
        <v>5.7358123355622799E-2</v>
      </c>
      <c r="AH21" s="138">
        <f ca="1">OFFSET(IND!AK$25,$E21,0)</f>
        <v>5.9677124480488709E-2</v>
      </c>
      <c r="AI21" s="138">
        <f ca="1">OFFSET(IND!AL$25,$E21,0)</f>
        <v>6.2184001149943588E-2</v>
      </c>
      <c r="AJ21" s="138">
        <f ca="1">OFFSET(IND!AM$25,$E21,0)</f>
        <v>7.6885963541436134E-2</v>
      </c>
      <c r="AK21" s="138">
        <f ca="1">OFFSET(IND!AN$25,$E21,0)</f>
        <v>9.4650016898281952E-2</v>
      </c>
      <c r="AL21" s="138">
        <f ca="1">OFFSET(IND!AO$25,$E21,0)</f>
        <v>0.12660568415239543</v>
      </c>
      <c r="AM21" s="138">
        <f ca="1">OFFSET(IND!AP$25,$E21,0)</f>
        <v>0.1590716999007333</v>
      </c>
      <c r="AQ21" s="4"/>
    </row>
    <row r="22" spans="1:43">
      <c r="A22" s="36" t="s">
        <v>322</v>
      </c>
      <c r="B22">
        <v>12.204114317089999</v>
      </c>
      <c r="E22" s="141">
        <f ca="1">MATCH(F22,IND!$D$26:$D$255,0)</f>
        <v>171</v>
      </c>
      <c r="F22" s="4" t="str">
        <f t="shared" si="0"/>
        <v>IFBC</v>
      </c>
      <c r="G22" s="138">
        <f ca="1">OFFSET(IND!J$25,$E22,0)</f>
        <v>7.3442756504685454</v>
      </c>
      <c r="H22" s="138">
        <f ca="1">OFFSET(IND!K$25,$E22,0)</f>
        <v>7.4791705093547023</v>
      </c>
      <c r="I22" s="138">
        <f ca="1">OFFSET(IND!L$25,$E22,0)</f>
        <v>7.5762001446938685</v>
      </c>
      <c r="J22" s="138">
        <f ca="1">OFFSET(IND!M$25,$E22,0)</f>
        <v>6.8779200000000005</v>
      </c>
      <c r="K22" s="138">
        <f ca="1">OFFSET(IND!N$25,$E22,0)</f>
        <v>6.8779200000000005</v>
      </c>
      <c r="L22" s="138">
        <f ca="1">OFFSET(IND!O$25,$E22,0)</f>
        <v>6.8779200000000005</v>
      </c>
      <c r="M22" s="138">
        <f ca="1">OFFSET(IND!P$25,$E22,0)</f>
        <v>6.9250338574787866</v>
      </c>
      <c r="N22" s="138">
        <f ca="1">OFFSET(IND!Q$25,$E22,0)</f>
        <v>6.8708880809733159</v>
      </c>
      <c r="O22" s="217">
        <f ca="1">OFFSET(IND!R$25,$E22,0)</f>
        <v>6.5249176648604443</v>
      </c>
      <c r="P22" s="138">
        <f ca="1">OFFSET(IND!S$25,$E22,0)</f>
        <v>6.8325568588364414</v>
      </c>
      <c r="Q22" s="138">
        <f ca="1">OFFSET(IND!T$25,$E22,0)</f>
        <v>7.0911801644513455</v>
      </c>
      <c r="R22" s="138">
        <f ca="1">OFFSET(IND!U$25,$E22,0)</f>
        <v>7.3446439028683459</v>
      </c>
      <c r="S22" s="138">
        <f ca="1">OFFSET(IND!V$25,$E22,0)</f>
        <v>7.6322897739533522</v>
      </c>
      <c r="T22" s="217">
        <f ca="1">OFFSET(IND!W$25,$E22,0)</f>
        <v>7.9431536974155117</v>
      </c>
      <c r="U22" s="138">
        <f ca="1">OFFSET(IND!X$25,$E22,0)</f>
        <v>8.2649817011654179</v>
      </c>
      <c r="V22" s="138">
        <f ca="1">OFFSET(IND!Y$25,$E22,0)</f>
        <v>8.6029333523983791</v>
      </c>
      <c r="W22" s="138">
        <f ca="1">OFFSET(IND!Z$25,$E22,0)</f>
        <v>8.9576535970136693</v>
      </c>
      <c r="X22" s="138">
        <f ca="1">OFFSET(IND!AA$25,$E22,0)</f>
        <v>9.3613897299818056</v>
      </c>
      <c r="Y22" s="219">
        <f ca="1">OFFSET(IND!AB$25,$E22,0)</f>
        <v>9.7786697268347424</v>
      </c>
      <c r="Z22" s="138">
        <f ca="1">OFFSET(IND!AC$25,$E22,0)</f>
        <v>10.168217050010535</v>
      </c>
      <c r="AA22" s="138">
        <f ca="1">OFFSET(IND!AD$25,$E22,0)</f>
        <v>10.575177912467666</v>
      </c>
      <c r="AB22" s="138">
        <f ca="1">OFFSET(IND!AE$25,$E22,0)</f>
        <v>10.975044370028954</v>
      </c>
      <c r="AC22" s="138">
        <f ca="1">OFFSET(IND!AF$25,$E22,0)</f>
        <v>11.409092960255704</v>
      </c>
      <c r="AD22" s="138">
        <f ca="1">OFFSET(IND!AG$25,$E22,0)</f>
        <v>11.820568444001385</v>
      </c>
      <c r="AE22" s="138">
        <f ca="1">OFFSET(IND!AH$25,$E22,0)</f>
        <v>12.234623711342362</v>
      </c>
      <c r="AF22" s="138">
        <f ca="1">OFFSET(IND!AI$25,$E22,0)</f>
        <v>12.69962970473234</v>
      </c>
      <c r="AG22" s="138">
        <f ca="1">OFFSET(IND!AJ$25,$E22,0)</f>
        <v>13.192368371793247</v>
      </c>
      <c r="AH22" s="138">
        <f ca="1">OFFSET(IND!AK$25,$E22,0)</f>
        <v>13.725738630512407</v>
      </c>
      <c r="AI22" s="138">
        <f ca="1">OFFSET(IND!AL$25,$E22,0)</f>
        <v>14.302320264487028</v>
      </c>
      <c r="AJ22" s="138">
        <f ca="1">OFFSET(IND!AM$25,$E22,0)</f>
        <v>17.683771614530311</v>
      </c>
      <c r="AK22" s="138">
        <f ca="1">OFFSET(IND!AN$25,$E22,0)</f>
        <v>21.769503886604852</v>
      </c>
      <c r="AL22" s="138">
        <f ca="1">OFFSET(IND!AO$25,$E22,0)</f>
        <v>29.11930735505095</v>
      </c>
      <c r="AM22" s="138">
        <f ca="1">OFFSET(IND!AP$25,$E22,0)</f>
        <v>36.586490977168665</v>
      </c>
      <c r="AQ22" s="4"/>
    </row>
    <row r="23" spans="1:43">
      <c r="A23" s="36" t="s">
        <v>323</v>
      </c>
      <c r="B23" t="s">
        <v>386</v>
      </c>
      <c r="E23" s="141">
        <f ca="1">MATCH(F23,IND!$D$26:$D$255,0)</f>
        <v>176</v>
      </c>
      <c r="F23" s="4" t="str">
        <f t="shared" si="0"/>
        <v>IFBE</v>
      </c>
      <c r="G23" s="138">
        <f ca="1">OFFSET(IND!J$25,$E23,0)</f>
        <v>0</v>
      </c>
      <c r="H23" s="138">
        <f ca="1">OFFSET(IND!K$25,$E23,0)</f>
        <v>0</v>
      </c>
      <c r="I23" s="138">
        <f ca="1">OFFSET(IND!L$25,$E23,0)</f>
        <v>0</v>
      </c>
      <c r="J23" s="138">
        <f ca="1">OFFSET(IND!M$25,$E23,0)</f>
        <v>0</v>
      </c>
      <c r="K23" s="138">
        <f ca="1">OFFSET(IND!N$25,$E23,0)</f>
        <v>0</v>
      </c>
      <c r="L23" s="138">
        <f ca="1">OFFSET(IND!O$25,$E23,0)</f>
        <v>0</v>
      </c>
      <c r="M23" s="138">
        <f ca="1">OFFSET(IND!P$25,$E23,0)</f>
        <v>0</v>
      </c>
      <c r="N23" s="138">
        <f ca="1">OFFSET(IND!Q$25,$E23,0)</f>
        <v>0</v>
      </c>
      <c r="O23" s="217">
        <f ca="1">OFFSET(IND!R$25,$E23,0)</f>
        <v>0</v>
      </c>
      <c r="P23" s="138">
        <f ca="1">OFFSET(IND!S$25,$E23,0)</f>
        <v>0</v>
      </c>
      <c r="Q23" s="138">
        <f ca="1">OFFSET(IND!T$25,$E23,0)</f>
        <v>0</v>
      </c>
      <c r="R23" s="138">
        <f ca="1">OFFSET(IND!U$25,$E23,0)</f>
        <v>0</v>
      </c>
      <c r="S23" s="138">
        <f ca="1">OFFSET(IND!V$25,$E23,0)</f>
        <v>0</v>
      </c>
      <c r="T23" s="217">
        <f ca="1">OFFSET(IND!W$25,$E23,0)</f>
        <v>0</v>
      </c>
      <c r="U23" s="138">
        <f ca="1">OFFSET(IND!X$25,$E23,0)</f>
        <v>0</v>
      </c>
      <c r="V23" s="138">
        <f ca="1">OFFSET(IND!Y$25,$E23,0)</f>
        <v>0</v>
      </c>
      <c r="W23" s="138">
        <f ca="1">OFFSET(IND!Z$25,$E23,0)</f>
        <v>0</v>
      </c>
      <c r="X23" s="138">
        <f ca="1">OFFSET(IND!AA$25,$E23,0)</f>
        <v>0</v>
      </c>
      <c r="Y23" s="219">
        <f ca="1">OFFSET(IND!AB$25,$E23,0)</f>
        <v>0</v>
      </c>
      <c r="Z23" s="138">
        <f ca="1">OFFSET(IND!AC$25,$E23,0)</f>
        <v>0</v>
      </c>
      <c r="AA23" s="138">
        <f ca="1">OFFSET(IND!AD$25,$E23,0)</f>
        <v>0</v>
      </c>
      <c r="AB23" s="138">
        <f ca="1">OFFSET(IND!AE$25,$E23,0)</f>
        <v>0</v>
      </c>
      <c r="AC23" s="138">
        <f ca="1">OFFSET(IND!AF$25,$E23,0)</f>
        <v>0</v>
      </c>
      <c r="AD23" s="138">
        <f ca="1">OFFSET(IND!AG$25,$E23,0)</f>
        <v>0</v>
      </c>
      <c r="AE23" s="138">
        <f ca="1">OFFSET(IND!AH$25,$E23,0)</f>
        <v>0</v>
      </c>
      <c r="AF23" s="138">
        <f ca="1">OFFSET(IND!AI$25,$E23,0)</f>
        <v>0</v>
      </c>
      <c r="AG23" s="138">
        <f ca="1">OFFSET(IND!AJ$25,$E23,0)</f>
        <v>0</v>
      </c>
      <c r="AH23" s="138">
        <f ca="1">OFFSET(IND!AK$25,$E23,0)</f>
        <v>0</v>
      </c>
      <c r="AI23" s="138">
        <f ca="1">OFFSET(IND!AL$25,$E23,0)</f>
        <v>0</v>
      </c>
      <c r="AJ23" s="138">
        <f ca="1">OFFSET(IND!AM$25,$E23,0)</f>
        <v>0</v>
      </c>
      <c r="AK23" s="138">
        <f ca="1">OFFSET(IND!AN$25,$E23,0)</f>
        <v>0</v>
      </c>
      <c r="AL23" s="138">
        <f ca="1">OFFSET(IND!AO$25,$E23,0)</f>
        <v>0</v>
      </c>
      <c r="AM23" s="138">
        <f ca="1">OFFSET(IND!AP$25,$E23,0)</f>
        <v>0</v>
      </c>
      <c r="AQ23" s="4"/>
    </row>
    <row r="24" spans="1:43">
      <c r="A24" s="36" t="s">
        <v>324</v>
      </c>
      <c r="B24">
        <v>0.84898186553730004</v>
      </c>
      <c r="E24" s="141">
        <f ca="1">MATCH(F24,IND!$D$26:$D$255,0)</f>
        <v>174</v>
      </c>
      <c r="F24" s="4" t="str">
        <f t="shared" si="0"/>
        <v>IFBF</v>
      </c>
      <c r="G24" s="138">
        <f ca="1">OFFSET(IND!J$25,$E24,0)</f>
        <v>0.51090613220650749</v>
      </c>
      <c r="H24" s="138">
        <f ca="1">OFFSET(IND!K$25,$E24,0)</f>
        <v>0.52029012238989236</v>
      </c>
      <c r="I24" s="138">
        <f ca="1">OFFSET(IND!L$25,$E24,0)</f>
        <v>0.52704001006566048</v>
      </c>
      <c r="J24" s="138">
        <f ca="1">OFFSET(IND!M$25,$E24,0)</f>
        <v>0.47846400000000006</v>
      </c>
      <c r="K24" s="138">
        <f ca="1">OFFSET(IND!N$25,$E24,0)</f>
        <v>0.47846400000000006</v>
      </c>
      <c r="L24" s="138">
        <f ca="1">OFFSET(IND!O$25,$E24,0)</f>
        <v>0.47846400000000006</v>
      </c>
      <c r="M24" s="138">
        <f ca="1">OFFSET(IND!P$25,$E24,0)</f>
        <v>0.48174148573765474</v>
      </c>
      <c r="N24" s="138">
        <f ca="1">OFFSET(IND!Q$25,$E24,0)</f>
        <v>0.47797482302423067</v>
      </c>
      <c r="O24" s="217">
        <f ca="1">OFFSET(IND!R$25,$E24,0)</f>
        <v>0.45390731581637872</v>
      </c>
      <c r="P24" s="138">
        <f ca="1">OFFSET(IND!S$25,$E24,0)</f>
        <v>0.47530830322340462</v>
      </c>
      <c r="Q24" s="138">
        <f ca="1">OFFSET(IND!T$25,$E24,0)</f>
        <v>0.49329948970096316</v>
      </c>
      <c r="R24" s="138">
        <f ca="1">OFFSET(IND!U$25,$E24,0)</f>
        <v>0.51093174976475442</v>
      </c>
      <c r="S24" s="138">
        <f ca="1">OFFSET(IND!V$25,$E24,0)</f>
        <v>0.53094189731849395</v>
      </c>
      <c r="T24" s="217">
        <f ca="1">OFFSET(IND!W$25,$E24,0)</f>
        <v>0.55256721373325279</v>
      </c>
      <c r="U24" s="138">
        <f ca="1">OFFSET(IND!X$25,$E24,0)</f>
        <v>0.57495524877672455</v>
      </c>
      <c r="V24" s="138">
        <f ca="1">OFFSET(IND!Y$25,$E24,0)</f>
        <v>0.59846492886249569</v>
      </c>
      <c r="W24" s="138">
        <f ca="1">OFFSET(IND!Z$25,$E24,0)</f>
        <v>0.62314111979225495</v>
      </c>
      <c r="X24" s="138">
        <f ca="1">OFFSET(IND!AA$25,$E24,0)</f>
        <v>0.65122711165090796</v>
      </c>
      <c r="Y24" s="219">
        <f ca="1">OFFSET(IND!AB$25,$E24,0)</f>
        <v>0.68025528534502522</v>
      </c>
      <c r="Z24" s="138">
        <f ca="1">OFFSET(IND!AC$25,$E24,0)</f>
        <v>0.70735422956594995</v>
      </c>
      <c r="AA24" s="138">
        <f ca="1">OFFSET(IND!AD$25,$E24,0)</f>
        <v>0.73566455043253298</v>
      </c>
      <c r="AB24" s="138">
        <f ca="1">OFFSET(IND!AE$25,$E24,0)</f>
        <v>0.76348134748027474</v>
      </c>
      <c r="AC24" s="138">
        <f ca="1">OFFSET(IND!AF$25,$E24,0)</f>
        <v>0.7936760320177878</v>
      </c>
      <c r="AD24" s="138">
        <f ca="1">OFFSET(IND!AG$25,$E24,0)</f>
        <v>0.82230041349574823</v>
      </c>
      <c r="AE24" s="138">
        <f ca="1">OFFSET(IND!AH$25,$E24,0)</f>
        <v>0.85110425818033797</v>
      </c>
      <c r="AF24" s="138">
        <f ca="1">OFFSET(IND!AI$25,$E24,0)</f>
        <v>0.88345250119877128</v>
      </c>
      <c r="AG24" s="138">
        <f ca="1">OFFSET(IND!AJ$25,$E24,0)</f>
        <v>0.91772997368996478</v>
      </c>
      <c r="AH24" s="138">
        <f ca="1">OFFSET(IND!AK$25,$E24,0)</f>
        <v>0.95483399168781935</v>
      </c>
      <c r="AI24" s="138">
        <f ca="1">OFFSET(IND!AL$25,$E24,0)</f>
        <v>0.99494401839909741</v>
      </c>
      <c r="AJ24" s="138">
        <f ca="1">OFFSET(IND!AM$25,$E24,0)</f>
        <v>1.2301754166629781</v>
      </c>
      <c r="AK24" s="138">
        <f ca="1">OFFSET(IND!AN$25,$E24,0)</f>
        <v>1.5144002703725112</v>
      </c>
      <c r="AL24" s="138">
        <f ca="1">OFFSET(IND!AO$25,$E24,0)</f>
        <v>2.0256909464383268</v>
      </c>
      <c r="AM24" s="138">
        <f ca="1">OFFSET(IND!AP$25,$E24,0)</f>
        <v>2.5451471984117329</v>
      </c>
      <c r="AQ24" s="4"/>
    </row>
    <row r="25" spans="1:43">
      <c r="A25" s="36" t="s">
        <v>325</v>
      </c>
      <c r="B25">
        <v>1.432656898094</v>
      </c>
      <c r="E25" s="141">
        <f ca="1">MATCH(F25,IND!$D$26:$D$255,0)</f>
        <v>172</v>
      </c>
      <c r="F25" s="4" t="str">
        <f t="shared" si="0"/>
        <v>IFBH</v>
      </c>
      <c r="G25" s="138">
        <f ca="1">OFFSET(IND!J$25,$E25,0)</f>
        <v>0.86215409809848131</v>
      </c>
      <c r="H25" s="138">
        <f ca="1">OFFSET(IND!K$25,$E25,0)</f>
        <v>0.87798958153294326</v>
      </c>
      <c r="I25" s="138">
        <f ca="1">OFFSET(IND!L$25,$E25,0)</f>
        <v>0.88938001698580194</v>
      </c>
      <c r="J25" s="138">
        <f ca="1">OFFSET(IND!M$25,$E25,0)</f>
        <v>0.8074079999999999</v>
      </c>
      <c r="K25" s="138">
        <f ca="1">OFFSET(IND!N$25,$E25,0)</f>
        <v>0.8074079999999999</v>
      </c>
      <c r="L25" s="138">
        <f ca="1">OFFSET(IND!O$25,$E25,0)</f>
        <v>0.8074079999999999</v>
      </c>
      <c r="M25" s="138">
        <f ca="1">OFFSET(IND!P$25,$E25,0)</f>
        <v>0.81293875718229214</v>
      </c>
      <c r="N25" s="138">
        <f ca="1">OFFSET(IND!Q$25,$E25,0)</f>
        <v>0.80658251385338908</v>
      </c>
      <c r="O25" s="217">
        <f ca="1">OFFSET(IND!R$25,$E25,0)</f>
        <v>0.76596859544013896</v>
      </c>
      <c r="P25" s="138">
        <f ca="1">OFFSET(IND!S$25,$E25,0)</f>
        <v>0.80208276168949522</v>
      </c>
      <c r="Q25" s="138">
        <f ca="1">OFFSET(IND!T$25,$E25,0)</f>
        <v>0.83244288887037521</v>
      </c>
      <c r="R25" s="138">
        <f ca="1">OFFSET(IND!U$25,$E25,0)</f>
        <v>0.86219732772802304</v>
      </c>
      <c r="S25" s="138">
        <f ca="1">OFFSET(IND!V$25,$E25,0)</f>
        <v>0.89596445172495853</v>
      </c>
      <c r="T25" s="217">
        <f ca="1">OFFSET(IND!W$25,$E25,0)</f>
        <v>0.93245717317486421</v>
      </c>
      <c r="U25" s="138">
        <f ca="1">OFFSET(IND!X$25,$E25,0)</f>
        <v>0.97023698231072275</v>
      </c>
      <c r="V25" s="138">
        <f ca="1">OFFSET(IND!Y$25,$E25,0)</f>
        <v>1.0099095674554617</v>
      </c>
      <c r="W25" s="138">
        <f ca="1">OFFSET(IND!Z$25,$E25,0)</f>
        <v>1.0515506396494305</v>
      </c>
      <c r="X25" s="138">
        <f ca="1">OFFSET(IND!AA$25,$E25,0)</f>
        <v>1.0989457509109075</v>
      </c>
      <c r="Y25" s="219">
        <f ca="1">OFFSET(IND!AB$25,$E25,0)</f>
        <v>1.1479307940197305</v>
      </c>
      <c r="Z25" s="138">
        <f ca="1">OFFSET(IND!AC$25,$E25,0)</f>
        <v>1.193660262392541</v>
      </c>
      <c r="AA25" s="138">
        <f ca="1">OFFSET(IND!AD$25,$E25,0)</f>
        <v>1.2414339288548999</v>
      </c>
      <c r="AB25" s="138">
        <f ca="1">OFFSET(IND!AE$25,$E25,0)</f>
        <v>1.2883747738729641</v>
      </c>
      <c r="AC25" s="138">
        <f ca="1">OFFSET(IND!AF$25,$E25,0)</f>
        <v>1.3393283040300175</v>
      </c>
      <c r="AD25" s="138">
        <f ca="1">OFFSET(IND!AG$25,$E25,0)</f>
        <v>1.3876319477740757</v>
      </c>
      <c r="AE25" s="138">
        <f ca="1">OFFSET(IND!AH$25,$E25,0)</f>
        <v>1.436238435679321</v>
      </c>
      <c r="AF25" s="138">
        <f ca="1">OFFSET(IND!AI$25,$E25,0)</f>
        <v>1.4908260957729271</v>
      </c>
      <c r="AG25" s="138">
        <f ca="1">OFFSET(IND!AJ$25,$E25,0)</f>
        <v>1.5486693306018162</v>
      </c>
      <c r="AH25" s="138">
        <f ca="1">OFFSET(IND!AK$25,$E25,0)</f>
        <v>1.6112823609731959</v>
      </c>
      <c r="AI25" s="138">
        <f ca="1">OFFSET(IND!AL$25,$E25,0)</f>
        <v>1.6789680310484776</v>
      </c>
      <c r="AJ25" s="138">
        <f ca="1">OFFSET(IND!AM$25,$E25,0)</f>
        <v>2.0759210156187762</v>
      </c>
      <c r="AK25" s="138">
        <f ca="1">OFFSET(IND!AN$25,$E25,0)</f>
        <v>2.5555504562536138</v>
      </c>
      <c r="AL25" s="138">
        <f ca="1">OFFSET(IND!AO$25,$E25,0)</f>
        <v>3.4183534721146778</v>
      </c>
      <c r="AM25" s="138">
        <f ca="1">OFFSET(IND!AP$25,$E25,0)</f>
        <v>4.2949358973198013</v>
      </c>
      <c r="AQ25" s="4"/>
    </row>
    <row r="26" spans="1:43">
      <c r="A26" s="36" t="s">
        <v>326</v>
      </c>
      <c r="B26">
        <v>1.857147830862</v>
      </c>
      <c r="E26" s="141">
        <f ca="1">MATCH(F26,IND!$D$26:$D$255,0)</f>
        <v>168</v>
      </c>
      <c r="F26" s="4" t="str">
        <f t="shared" si="0"/>
        <v>IFBK</v>
      </c>
      <c r="G26" s="138">
        <f ca="1">OFFSET(IND!J$25,$E26,0)</f>
        <v>1.1176071642017353</v>
      </c>
      <c r="H26" s="138">
        <f ca="1">OFFSET(IND!K$25,$E26,0)</f>
        <v>1.1381346427278896</v>
      </c>
      <c r="I26" s="138">
        <f ca="1">OFFSET(IND!L$25,$E26,0)</f>
        <v>1.1529000220186323</v>
      </c>
      <c r="J26" s="138">
        <f ca="1">OFFSET(IND!M$25,$E26,0)</f>
        <v>1.04664</v>
      </c>
      <c r="K26" s="138">
        <f ca="1">OFFSET(IND!N$25,$E26,0)</f>
        <v>1.04664</v>
      </c>
      <c r="L26" s="138">
        <f ca="1">OFFSET(IND!O$25,$E26,0)</f>
        <v>1.04664</v>
      </c>
      <c r="M26" s="138">
        <f ca="1">OFFSET(IND!P$25,$E26,0)</f>
        <v>1.0538095000511196</v>
      </c>
      <c r="N26" s="138">
        <f ca="1">OFFSET(IND!Q$25,$E26,0)</f>
        <v>1.0455699253655044</v>
      </c>
      <c r="O26" s="217">
        <f ca="1">OFFSET(IND!R$25,$E26,0)</f>
        <v>0.99292225334832829</v>
      </c>
      <c r="P26" s="138">
        <f ca="1">OFFSET(IND!S$25,$E26,0)</f>
        <v>1.0397369133011976</v>
      </c>
      <c r="Q26" s="138">
        <f ca="1">OFFSET(IND!T$25,$E26,0)</f>
        <v>1.0790926337208568</v>
      </c>
      <c r="R26" s="138">
        <f ca="1">OFFSET(IND!U$25,$E26,0)</f>
        <v>1.1176632026104003</v>
      </c>
      <c r="S26" s="138">
        <f ca="1">OFFSET(IND!V$25,$E26,0)</f>
        <v>1.1614354003842056</v>
      </c>
      <c r="T26" s="217">
        <f ca="1">OFFSET(IND!W$25,$E26,0)</f>
        <v>1.2087407800414907</v>
      </c>
      <c r="U26" s="138">
        <f ca="1">OFFSET(IND!X$25,$E26,0)</f>
        <v>1.2577146066990852</v>
      </c>
      <c r="V26" s="138">
        <f ca="1">OFFSET(IND!Y$25,$E26,0)</f>
        <v>1.3091420318867095</v>
      </c>
      <c r="W26" s="138">
        <f ca="1">OFFSET(IND!Z$25,$E26,0)</f>
        <v>1.3631211995455581</v>
      </c>
      <c r="X26" s="138">
        <f ca="1">OFFSET(IND!AA$25,$E26,0)</f>
        <v>1.4245593067363616</v>
      </c>
      <c r="Y26" s="219">
        <f ca="1">OFFSET(IND!AB$25,$E26,0)</f>
        <v>1.4880584366922431</v>
      </c>
      <c r="Z26" s="138">
        <f ca="1">OFFSET(IND!AC$25,$E26,0)</f>
        <v>1.5473373771755159</v>
      </c>
      <c r="AA26" s="138">
        <f ca="1">OFFSET(IND!AD$25,$E26,0)</f>
        <v>1.6092662040711663</v>
      </c>
      <c r="AB26" s="138">
        <f ca="1">OFFSET(IND!AE$25,$E26,0)</f>
        <v>1.6701154476131015</v>
      </c>
      <c r="AC26" s="138">
        <f ca="1">OFFSET(IND!AF$25,$E26,0)</f>
        <v>1.7361663200389112</v>
      </c>
      <c r="AD26" s="138">
        <f ca="1">OFFSET(IND!AG$25,$E26,0)</f>
        <v>1.7987821545219498</v>
      </c>
      <c r="AE26" s="138">
        <f ca="1">OFFSET(IND!AH$25,$E26,0)</f>
        <v>1.8617905647694899</v>
      </c>
      <c r="AF26" s="138">
        <f ca="1">OFFSET(IND!AI$25,$E26,0)</f>
        <v>1.9325523463723127</v>
      </c>
      <c r="AG26" s="138">
        <f ca="1">OFFSET(IND!AJ$25,$E26,0)</f>
        <v>2.0075343174467983</v>
      </c>
      <c r="AH26" s="138">
        <f ca="1">OFFSET(IND!AK$25,$E26,0)</f>
        <v>2.0886993568171053</v>
      </c>
      <c r="AI26" s="138">
        <f ca="1">OFFSET(IND!AL$25,$E26,0)</f>
        <v>2.1764400402480262</v>
      </c>
      <c r="AJ26" s="138">
        <f ca="1">OFFSET(IND!AM$25,$E26,0)</f>
        <v>2.6910087239502651</v>
      </c>
      <c r="AK26" s="138">
        <f ca="1">OFFSET(IND!AN$25,$E26,0)</f>
        <v>3.3127505914398689</v>
      </c>
      <c r="AL26" s="138">
        <f ca="1">OFFSET(IND!AO$25,$E26,0)</f>
        <v>4.4311989453338407</v>
      </c>
      <c r="AM26" s="138">
        <f ca="1">OFFSET(IND!AP$25,$E26,0)</f>
        <v>5.5675094965256671</v>
      </c>
      <c r="AQ26" s="4"/>
    </row>
    <row r="27" spans="1:43">
      <c r="A27" s="36" t="s">
        <v>327</v>
      </c>
      <c r="B27">
        <v>0.39796024947059999</v>
      </c>
      <c r="E27" s="141">
        <f ca="1">MATCH(F27,IND!$D$26:$D$255,0)</f>
        <v>170</v>
      </c>
      <c r="F27" s="4" t="str">
        <f t="shared" si="0"/>
        <v>IFBL</v>
      </c>
      <c r="G27" s="138">
        <f ca="1">OFFSET(IND!J$25,$E27,0)</f>
        <v>0.23948724947180039</v>
      </c>
      <c r="H27" s="138">
        <f ca="1">OFFSET(IND!K$25,$E27,0)</f>
        <v>0.24388599487026202</v>
      </c>
      <c r="I27" s="138">
        <f ca="1">OFFSET(IND!L$25,$E27,0)</f>
        <v>0.24705000471827832</v>
      </c>
      <c r="J27" s="138">
        <f ca="1">OFFSET(IND!M$25,$E27,0)</f>
        <v>0.22428000000000001</v>
      </c>
      <c r="K27" s="138">
        <f ca="1">OFFSET(IND!N$25,$E27,0)</f>
        <v>0.22428000000000001</v>
      </c>
      <c r="L27" s="138">
        <f ca="1">OFFSET(IND!O$25,$E27,0)</f>
        <v>0.22428000000000001</v>
      </c>
      <c r="M27" s="138">
        <f ca="1">OFFSET(IND!P$25,$E27,0)</f>
        <v>0.22581632143952562</v>
      </c>
      <c r="N27" s="138">
        <f ca="1">OFFSET(IND!Q$25,$E27,0)</f>
        <v>0.2240506982926081</v>
      </c>
      <c r="O27" s="217">
        <f ca="1">OFFSET(IND!R$25,$E27,0)</f>
        <v>0.21276905428892751</v>
      </c>
      <c r="P27" s="138">
        <f ca="1">OFFSET(IND!S$25,$E27,0)</f>
        <v>0.22280076713597091</v>
      </c>
      <c r="Q27" s="138">
        <f ca="1">OFFSET(IND!T$25,$E27,0)</f>
        <v>0.23123413579732646</v>
      </c>
      <c r="R27" s="138">
        <f ca="1">OFFSET(IND!U$25,$E27,0)</f>
        <v>0.23949925770222863</v>
      </c>
      <c r="S27" s="138">
        <f ca="1">OFFSET(IND!V$25,$E27,0)</f>
        <v>0.24887901436804405</v>
      </c>
      <c r="T27" s="217">
        <f ca="1">OFFSET(IND!W$25,$E27,0)</f>
        <v>0.25901588143746229</v>
      </c>
      <c r="U27" s="138">
        <f ca="1">OFFSET(IND!X$25,$E27,0)</f>
        <v>0.26951027286408968</v>
      </c>
      <c r="V27" s="138">
        <f ca="1">OFFSET(IND!Y$25,$E27,0)</f>
        <v>0.2805304354042949</v>
      </c>
      <c r="W27" s="138">
        <f ca="1">OFFSET(IND!Z$25,$E27,0)</f>
        <v>0.29209739990261957</v>
      </c>
      <c r="X27" s="138">
        <f ca="1">OFFSET(IND!AA$25,$E27,0)</f>
        <v>0.30526270858636317</v>
      </c>
      <c r="Y27" s="219">
        <f ca="1">OFFSET(IND!AB$25,$E27,0)</f>
        <v>0.31886966500548064</v>
      </c>
      <c r="Z27" s="138">
        <f ca="1">OFFSET(IND!AC$25,$E27,0)</f>
        <v>0.33157229510903913</v>
      </c>
      <c r="AA27" s="138">
        <f ca="1">OFFSET(IND!AD$25,$E27,0)</f>
        <v>0.34484275801524994</v>
      </c>
      <c r="AB27" s="138">
        <f ca="1">OFFSET(IND!AE$25,$E27,0)</f>
        <v>0.35788188163137891</v>
      </c>
      <c r="AC27" s="138">
        <f ca="1">OFFSET(IND!AF$25,$E27,0)</f>
        <v>0.37203564000833816</v>
      </c>
      <c r="AD27" s="138">
        <f ca="1">OFFSET(IND!AG$25,$E27,0)</f>
        <v>0.38545331882613215</v>
      </c>
      <c r="AE27" s="138">
        <f ca="1">OFFSET(IND!AH$25,$E27,0)</f>
        <v>0.39895512102203357</v>
      </c>
      <c r="AF27" s="138">
        <f ca="1">OFFSET(IND!AI$25,$E27,0)</f>
        <v>0.41411835993692414</v>
      </c>
      <c r="AG27" s="138">
        <f ca="1">OFFSET(IND!AJ$25,$E27,0)</f>
        <v>0.43018592516717108</v>
      </c>
      <c r="AH27" s="138">
        <f ca="1">OFFSET(IND!AK$25,$E27,0)</f>
        <v>0.44757843360366545</v>
      </c>
      <c r="AI27" s="138">
        <f ca="1">OFFSET(IND!AL$25,$E27,0)</f>
        <v>0.46638000862457701</v>
      </c>
      <c r="AJ27" s="138">
        <f ca="1">OFFSET(IND!AM$25,$E27,0)</f>
        <v>0.57664472656077104</v>
      </c>
      <c r="AK27" s="138">
        <f ca="1">OFFSET(IND!AN$25,$E27,0)</f>
        <v>0.70987512673711473</v>
      </c>
      <c r="AL27" s="138">
        <f ca="1">OFFSET(IND!AO$25,$E27,0)</f>
        <v>0.94954263114296578</v>
      </c>
      <c r="AM27" s="138">
        <f ca="1">OFFSET(IND!AP$25,$E27,0)</f>
        <v>1.1930377492555</v>
      </c>
      <c r="AQ27" s="4"/>
    </row>
    <row r="28" spans="1:43">
      <c r="A28" s="36" t="s">
        <v>328</v>
      </c>
      <c r="B28">
        <v>4.45715479407</v>
      </c>
      <c r="E28" s="141">
        <f ca="1">MATCH(F28,IND!$D$26:$D$255,0)</f>
        <v>175</v>
      </c>
      <c r="F28" s="4" t="str">
        <f t="shared" si="0"/>
        <v>IFBO</v>
      </c>
      <c r="G28" s="138">
        <f ca="1">OFFSET(IND!J$25,$E28,0)</f>
        <v>2.6822571940841642</v>
      </c>
      <c r="H28" s="138">
        <f ca="1">OFFSET(IND!K$25,$E28,0)</f>
        <v>2.7315231425469344</v>
      </c>
      <c r="I28" s="138">
        <f ca="1">OFFSET(IND!L$25,$E28,0)</f>
        <v>2.7669600528447171</v>
      </c>
      <c r="J28" s="138">
        <f ca="1">OFFSET(IND!M$25,$E28,0)</f>
        <v>2.5119360000000004</v>
      </c>
      <c r="K28" s="138">
        <f ca="1">OFFSET(IND!N$25,$E28,0)</f>
        <v>2.5119360000000004</v>
      </c>
      <c r="L28" s="138">
        <f ca="1">OFFSET(IND!O$25,$E28,0)</f>
        <v>2.5119360000000004</v>
      </c>
      <c r="M28" s="138">
        <f ca="1">OFFSET(IND!P$25,$E28,0)</f>
        <v>2.5291428001226874</v>
      </c>
      <c r="N28" s="138">
        <f ca="1">OFFSET(IND!Q$25,$E28,0)</f>
        <v>2.5093678208772112</v>
      </c>
      <c r="O28" s="217">
        <f ca="1">OFFSET(IND!R$25,$E28,0)</f>
        <v>2.3830134080359886</v>
      </c>
      <c r="P28" s="138">
        <f ca="1">OFFSET(IND!S$25,$E28,0)</f>
        <v>2.4953685919228747</v>
      </c>
      <c r="Q28" s="138">
        <f ca="1">OFFSET(IND!T$25,$E28,0)</f>
        <v>2.589822320930057</v>
      </c>
      <c r="R28" s="138">
        <f ca="1">OFFSET(IND!U$25,$E28,0)</f>
        <v>2.6823916862649613</v>
      </c>
      <c r="S28" s="138">
        <f ca="1">OFFSET(IND!V$25,$E28,0)</f>
        <v>2.7874449609220942</v>
      </c>
      <c r="T28" s="217">
        <f ca="1">OFFSET(IND!W$25,$E28,0)</f>
        <v>2.9009778720995785</v>
      </c>
      <c r="U28" s="138">
        <f ca="1">OFFSET(IND!X$25,$E28,0)</f>
        <v>3.0185150560778053</v>
      </c>
      <c r="V28" s="138">
        <f ca="1">OFFSET(IND!Y$25,$E28,0)</f>
        <v>3.1419408765281038</v>
      </c>
      <c r="W28" s="138">
        <f ca="1">OFFSET(IND!Z$25,$E28,0)</f>
        <v>3.2714908789093404</v>
      </c>
      <c r="X28" s="138">
        <f ca="1">OFFSET(IND!AA$25,$E28,0)</f>
        <v>3.4189423361672686</v>
      </c>
      <c r="Y28" s="219">
        <f ca="1">OFFSET(IND!AB$25,$E28,0)</f>
        <v>3.5713402480613845</v>
      </c>
      <c r="Z28" s="138">
        <f ca="1">OFFSET(IND!AC$25,$E28,0)</f>
        <v>3.7136097052212396</v>
      </c>
      <c r="AA28" s="138">
        <f ca="1">OFFSET(IND!AD$25,$E28,0)</f>
        <v>3.8622388897708007</v>
      </c>
      <c r="AB28" s="138">
        <f ca="1">OFFSET(IND!AE$25,$E28,0)</f>
        <v>4.0082770742714446</v>
      </c>
      <c r="AC28" s="138">
        <f ca="1">OFFSET(IND!AF$25,$E28,0)</f>
        <v>4.1667991680933882</v>
      </c>
      <c r="AD28" s="138">
        <f ca="1">OFFSET(IND!AG$25,$E28,0)</f>
        <v>4.3170771708526807</v>
      </c>
      <c r="AE28" s="138">
        <f ca="1">OFFSET(IND!AH$25,$E28,0)</f>
        <v>4.4682973554467766</v>
      </c>
      <c r="AF28" s="138">
        <f ca="1">OFFSET(IND!AI$25,$E28,0)</f>
        <v>4.6381256312935513</v>
      </c>
      <c r="AG28" s="138">
        <f ca="1">OFFSET(IND!AJ$25,$E28,0)</f>
        <v>4.8180823618723174</v>
      </c>
      <c r="AH28" s="138">
        <f ca="1">OFFSET(IND!AK$25,$E28,0)</f>
        <v>5.0128784563610544</v>
      </c>
      <c r="AI28" s="138">
        <f ca="1">OFFSET(IND!AL$25,$E28,0)</f>
        <v>5.2234560965952639</v>
      </c>
      <c r="AJ28" s="138">
        <f ca="1">OFFSET(IND!AM$25,$E28,0)</f>
        <v>6.4584209374806374</v>
      </c>
      <c r="AK28" s="138">
        <f ca="1">OFFSET(IND!AN$25,$E28,0)</f>
        <v>7.9506014194556869</v>
      </c>
      <c r="AL28" s="138">
        <f ca="1">OFFSET(IND!AO$25,$E28,0)</f>
        <v>10.63487746880122</v>
      </c>
      <c r="AM28" s="138">
        <f ca="1">OFFSET(IND!AP$25,$E28,0)</f>
        <v>13.362022791661603</v>
      </c>
      <c r="AQ28" s="4"/>
    </row>
    <row r="29" spans="1:43">
      <c r="A29" s="36" t="s">
        <v>329</v>
      </c>
      <c r="B29">
        <v>5.9428730587610001</v>
      </c>
      <c r="E29" s="141">
        <f ca="1">MATCH(F29,IND!$D$26:$D$255,0)</f>
        <v>173</v>
      </c>
      <c r="F29" s="4" t="str">
        <f t="shared" si="0"/>
        <v>IFBP</v>
      </c>
      <c r="G29" s="138">
        <f ca="1">OFFSET(IND!J$25,$E29,0)</f>
        <v>3.576342925445553</v>
      </c>
      <c r="H29" s="138">
        <f ca="1">OFFSET(IND!K$25,$E29,0)</f>
        <v>3.6420308567292468</v>
      </c>
      <c r="I29" s="138">
        <f ca="1">OFFSET(IND!L$25,$E29,0)</f>
        <v>3.6892800704596236</v>
      </c>
      <c r="J29" s="138">
        <f ca="1">OFFSET(IND!M$25,$E29,0)</f>
        <v>3.3492480000000002</v>
      </c>
      <c r="K29" s="138">
        <f ca="1">OFFSET(IND!N$25,$E29,0)</f>
        <v>3.3492480000000002</v>
      </c>
      <c r="L29" s="138">
        <f ca="1">OFFSET(IND!O$25,$E29,0)</f>
        <v>3.3492480000000002</v>
      </c>
      <c r="M29" s="138">
        <f ca="1">OFFSET(IND!P$25,$E29,0)</f>
        <v>3.372190400163583</v>
      </c>
      <c r="N29" s="138">
        <f ca="1">OFFSET(IND!Q$25,$E29,0)</f>
        <v>3.3458237611696147</v>
      </c>
      <c r="O29" s="217">
        <f ca="1">OFFSET(IND!R$25,$E29,0)</f>
        <v>3.1773512107146513</v>
      </c>
      <c r="P29" s="138">
        <f ca="1">OFFSET(IND!S$25,$E29,0)</f>
        <v>3.3271581225638327</v>
      </c>
      <c r="Q29" s="138">
        <f ca="1">OFFSET(IND!T$25,$E29,0)</f>
        <v>3.4530964279067424</v>
      </c>
      <c r="R29" s="138">
        <f ca="1">OFFSET(IND!U$25,$E29,0)</f>
        <v>3.5765222483532817</v>
      </c>
      <c r="S29" s="138">
        <f ca="1">OFFSET(IND!V$25,$E29,0)</f>
        <v>3.7165932812294589</v>
      </c>
      <c r="T29" s="217">
        <f ca="1">OFFSET(IND!W$25,$E29,0)</f>
        <v>3.867970496132771</v>
      </c>
      <c r="U29" s="138">
        <f ca="1">OFFSET(IND!X$25,$E29,0)</f>
        <v>4.0246867414370735</v>
      </c>
      <c r="V29" s="138">
        <f ca="1">OFFSET(IND!Y$25,$E29,0)</f>
        <v>4.1892545020374721</v>
      </c>
      <c r="W29" s="138">
        <f ca="1">OFFSET(IND!Z$25,$E29,0)</f>
        <v>4.3619878385457875</v>
      </c>
      <c r="X29" s="138">
        <f ca="1">OFFSET(IND!AA$25,$E29,0)</f>
        <v>4.5585897815563587</v>
      </c>
      <c r="Y29" s="219">
        <f ca="1">OFFSET(IND!AB$25,$E29,0)</f>
        <v>4.7617869974151796</v>
      </c>
      <c r="Z29" s="138">
        <f ca="1">OFFSET(IND!AC$25,$E29,0)</f>
        <v>4.9514796069616525</v>
      </c>
      <c r="AA29" s="138">
        <f ca="1">OFFSET(IND!AD$25,$E29,0)</f>
        <v>5.1496518530277342</v>
      </c>
      <c r="AB29" s="138">
        <f ca="1">OFFSET(IND!AE$25,$E29,0)</f>
        <v>5.3443694323619271</v>
      </c>
      <c r="AC29" s="138">
        <f ca="1">OFFSET(IND!AF$25,$E29,0)</f>
        <v>5.5557322241245188</v>
      </c>
      <c r="AD29" s="138">
        <f ca="1">OFFSET(IND!AG$25,$E29,0)</f>
        <v>5.7561028944702421</v>
      </c>
      <c r="AE29" s="138">
        <f ca="1">OFFSET(IND!AH$25,$E29,0)</f>
        <v>5.9577298072623703</v>
      </c>
      <c r="AF29" s="138">
        <f ca="1">OFFSET(IND!AI$25,$E29,0)</f>
        <v>6.1841675083914032</v>
      </c>
      <c r="AG29" s="138">
        <f ca="1">OFFSET(IND!AJ$25,$E29,0)</f>
        <v>6.424109815829758</v>
      </c>
      <c r="AH29" s="138">
        <f ca="1">OFFSET(IND!AK$25,$E29,0)</f>
        <v>6.6838379418147404</v>
      </c>
      <c r="AI29" s="138">
        <f ca="1">OFFSET(IND!AL$25,$E29,0)</f>
        <v>6.964608128793687</v>
      </c>
      <c r="AJ29" s="138">
        <f ca="1">OFFSET(IND!AM$25,$E29,0)</f>
        <v>8.6112279166408534</v>
      </c>
      <c r="AK29" s="138">
        <f ca="1">OFFSET(IND!AN$25,$E29,0)</f>
        <v>10.600801892607587</v>
      </c>
      <c r="AL29" s="138">
        <f ca="1">OFFSET(IND!AO$25,$E29,0)</f>
        <v>14.179836625068297</v>
      </c>
      <c r="AM29" s="138">
        <f ca="1">OFFSET(IND!AP$25,$E29,0)</f>
        <v>17.816030388882144</v>
      </c>
      <c r="AQ29" s="4"/>
    </row>
    <row r="30" spans="1:43">
      <c r="A30" s="36" t="s">
        <v>330</v>
      </c>
      <c r="B30">
        <v>28.205650466129999</v>
      </c>
      <c r="E30" s="141">
        <f ca="1">MATCH(F30,IND!$D$26:$D$255,0)</f>
        <v>178</v>
      </c>
      <c r="F30" s="4" t="str">
        <f t="shared" si="0"/>
        <v>IFBS</v>
      </c>
      <c r="G30" s="138">
        <f ca="1">OFFSET(IND!J$25,$E30,0)</f>
        <v>20.421862032418336</v>
      </c>
      <c r="H30" s="138">
        <f ca="1">OFFSET(IND!K$25,$E30,0)</f>
        <v>20.79695745750357</v>
      </c>
      <c r="I30" s="138">
        <f ca="1">OFFSET(IND!L$25,$E30,0)</f>
        <v>21.066762938705232</v>
      </c>
      <c r="J30" s="138">
        <f ca="1">OFFSET(IND!M$25,$E30,0)</f>
        <v>6.8922304000000008</v>
      </c>
      <c r="K30" s="138">
        <f ca="1">OFFSET(IND!N$25,$E30,0)</f>
        <v>6.8922304000000008</v>
      </c>
      <c r="L30" s="138">
        <f ca="1">OFFSET(IND!O$25,$E30,0)</f>
        <v>6.8922304000000008</v>
      </c>
      <c r="M30" s="138">
        <f ca="1">OFFSET(IND!P$25,$E30,0)</f>
        <v>6.9394422839382486</v>
      </c>
      <c r="N30" s="138">
        <f ca="1">OFFSET(IND!Q$25,$E30,0)</f>
        <v>6.8851838501584703</v>
      </c>
      <c r="O30" s="217">
        <f ca="1">OFFSET(IND!R$25,$E30,0)</f>
        <v>6.5384935979552194</v>
      </c>
      <c r="P30" s="138">
        <f ca="1">OFFSET(IND!S$25,$E30,0)</f>
        <v>6.8467728749681633</v>
      </c>
      <c r="Q30" s="138">
        <f ca="1">OFFSET(IND!T$25,$E30,0)</f>
        <v>7.1059342797398868</v>
      </c>
      <c r="R30" s="138">
        <f ca="1">OFFSET(IND!U$25,$E30,0)</f>
        <v>7.3599253821684254</v>
      </c>
      <c r="S30" s="138">
        <f ca="1">OFFSET(IND!V$25,$E30,0)</f>
        <v>7.6481697376024176</v>
      </c>
      <c r="T30" s="217">
        <f ca="1">OFFSET(IND!W$25,$E30,0)</f>
        <v>7.9596804535672971</v>
      </c>
      <c r="U30" s="138">
        <f ca="1">OFFSET(IND!X$25,$E30,0)</f>
        <v>8.2821780620036289</v>
      </c>
      <c r="V30" s="138">
        <f ca="1">OFFSET(IND!Y$25,$E30,0)</f>
        <v>8.6208328652519963</v>
      </c>
      <c r="W30" s="138">
        <f ca="1">OFFSET(IND!Z$25,$E30,0)</f>
        <v>8.9762911511048316</v>
      </c>
      <c r="X30" s="138">
        <f ca="1">OFFSET(IND!AA$25,$E30,0)</f>
        <v>9.3808673091906236</v>
      </c>
      <c r="Y30" s="219">
        <f ca="1">OFFSET(IND!AB$25,$E30,0)</f>
        <v>9.7990155109175578</v>
      </c>
      <c r="Z30" s="138">
        <f ca="1">OFFSET(IND!AC$25,$E30,0)</f>
        <v>10.189373337561488</v>
      </c>
      <c r="AA30" s="138">
        <f ca="1">OFFSET(IND!AD$25,$E30,0)</f>
        <v>10.597180934602056</v>
      </c>
      <c r="AB30" s="138">
        <f ca="1">OFFSET(IND!AE$25,$E30,0)</f>
        <v>10.997879365922023</v>
      </c>
      <c r="AC30" s="138">
        <f ca="1">OFFSET(IND!AF$25,$E30,0)</f>
        <v>11.432831050244893</v>
      </c>
      <c r="AD30" s="138">
        <f ca="1">OFFSET(IND!AG$25,$E30,0)</f>
        <v>11.845162661826111</v>
      </c>
      <c r="AE30" s="138">
        <f ca="1">OFFSET(IND!AH$25,$E30,0)</f>
        <v>12.260079424575258</v>
      </c>
      <c r="AF30" s="138">
        <f ca="1">OFFSET(IND!AI$25,$E30,0)</f>
        <v>12.72605292293299</v>
      </c>
      <c r="AG30" s="138">
        <f ca="1">OFFSET(IND!AJ$25,$E30,0)</f>
        <v>13.219816796367496</v>
      </c>
      <c r="AH30" s="138">
        <f ca="1">OFFSET(IND!AK$25,$E30,0)</f>
        <v>13.754296800729289</v>
      </c>
      <c r="AI30" s="138">
        <f ca="1">OFFSET(IND!AL$25,$E30,0)</f>
        <v>14.332078087188213</v>
      </c>
      <c r="AJ30" s="138">
        <f ca="1">OFFSET(IND!AM$25,$E30,0)</f>
        <v>17.720564983065074</v>
      </c>
      <c r="AK30" s="138">
        <f ca="1">OFFSET(IND!AN$25,$E30,0)</f>
        <v>21.814798148302998</v>
      </c>
      <c r="AL30" s="138">
        <f ca="1">OFFSET(IND!AO$25,$E30,0)</f>
        <v>29.179893831191087</v>
      </c>
      <c r="AM30" s="138">
        <f ca="1">OFFSET(IND!AP$25,$E30,0)</f>
        <v>36.662613892305764</v>
      </c>
      <c r="AQ30" s="4"/>
    </row>
    <row r="31" spans="1:43">
      <c r="A31" s="36" t="s">
        <v>331</v>
      </c>
      <c r="B31">
        <v>1.0975498905550001</v>
      </c>
      <c r="E31" s="141">
        <f ca="1">MATCH(F31,IND!$D$26:$D$255,0)</f>
        <v>47</v>
      </c>
      <c r="F31" s="4" t="str">
        <f t="shared" si="0"/>
        <v>IMIA</v>
      </c>
      <c r="G31" s="138">
        <f ca="1">OFFSET(IND!J$25,$E31,0)</f>
        <v>0.99318058118269725</v>
      </c>
      <c r="H31" s="138">
        <f ca="1">OFFSET(IND!K$25,$E31,0)</f>
        <v>1.0193812422608317</v>
      </c>
      <c r="I31" s="138">
        <f ca="1">OFFSET(IND!L$25,$E31,0)</f>
        <v>1.0212123456398166</v>
      </c>
      <c r="J31" s="138">
        <f ca="1">OFFSET(IND!M$25,$E31,0)</f>
        <v>1.0228235984706235</v>
      </c>
      <c r="K31" s="138">
        <f ca="1">OFFSET(IND!N$25,$E31,0)</f>
        <v>1.0228235984706235</v>
      </c>
      <c r="L31" s="138">
        <f ca="1">OFFSET(IND!O$25,$E31,0)</f>
        <v>1.0228235984706235</v>
      </c>
      <c r="M31" s="138">
        <f ca="1">OFFSET(IND!P$25,$E31,0)</f>
        <v>1.0151524881224319</v>
      </c>
      <c r="N31" s="138">
        <f ca="1">OFFSET(IND!Q$25,$E31,0)</f>
        <v>1.000849843656753</v>
      </c>
      <c r="O31" s="217">
        <f ca="1">OFFSET(IND!R$25,$E31,0)</f>
        <v>0.92234418114356254</v>
      </c>
      <c r="P31" s="138">
        <f ca="1">OFFSET(IND!S$25,$E31,0)</f>
        <v>0.95160067225702971</v>
      </c>
      <c r="Q31" s="138">
        <f ca="1">OFFSET(IND!T$25,$E31,0)</f>
        <v>0.97689420750672751</v>
      </c>
      <c r="R31" s="138">
        <f ca="1">OFFSET(IND!U$25,$E31,0)</f>
        <v>1.0035790026711369</v>
      </c>
      <c r="S31" s="138">
        <f ca="1">OFFSET(IND!V$25,$E31,0)</f>
        <v>1.0347835516870643</v>
      </c>
      <c r="T31" s="217">
        <f ca="1">OFFSET(IND!W$25,$E31,0)</f>
        <v>1.0685125966935294</v>
      </c>
      <c r="U31" s="138">
        <f ca="1">OFFSET(IND!X$25,$E31,0)</f>
        <v>1.1078898048335108</v>
      </c>
      <c r="V31" s="138">
        <f ca="1">OFFSET(IND!Y$25,$E31,0)</f>
        <v>1.1516685482133269</v>
      </c>
      <c r="W31" s="138">
        <f ca="1">OFFSET(IND!Z$25,$E31,0)</f>
        <v>1.1999028785697106</v>
      </c>
      <c r="X31" s="138">
        <f ca="1">OFFSET(IND!AA$25,$E31,0)</f>
        <v>1.2528842892285319</v>
      </c>
      <c r="Y31" s="219">
        <f ca="1">OFFSET(IND!AB$25,$E31,0)</f>
        <v>1.308237472305392</v>
      </c>
      <c r="Z31" s="138">
        <f ca="1">OFFSET(IND!AC$25,$E31,0)</f>
        <v>1.3566006206805425</v>
      </c>
      <c r="AA31" s="138">
        <f ca="1">OFFSET(IND!AD$25,$E31,0)</f>
        <v>1.4086363158259776</v>
      </c>
      <c r="AB31" s="138">
        <f ca="1">OFFSET(IND!AE$25,$E31,0)</f>
        <v>1.4622459595871402</v>
      </c>
      <c r="AC31" s="138">
        <f ca="1">OFFSET(IND!AF$25,$E31,0)</f>
        <v>1.5177157244396449</v>
      </c>
      <c r="AD31" s="138">
        <f ca="1">OFFSET(IND!AG$25,$E31,0)</f>
        <v>1.5726131443407405</v>
      </c>
      <c r="AE31" s="138">
        <f ca="1">OFFSET(IND!AH$25,$E31,0)</f>
        <v>1.6260797018635891</v>
      </c>
      <c r="AF31" s="138">
        <f ca="1">OFFSET(IND!AI$25,$E31,0)</f>
        <v>1.6811679034147677</v>
      </c>
      <c r="AG31" s="138">
        <f ca="1">OFFSET(IND!AJ$25,$E31,0)</f>
        <v>1.7441258480451887</v>
      </c>
      <c r="AH31" s="138">
        <f ca="1">OFFSET(IND!AK$25,$E31,0)</f>
        <v>1.8115671614600526</v>
      </c>
      <c r="AI31" s="138">
        <f ca="1">OFFSET(IND!AL$25,$E31,0)</f>
        <v>1.8822517629316857</v>
      </c>
      <c r="AJ31" s="138">
        <f ca="1">OFFSET(IND!AM$25,$E31,0)</f>
        <v>2.3399846376473126</v>
      </c>
      <c r="AK31" s="138">
        <f ca="1">OFFSET(IND!AN$25,$E31,0)</f>
        <v>2.9922671003590655</v>
      </c>
      <c r="AL31" s="138">
        <f ca="1">OFFSET(IND!AO$25,$E31,0)</f>
        <v>4.0698575064537419</v>
      </c>
      <c r="AM31" s="138">
        <f ca="1">OFFSET(IND!AP$25,$E31,0)</f>
        <v>5.1798728438811157</v>
      </c>
      <c r="AQ31" s="4"/>
    </row>
    <row r="32" spans="1:43">
      <c r="A32" s="36" t="s">
        <v>332</v>
      </c>
      <c r="B32">
        <v>19.17682172608</v>
      </c>
      <c r="E32" s="141">
        <f ca="1">MATCH(F32,IND!$D$26:$D$255,0)</f>
        <v>49</v>
      </c>
      <c r="F32" s="4" t="str">
        <f t="shared" si="0"/>
        <v>IMIC</v>
      </c>
      <c r="G32" s="138">
        <f ca="1">OFFSET(IND!J$25,$E32,0)</f>
        <v>17.35324025908308</v>
      </c>
      <c r="H32" s="138">
        <f ca="1">OFFSET(IND!K$25,$E32,0)</f>
        <v>17.811028475294727</v>
      </c>
      <c r="I32" s="138">
        <f ca="1">OFFSET(IND!L$25,$E32,0)</f>
        <v>17.843022230989085</v>
      </c>
      <c r="J32" s="138">
        <f ca="1">OFFSET(IND!M$25,$E32,0)</f>
        <v>17.871174671764589</v>
      </c>
      <c r="K32" s="138">
        <f ca="1">OFFSET(IND!N$25,$E32,0)</f>
        <v>17.871174671764589</v>
      </c>
      <c r="L32" s="138">
        <f ca="1">OFFSET(IND!O$25,$E32,0)</f>
        <v>17.871174671764589</v>
      </c>
      <c r="M32" s="138">
        <f ca="1">OFFSET(IND!P$25,$E32,0)</f>
        <v>17.737142026092449</v>
      </c>
      <c r="N32" s="138">
        <f ca="1">OFFSET(IND!Q$25,$E32,0)</f>
        <v>17.48724061797429</v>
      </c>
      <c r="O32" s="217">
        <f ca="1">OFFSET(IND!R$25,$E32,0)</f>
        <v>16.115558922720439</v>
      </c>
      <c r="P32" s="138">
        <f ca="1">OFFSET(IND!S$25,$E32,0)</f>
        <v>16.626739798634418</v>
      </c>
      <c r="Q32" s="138">
        <f ca="1">OFFSET(IND!T$25,$E32,0)</f>
        <v>17.068678356944645</v>
      </c>
      <c r="R32" s="138">
        <f ca="1">OFFSET(IND!U$25,$E32,0)</f>
        <v>17.534925553603468</v>
      </c>
      <c r="S32" s="138">
        <f ca="1">OFFSET(IND!V$25,$E32,0)</f>
        <v>18.080143660470693</v>
      </c>
      <c r="T32" s="217">
        <f ca="1">OFFSET(IND!W$25,$E32,0)</f>
        <v>18.669470750424082</v>
      </c>
      <c r="U32" s="138">
        <f ca="1">OFFSET(IND!X$25,$E32,0)</f>
        <v>19.357484759690465</v>
      </c>
      <c r="V32" s="138">
        <f ca="1">OFFSET(IND!Y$25,$E32,0)</f>
        <v>20.122404117261897</v>
      </c>
      <c r="W32" s="138">
        <f ca="1">OFFSET(IND!Z$25,$E32,0)</f>
        <v>20.965173236260952</v>
      </c>
      <c r="X32" s="138">
        <f ca="1">OFFSET(IND!AA$25,$E32,0)</f>
        <v>21.890885202289159</v>
      </c>
      <c r="Y32" s="219">
        <f ca="1">OFFSET(IND!AB$25,$E32,0)</f>
        <v>22.858037705305193</v>
      </c>
      <c r="Z32" s="138">
        <f ca="1">OFFSET(IND!AC$25,$E32,0)</f>
        <v>23.703057583201183</v>
      </c>
      <c r="AA32" s="138">
        <f ca="1">OFFSET(IND!AD$25,$E32,0)</f>
        <v>24.612245637232448</v>
      </c>
      <c r="AB32" s="138">
        <f ca="1">OFFSET(IND!AE$25,$E32,0)</f>
        <v>25.548934338176934</v>
      </c>
      <c r="AC32" s="138">
        <f ca="1">OFFSET(IND!AF$25,$E32,0)</f>
        <v>26.518123803655708</v>
      </c>
      <c r="AD32" s="138">
        <f ca="1">OFFSET(IND!AG$25,$E32,0)</f>
        <v>27.4773130338892</v>
      </c>
      <c r="AE32" s="138">
        <f ca="1">OFFSET(IND!AH$25,$E32,0)</f>
        <v>28.411501676014296</v>
      </c>
      <c r="AF32" s="138">
        <f ca="1">OFFSET(IND!AI$25,$E32,0)</f>
        <v>29.374024317989459</v>
      </c>
      <c r="AG32" s="138">
        <f ca="1">OFFSET(IND!AJ$25,$E32,0)</f>
        <v>30.474050194541281</v>
      </c>
      <c r="AH32" s="138">
        <f ca="1">OFFSET(IND!AK$25,$E32,0)</f>
        <v>31.652411247153296</v>
      </c>
      <c r="AI32" s="138">
        <f ca="1">OFFSET(IND!AL$25,$E32,0)</f>
        <v>32.88744029946735</v>
      </c>
      <c r="AJ32" s="138">
        <f ca="1">OFFSET(IND!AM$25,$E32,0)</f>
        <v>40.885128433846909</v>
      </c>
      <c r="AK32" s="138">
        <f ca="1">OFFSET(IND!AN$25,$E32,0)</f>
        <v>52.282063197456893</v>
      </c>
      <c r="AL32" s="138">
        <f ca="1">OFFSET(IND!AO$25,$E32,0)</f>
        <v>71.110144990574412</v>
      </c>
      <c r="AM32" s="138">
        <f ca="1">OFFSET(IND!AP$25,$E32,0)</f>
        <v>90.504767888563848</v>
      </c>
      <c r="AQ32" s="4"/>
    </row>
    <row r="33" spans="1:43">
      <c r="A33" s="36" t="s">
        <v>333</v>
      </c>
      <c r="B33">
        <v>0.20646280210080001</v>
      </c>
      <c r="E33" s="141">
        <f ca="1">MATCH(F33,IND!$D$26:$D$255,0)</f>
        <v>54</v>
      </c>
      <c r="F33" s="4" t="str">
        <f t="shared" si="0"/>
        <v>IMIE</v>
      </c>
      <c r="G33" s="138">
        <f ca="1">OFFSET(IND!J$25,$E33,0)</f>
        <v>0.18682963530638833</v>
      </c>
      <c r="H33" s="138">
        <f ca="1">OFFSET(IND!K$25,$E33,0)</f>
        <v>0.19175830592959464</v>
      </c>
      <c r="I33" s="138">
        <f ca="1">OFFSET(IND!L$25,$E33,0)</f>
        <v>0.1921027592777427</v>
      </c>
      <c r="J33" s="138">
        <f ca="1">OFFSET(IND!M$25,$E33,0)</f>
        <v>0.19240585599999999</v>
      </c>
      <c r="K33" s="138">
        <f ca="1">OFFSET(IND!N$25,$E33,0)</f>
        <v>0.19240585599999999</v>
      </c>
      <c r="L33" s="138">
        <f ca="1">OFFSET(IND!O$25,$E33,0)</f>
        <v>0.19240585599999999</v>
      </c>
      <c r="M33" s="138">
        <f ca="1">OFFSET(IND!P$25,$E33,0)</f>
        <v>0.19096282461587744</v>
      </c>
      <c r="N33" s="138">
        <f ca="1">OFFSET(IND!Q$25,$E33,0)</f>
        <v>0.18827231908237452</v>
      </c>
      <c r="O33" s="217">
        <f ca="1">OFFSET(IND!R$25,$E33,0)</f>
        <v>0.17350442633988872</v>
      </c>
      <c r="P33" s="138">
        <f ca="1">OFFSET(IND!S$25,$E33,0)</f>
        <v>0.17900793664670994</v>
      </c>
      <c r="Q33" s="138">
        <f ca="1">OFFSET(IND!T$25,$E33,0)</f>
        <v>0.18376596560523328</v>
      </c>
      <c r="R33" s="138">
        <f ca="1">OFFSET(IND!U$25,$E33,0)</f>
        <v>0.18878570787894491</v>
      </c>
      <c r="S33" s="138">
        <f ca="1">OFFSET(IND!V$25,$E33,0)</f>
        <v>0.19465567213620377</v>
      </c>
      <c r="T33" s="217">
        <f ca="1">OFFSET(IND!W$25,$E33,0)</f>
        <v>0.20100052552659789</v>
      </c>
      <c r="U33" s="138">
        <f ca="1">OFFSET(IND!X$25,$E33,0)</f>
        <v>0.20840786873845957</v>
      </c>
      <c r="V33" s="138">
        <f ca="1">OFFSET(IND!Y$25,$E33,0)</f>
        <v>0.21664319554084541</v>
      </c>
      <c r="W33" s="138">
        <f ca="1">OFFSET(IND!Z$25,$E33,0)</f>
        <v>0.22571667373853616</v>
      </c>
      <c r="X33" s="138">
        <f ca="1">OFFSET(IND!AA$25,$E33,0)</f>
        <v>0.23568313685606737</v>
      </c>
      <c r="Y33" s="219">
        <f ca="1">OFFSET(IND!AB$25,$E33,0)</f>
        <v>0.24609575990089427</v>
      </c>
      <c r="Z33" s="138">
        <f ca="1">OFFSET(IND!AC$25,$E33,0)</f>
        <v>0.25519347037207391</v>
      </c>
      <c r="AA33" s="138">
        <f ca="1">OFFSET(IND!AD$25,$E33,0)</f>
        <v>0.26498203262462933</v>
      </c>
      <c r="AB33" s="138">
        <f ca="1">OFFSET(IND!AE$25,$E33,0)</f>
        <v>0.27506667421203967</v>
      </c>
      <c r="AC33" s="138">
        <f ca="1">OFFSET(IND!AF$25,$E33,0)</f>
        <v>0.2855012277406474</v>
      </c>
      <c r="AD33" s="138">
        <f ca="1">OFFSET(IND!AG$25,$E33,0)</f>
        <v>0.29582811605653631</v>
      </c>
      <c r="AE33" s="138">
        <f ca="1">OFFSET(IND!AH$25,$E33,0)</f>
        <v>0.30588584134068009</v>
      </c>
      <c r="AF33" s="138">
        <f ca="1">OFFSET(IND!AI$25,$E33,0)</f>
        <v>0.31624861806073584</v>
      </c>
      <c r="AG33" s="138">
        <f ca="1">OFFSET(IND!AJ$25,$E33,0)</f>
        <v>0.3280917914551798</v>
      </c>
      <c r="AH33" s="138">
        <f ca="1">OFFSET(IND!AK$25,$E33,0)</f>
        <v>0.34077834234895432</v>
      </c>
      <c r="AI33" s="138">
        <f ca="1">OFFSET(IND!AL$25,$E33,0)</f>
        <v>0.35407499611457333</v>
      </c>
      <c r="AJ33" s="138">
        <f ca="1">OFFSET(IND!AM$25,$E33,0)</f>
        <v>0.440180249953738</v>
      </c>
      <c r="AK33" s="138">
        <f ca="1">OFFSET(IND!AN$25,$E33,0)</f>
        <v>0.56288270400300033</v>
      </c>
      <c r="AL33" s="138">
        <f ca="1">OFFSET(IND!AO$25,$E33,0)</f>
        <v>0.76559087852307472</v>
      </c>
      <c r="AM33" s="138">
        <f ca="1">OFFSET(IND!AP$25,$E33,0)</f>
        <v>0.97439858641150068</v>
      </c>
      <c r="AQ33" s="4"/>
    </row>
    <row r="34" spans="1:43">
      <c r="A34" s="36" t="s">
        <v>334</v>
      </c>
      <c r="B34">
        <v>6.5077475668130003</v>
      </c>
      <c r="E34" s="141">
        <f ca="1">MATCH(F34,IND!$D$26:$D$255,0)</f>
        <v>52</v>
      </c>
      <c r="F34" s="4" t="str">
        <f t="shared" si="0"/>
        <v>IMIF</v>
      </c>
      <c r="G34" s="138">
        <f ca="1">OFFSET(IND!J$25,$E34,0)</f>
        <v>5.8889063414920679</v>
      </c>
      <c r="H34" s="138">
        <f ca="1">OFFSET(IND!K$25,$E34,0)</f>
        <v>6.0442589954782893</v>
      </c>
      <c r="I34" s="138">
        <f ca="1">OFFSET(IND!L$25,$E34,0)</f>
        <v>6.055116231820536</v>
      </c>
      <c r="J34" s="138">
        <f ca="1">OFFSET(IND!M$25,$E34,0)</f>
        <v>6.0646698992933636</v>
      </c>
      <c r="K34" s="138">
        <f ca="1">OFFSET(IND!N$25,$E34,0)</f>
        <v>6.0646698992933636</v>
      </c>
      <c r="L34" s="138">
        <f ca="1">OFFSET(IND!O$25,$E34,0)</f>
        <v>6.0646698992933636</v>
      </c>
      <c r="M34" s="138">
        <f ca="1">OFFSET(IND!P$25,$E34,0)</f>
        <v>6.0191852701819517</v>
      </c>
      <c r="N34" s="138">
        <f ca="1">OFFSET(IND!Q$25,$E34,0)</f>
        <v>5.9343800139276022</v>
      </c>
      <c r="O34" s="217">
        <f ca="1">OFFSET(IND!R$25,$E34,0)</f>
        <v>5.4688931703704782</v>
      </c>
      <c r="P34" s="138">
        <f ca="1">OFFSET(IND!S$25,$E34,0)</f>
        <v>5.6423648826775574</v>
      </c>
      <c r="Q34" s="138">
        <f ca="1">OFFSET(IND!T$25,$E34,0)</f>
        <v>5.792338878296083</v>
      </c>
      <c r="R34" s="138">
        <f ca="1">OFFSET(IND!U$25,$E34,0)</f>
        <v>5.9505621283700796</v>
      </c>
      <c r="S34" s="138">
        <f ca="1">OFFSET(IND!V$25,$E34,0)</f>
        <v>6.1355845402707123</v>
      </c>
      <c r="T34" s="217">
        <f ca="1">OFFSET(IND!W$25,$E34,0)</f>
        <v>6.3355755497551263</v>
      </c>
      <c r="U34" s="138">
        <f ca="1">OFFSET(IND!X$25,$E34,0)</f>
        <v>6.5690564444879387</v>
      </c>
      <c r="V34" s="138">
        <f ca="1">OFFSET(IND!Y$25,$E34,0)</f>
        <v>6.8286355425860403</v>
      </c>
      <c r="W34" s="138">
        <f ca="1">OFFSET(IND!Z$25,$E34,0)</f>
        <v>7.1146333352282234</v>
      </c>
      <c r="X34" s="138">
        <f ca="1">OFFSET(IND!AA$25,$E34,0)</f>
        <v>7.4287781857431119</v>
      </c>
      <c r="Y34" s="219">
        <f ca="1">OFFSET(IND!AB$25,$E34,0)</f>
        <v>7.7569860837015305</v>
      </c>
      <c r="Z34" s="138">
        <f ca="1">OFFSET(IND!AC$25,$E34,0)</f>
        <v>8.0437476823040654</v>
      </c>
      <c r="AA34" s="138">
        <f ca="1">OFFSET(IND!AD$25,$E34,0)</f>
        <v>8.3522850630500667</v>
      </c>
      <c r="AB34" s="138">
        <f ca="1">OFFSET(IND!AE$25,$E34,0)</f>
        <v>8.6701549218569092</v>
      </c>
      <c r="AC34" s="138">
        <f ca="1">OFFSET(IND!AF$25,$E34,0)</f>
        <v>8.9990540729176356</v>
      </c>
      <c r="AD34" s="138">
        <f ca="1">OFFSET(IND!AG$25,$E34,0)</f>
        <v>9.3245595955912073</v>
      </c>
      <c r="AE34" s="138">
        <f ca="1">OFFSET(IND!AH$25,$E34,0)</f>
        <v>9.6415810472985228</v>
      </c>
      <c r="AF34" s="138">
        <f ca="1">OFFSET(IND!AI$25,$E34,0)</f>
        <v>9.9682177794321873</v>
      </c>
      <c r="AG34" s="138">
        <f ca="1">OFFSET(IND!AJ$25,$E34,0)</f>
        <v>10.341516901873639</v>
      </c>
      <c r="AH34" s="138">
        <f ca="1">OFFSET(IND!AK$25,$E34,0)</f>
        <v>10.741399446671693</v>
      </c>
      <c r="AI34" s="138">
        <f ca="1">OFFSET(IND!AL$25,$E34,0)</f>
        <v>11.160512552323089</v>
      </c>
      <c r="AJ34" s="138">
        <f ca="1">OFFSET(IND!AM$25,$E34,0)</f>
        <v>13.874566853920836</v>
      </c>
      <c r="AK34" s="138">
        <f ca="1">OFFSET(IND!AN$25,$E34,0)</f>
        <v>17.742172004369007</v>
      </c>
      <c r="AL34" s="138">
        <f ca="1">OFFSET(IND!AO$25,$E34,0)</f>
        <v>24.131572981606425</v>
      </c>
      <c r="AM34" s="138">
        <f ca="1">OFFSET(IND!AP$25,$E34,0)</f>
        <v>30.713232433652308</v>
      </c>
      <c r="AQ34" s="4"/>
    </row>
    <row r="35" spans="1:43">
      <c r="A35" s="36" t="s">
        <v>335</v>
      </c>
      <c r="B35">
        <v>8.5041886448849997</v>
      </c>
      <c r="E35" s="141">
        <f ca="1">MATCH(F35,IND!$D$26:$D$255,0)</f>
        <v>50</v>
      </c>
      <c r="F35" s="4" t="str">
        <f t="shared" si="0"/>
        <v>IMIH</v>
      </c>
      <c r="G35" s="138">
        <f ca="1">OFFSET(IND!J$25,$E35,0)</f>
        <v>7.6954998524370488</v>
      </c>
      <c r="H35" s="138">
        <f ca="1">OFFSET(IND!K$25,$E35,0)</f>
        <v>7.8985114570542425</v>
      </c>
      <c r="I35" s="138">
        <f ca="1">OFFSET(IND!L$25,$E35,0)</f>
        <v>7.9126994668177781</v>
      </c>
      <c r="J35" s="138">
        <f ca="1">OFFSET(IND!M$25,$E35,0)</f>
        <v>7.9251840000000016</v>
      </c>
      <c r="K35" s="138">
        <f ca="1">OFFSET(IND!N$25,$E35,0)</f>
        <v>7.9251840000000016</v>
      </c>
      <c r="L35" s="138">
        <f ca="1">OFFSET(IND!O$25,$E35,0)</f>
        <v>7.9251840000000016</v>
      </c>
      <c r="M35" s="138">
        <f ca="1">OFFSET(IND!P$25,$E35,0)</f>
        <v>7.8657456363519334</v>
      </c>
      <c r="N35" s="138">
        <f ca="1">OFFSET(IND!Q$25,$E35,0)</f>
        <v>7.754923898129845</v>
      </c>
      <c r="O35" s="217">
        <f ca="1">OFFSET(IND!R$25,$E35,0)</f>
        <v>7.1466354098810019</v>
      </c>
      <c r="P35" s="138">
        <f ca="1">OFFSET(IND!S$25,$E35,0)</f>
        <v>7.373324621603615</v>
      </c>
      <c r="Q35" s="138">
        <f ca="1">OFFSET(IND!T$25,$E35,0)</f>
        <v>7.5693075077670482</v>
      </c>
      <c r="R35" s="138">
        <f ca="1">OFFSET(IND!U$25,$E35,0)</f>
        <v>7.7760703474164981</v>
      </c>
      <c r="S35" s="138">
        <f ca="1">OFFSET(IND!V$25,$E35,0)</f>
        <v>8.0178537722006169</v>
      </c>
      <c r="T35" s="217">
        <f ca="1">OFFSET(IND!W$25,$E35,0)</f>
        <v>8.2791978477774926</v>
      </c>
      <c r="U35" s="138">
        <f ca="1">OFFSET(IND!X$25,$E35,0)</f>
        <v>8.5843058061608115</v>
      </c>
      <c r="V35" s="138">
        <f ca="1">OFFSET(IND!Y$25,$E35,0)</f>
        <v>8.9235183517968419</v>
      </c>
      <c r="W35" s="138">
        <f ca="1">OFFSET(IND!Z$25,$E35,0)</f>
        <v>9.2972542958664839</v>
      </c>
      <c r="X35" s="138">
        <f ca="1">OFFSET(IND!AA$25,$E35,0)</f>
        <v>9.7077722274810423</v>
      </c>
      <c r="Y35" s="219">
        <f ca="1">OFFSET(IND!AB$25,$E35,0)</f>
        <v>10.136667455872082</v>
      </c>
      <c r="Z35" s="138">
        <f ca="1">OFFSET(IND!AC$25,$E35,0)</f>
        <v>10.511401525623189</v>
      </c>
      <c r="AA35" s="138">
        <f ca="1">OFFSET(IND!AD$25,$E35,0)</f>
        <v>10.91459173282227</v>
      </c>
      <c r="AB35" s="138">
        <f ca="1">OFFSET(IND!AE$25,$E35,0)</f>
        <v>11.329977427498212</v>
      </c>
      <c r="AC35" s="138">
        <f ca="1">OFFSET(IND!AF$25,$E35,0)</f>
        <v>11.759775971010658</v>
      </c>
      <c r="AD35" s="138">
        <f ca="1">OFFSET(IND!AG$25,$E35,0)</f>
        <v>12.185139791802422</v>
      </c>
      <c r="AE35" s="138">
        <f ca="1">OFFSET(IND!AH$25,$E35,0)</f>
        <v>12.599416805794615</v>
      </c>
      <c r="AF35" s="138">
        <f ca="1">OFFSET(IND!AI$25,$E35,0)</f>
        <v>13.026258867490276</v>
      </c>
      <c r="AG35" s="138">
        <f ca="1">OFFSET(IND!AJ$25,$E35,0)</f>
        <v>13.514078366574925</v>
      </c>
      <c r="AH35" s="138">
        <f ca="1">OFFSET(IND!AK$25,$E35,0)</f>
        <v>14.03663652695923</v>
      </c>
      <c r="AI35" s="138">
        <f ca="1">OFFSET(IND!AL$25,$E35,0)</f>
        <v>14.584324782751318</v>
      </c>
      <c r="AJ35" s="138">
        <f ca="1">OFFSET(IND!AM$25,$E35,0)</f>
        <v>18.130994277270691</v>
      </c>
      <c r="AK35" s="138">
        <f ca="1">OFFSET(IND!AN$25,$E35,0)</f>
        <v>23.185099936050381</v>
      </c>
      <c r="AL35" s="138">
        <f ca="1">OFFSET(IND!AO$25,$E35,0)</f>
        <v>31.53463572863927</v>
      </c>
      <c r="AM35" s="138">
        <f ca="1">OFFSET(IND!AP$25,$E35,0)</f>
        <v>40.135410881938292</v>
      </c>
      <c r="AQ35" s="4"/>
    </row>
    <row r="36" spans="1:43">
      <c r="A36" s="36" t="s">
        <v>336</v>
      </c>
      <c r="B36">
        <v>2.3622746235790002</v>
      </c>
      <c r="E36" s="141">
        <f ca="1">MATCH(F36,IND!$D$26:$D$255,0)</f>
        <v>46</v>
      </c>
      <c r="F36" s="4" t="str">
        <f t="shared" si="0"/>
        <v>IMIK</v>
      </c>
      <c r="G36" s="138">
        <f ca="1">OFFSET(IND!J$25,$E36,0)</f>
        <v>2.1376388478991801</v>
      </c>
      <c r="H36" s="138">
        <f ca="1">OFFSET(IND!K$25,$E36,0)</f>
        <v>2.1940309602928449</v>
      </c>
      <c r="I36" s="138">
        <f ca="1">OFFSET(IND!L$25,$E36,0)</f>
        <v>2.1979720741160493</v>
      </c>
      <c r="J36" s="138">
        <f ca="1">OFFSET(IND!M$25,$E36,0)</f>
        <v>2.2014400000000003</v>
      </c>
      <c r="K36" s="138">
        <f ca="1">OFFSET(IND!N$25,$E36,0)</f>
        <v>2.2014400000000003</v>
      </c>
      <c r="L36" s="138">
        <f ca="1">OFFSET(IND!O$25,$E36,0)</f>
        <v>2.2014400000000003</v>
      </c>
      <c r="M36" s="138">
        <f ca="1">OFFSET(IND!P$25,$E36,0)</f>
        <v>2.1849293434310924</v>
      </c>
      <c r="N36" s="138">
        <f ca="1">OFFSET(IND!Q$25,$E36,0)</f>
        <v>2.1541455272582901</v>
      </c>
      <c r="O36" s="217">
        <f ca="1">OFFSET(IND!R$25,$E36,0)</f>
        <v>1.9851765027447228</v>
      </c>
      <c r="P36" s="138">
        <f ca="1">OFFSET(IND!S$25,$E36,0)</f>
        <v>2.0481457282232265</v>
      </c>
      <c r="Q36" s="138">
        <f ca="1">OFFSET(IND!T$25,$E36,0)</f>
        <v>2.1025854188241802</v>
      </c>
      <c r="R36" s="138">
        <f ca="1">OFFSET(IND!U$25,$E36,0)</f>
        <v>2.1600195409490275</v>
      </c>
      <c r="S36" s="138">
        <f ca="1">OFFSET(IND!V$25,$E36,0)</f>
        <v>2.2271816033890603</v>
      </c>
      <c r="T36" s="217">
        <f ca="1">OFFSET(IND!W$25,$E36,0)</f>
        <v>2.2997771799381921</v>
      </c>
      <c r="U36" s="138">
        <f ca="1">OFFSET(IND!X$25,$E36,0)</f>
        <v>2.3845293906002252</v>
      </c>
      <c r="V36" s="138">
        <f ca="1">OFFSET(IND!Y$25,$E36,0)</f>
        <v>2.4787550977213444</v>
      </c>
      <c r="W36" s="138">
        <f ca="1">OFFSET(IND!Z$25,$E36,0)</f>
        <v>2.5825706377406892</v>
      </c>
      <c r="X36" s="138">
        <f ca="1">OFFSET(IND!AA$25,$E36,0)</f>
        <v>2.6966033965225109</v>
      </c>
      <c r="Y36" s="219">
        <f ca="1">OFFSET(IND!AB$25,$E36,0)</f>
        <v>2.8157409599644665</v>
      </c>
      <c r="Z36" s="138">
        <f ca="1">OFFSET(IND!AC$25,$E36,0)</f>
        <v>2.9198337571175519</v>
      </c>
      <c r="AA36" s="138">
        <f ca="1">OFFSET(IND!AD$25,$E36,0)</f>
        <v>3.031831036895074</v>
      </c>
      <c r="AB36" s="138">
        <f ca="1">OFFSET(IND!AE$25,$E36,0)</f>
        <v>3.1472159520828358</v>
      </c>
      <c r="AC36" s="138">
        <f ca="1">OFFSET(IND!AF$25,$E36,0)</f>
        <v>3.2666044363918485</v>
      </c>
      <c r="AD36" s="138">
        <f ca="1">OFFSET(IND!AG$25,$E36,0)</f>
        <v>3.3847610532784493</v>
      </c>
      <c r="AE36" s="138">
        <f ca="1">OFFSET(IND!AH$25,$E36,0)</f>
        <v>3.4998380016096138</v>
      </c>
      <c r="AF36" s="138">
        <f ca="1">OFFSET(IND!AI$25,$E36,0)</f>
        <v>3.6184052409695195</v>
      </c>
      <c r="AG36" s="138">
        <f ca="1">OFFSET(IND!AJ$25,$E36,0)</f>
        <v>3.7539106573819221</v>
      </c>
      <c r="AH36" s="138">
        <f ca="1">OFFSET(IND!AK$25,$E36,0)</f>
        <v>3.8990657019331181</v>
      </c>
      <c r="AI36" s="138">
        <f ca="1">OFFSET(IND!AL$25,$E36,0)</f>
        <v>4.0512013285420316</v>
      </c>
      <c r="AJ36" s="138">
        <f ca="1">OFFSET(IND!AM$25,$E36,0)</f>
        <v>5.0363872992418575</v>
      </c>
      <c r="AK36" s="138">
        <f ca="1">OFFSET(IND!AN$25,$E36,0)</f>
        <v>6.4403055377917706</v>
      </c>
      <c r="AL36" s="138">
        <f ca="1">OFFSET(IND!AO$25,$E36,0)</f>
        <v>8.7596210357331277</v>
      </c>
      <c r="AM36" s="138">
        <f ca="1">OFFSET(IND!AP$25,$E36,0)</f>
        <v>11.148725244982854</v>
      </c>
      <c r="AQ36" s="4"/>
    </row>
    <row r="37" spans="1:43">
      <c r="A37" s="36" t="s">
        <v>337</v>
      </c>
      <c r="B37">
        <v>1.594535370916</v>
      </c>
      <c r="E37" s="141">
        <f ca="1">MATCH(F37,IND!$D$26:$D$255,0)</f>
        <v>48</v>
      </c>
      <c r="F37" s="4" t="str">
        <f t="shared" si="0"/>
        <v>IMIL</v>
      </c>
      <c r="G37" s="138">
        <f ca="1">OFFSET(IND!J$25,$E37,0)</f>
        <v>1.4429062223319464</v>
      </c>
      <c r="H37" s="138">
        <f ca="1">OFFSET(IND!K$25,$E37,0)</f>
        <v>1.4809708981976701</v>
      </c>
      <c r="I37" s="138">
        <f ca="1">OFFSET(IND!L$25,$E37,0)</f>
        <v>1.483631150028333</v>
      </c>
      <c r="J37" s="138">
        <f ca="1">OFFSET(IND!M$25,$E37,0)</f>
        <v>1.4859720000000001</v>
      </c>
      <c r="K37" s="138">
        <f ca="1">OFFSET(IND!N$25,$E37,0)</f>
        <v>1.4859720000000001</v>
      </c>
      <c r="L37" s="138">
        <f ca="1">OFFSET(IND!O$25,$E37,0)</f>
        <v>1.4859720000000001</v>
      </c>
      <c r="M37" s="138">
        <f ca="1">OFFSET(IND!P$25,$E37,0)</f>
        <v>1.4748273068159872</v>
      </c>
      <c r="N37" s="138">
        <f ca="1">OFFSET(IND!Q$25,$E37,0)</f>
        <v>1.4540482308993454</v>
      </c>
      <c r="O37" s="217">
        <f ca="1">OFFSET(IND!R$25,$E37,0)</f>
        <v>1.3399941393526875</v>
      </c>
      <c r="P37" s="138">
        <f ca="1">OFFSET(IND!S$25,$E37,0)</f>
        <v>1.3824983665506774</v>
      </c>
      <c r="Q37" s="138">
        <f ca="1">OFFSET(IND!T$25,$E37,0)</f>
        <v>1.419245157706321</v>
      </c>
      <c r="R37" s="138">
        <f ca="1">OFFSET(IND!U$25,$E37,0)</f>
        <v>1.4580131901405928</v>
      </c>
      <c r="S37" s="138">
        <f ca="1">OFFSET(IND!V$25,$E37,0)</f>
        <v>1.503347582287615</v>
      </c>
      <c r="T37" s="217">
        <f ca="1">OFFSET(IND!W$25,$E37,0)</f>
        <v>1.552349596458279</v>
      </c>
      <c r="U37" s="138">
        <f ca="1">OFFSET(IND!X$25,$E37,0)</f>
        <v>1.6095573386551512</v>
      </c>
      <c r="V37" s="138">
        <f ca="1">OFFSET(IND!Y$25,$E37,0)</f>
        <v>1.6731596909619066</v>
      </c>
      <c r="W37" s="138">
        <f ca="1">OFFSET(IND!Z$25,$E37,0)</f>
        <v>1.7432351804749644</v>
      </c>
      <c r="X37" s="138">
        <f ca="1">OFFSET(IND!AA$25,$E37,0)</f>
        <v>1.8202072926526942</v>
      </c>
      <c r="Y37" s="219">
        <f ca="1">OFFSET(IND!AB$25,$E37,0)</f>
        <v>1.9006251479760141</v>
      </c>
      <c r="Z37" s="138">
        <f ca="1">OFFSET(IND!AC$25,$E37,0)</f>
        <v>1.9708877860543466</v>
      </c>
      <c r="AA37" s="138">
        <f ca="1">OFFSET(IND!AD$25,$E37,0)</f>
        <v>2.0464859499041741</v>
      </c>
      <c r="AB37" s="138">
        <f ca="1">OFFSET(IND!AE$25,$E37,0)</f>
        <v>2.1243707676559129</v>
      </c>
      <c r="AC37" s="138">
        <f ca="1">OFFSET(IND!AF$25,$E37,0)</f>
        <v>2.2049579945644964</v>
      </c>
      <c r="AD37" s="138">
        <f ca="1">OFFSET(IND!AG$25,$E37,0)</f>
        <v>2.2847137109629521</v>
      </c>
      <c r="AE37" s="138">
        <f ca="1">OFFSET(IND!AH$25,$E37,0)</f>
        <v>2.3623906510864883</v>
      </c>
      <c r="AF37" s="138">
        <f ca="1">OFFSET(IND!AI$25,$E37,0)</f>
        <v>2.4424235376544248</v>
      </c>
      <c r="AG37" s="138">
        <f ca="1">OFFSET(IND!AJ$25,$E37,0)</f>
        <v>2.5338896937327964</v>
      </c>
      <c r="AH37" s="138">
        <f ca="1">OFFSET(IND!AK$25,$E37,0)</f>
        <v>2.6318693488048535</v>
      </c>
      <c r="AI37" s="138">
        <f ca="1">OFFSET(IND!AL$25,$E37,0)</f>
        <v>2.7345608967658701</v>
      </c>
      <c r="AJ37" s="138">
        <f ca="1">OFFSET(IND!AM$25,$E37,0)</f>
        <v>3.3995614269882521</v>
      </c>
      <c r="AK37" s="138">
        <f ca="1">OFFSET(IND!AN$25,$E37,0)</f>
        <v>4.3472062380094432</v>
      </c>
      <c r="AL37" s="138">
        <f ca="1">OFFSET(IND!AO$25,$E37,0)</f>
        <v>5.9127441991198584</v>
      </c>
      <c r="AM37" s="138">
        <f ca="1">OFFSET(IND!AP$25,$E37,0)</f>
        <v>7.525389540363423</v>
      </c>
      <c r="AQ37" s="4"/>
    </row>
    <row r="38" spans="1:43">
      <c r="A38" s="36" t="s">
        <v>338</v>
      </c>
      <c r="B38">
        <v>31.93143244434</v>
      </c>
      <c r="E38" s="141">
        <f ca="1">MATCH(F38,IND!$D$26:$D$255,0)</f>
        <v>53</v>
      </c>
      <c r="F38" s="4" t="str">
        <f t="shared" si="0"/>
        <v>IMIO</v>
      </c>
      <c r="G38" s="138">
        <f ca="1">OFFSET(IND!J$25,$E38,0)</f>
        <v>28.894976807848312</v>
      </c>
      <c r="H38" s="138">
        <f ca="1">OFFSET(IND!K$25,$E38,0)</f>
        <v>29.657242511132058</v>
      </c>
      <c r="I38" s="138">
        <f ca="1">OFFSET(IND!L$25,$E38,0)</f>
        <v>29.710515491565818</v>
      </c>
      <c r="J38" s="138">
        <f ca="1">OFFSET(IND!M$25,$E38,0)</f>
        <v>29.757392277177463</v>
      </c>
      <c r="K38" s="138">
        <f ca="1">OFFSET(IND!N$25,$E38,0)</f>
        <v>29.757392277177463</v>
      </c>
      <c r="L38" s="138">
        <f ca="1">OFFSET(IND!O$25,$E38,0)</f>
        <v>29.757392277177463</v>
      </c>
      <c r="M38" s="138">
        <f ca="1">OFFSET(IND!P$25,$E38,0)</f>
        <v>29.534213773891089</v>
      </c>
      <c r="N38" s="138">
        <f ca="1">OFFSET(IND!Q$25,$E38,0)</f>
        <v>29.1181015502363</v>
      </c>
      <c r="O38" s="217">
        <f ca="1">OFFSET(IND!R$25,$E38,0)</f>
        <v>26.834106735414075</v>
      </c>
      <c r="P38" s="138">
        <f ca="1">OFFSET(IND!S$25,$E38,0)</f>
        <v>27.685276853134233</v>
      </c>
      <c r="Q38" s="138">
        <f ca="1">OFFSET(IND!T$25,$E38,0)</f>
        <v>28.421151202951055</v>
      </c>
      <c r="R38" s="138">
        <f ca="1">OFFSET(IND!U$25,$E38,0)</f>
        <v>29.197502001593939</v>
      </c>
      <c r="S38" s="138">
        <f ca="1">OFFSET(IND!V$25,$E38,0)</f>
        <v>30.105347701759442</v>
      </c>
      <c r="T38" s="217">
        <f ca="1">OFFSET(IND!W$25,$E38,0)</f>
        <v>31.086639514827425</v>
      </c>
      <c r="U38" s="138">
        <f ca="1">OFFSET(IND!X$25,$E38,0)</f>
        <v>32.232255465763224</v>
      </c>
      <c r="V38" s="138">
        <f ca="1">OFFSET(IND!Y$25,$E38,0)</f>
        <v>33.505926939615605</v>
      </c>
      <c r="W38" s="138">
        <f ca="1">OFFSET(IND!Z$25,$E38,0)</f>
        <v>34.909226483924179</v>
      </c>
      <c r="X38" s="138">
        <f ca="1">OFFSET(IND!AA$25,$E38,0)</f>
        <v>36.450634623832343</v>
      </c>
      <c r="Y38" s="219">
        <f ca="1">OFFSET(IND!AB$25,$E38,0)</f>
        <v>38.061045632212945</v>
      </c>
      <c r="Z38" s="138">
        <f ca="1">OFFSET(IND!AC$25,$E38,0)</f>
        <v>39.468092927670931</v>
      </c>
      <c r="AA38" s="138">
        <f ca="1">OFFSET(IND!AD$25,$E38,0)</f>
        <v>40.981987009870096</v>
      </c>
      <c r="AB38" s="138">
        <f ca="1">OFFSET(IND!AE$25,$E38,0)</f>
        <v>42.541672572098037</v>
      </c>
      <c r="AC38" s="138">
        <f ca="1">OFFSET(IND!AF$25,$E38,0)</f>
        <v>44.155475337997146</v>
      </c>
      <c r="AD38" s="138">
        <f ca="1">OFFSET(IND!AG$25,$E38,0)</f>
        <v>45.752626656606218</v>
      </c>
      <c r="AE38" s="138">
        <f ca="1">OFFSET(IND!AH$25,$E38,0)</f>
        <v>47.308149356998207</v>
      </c>
      <c r="AF38" s="138">
        <f ca="1">OFFSET(IND!AI$25,$E38,0)</f>
        <v>48.910851158026041</v>
      </c>
      <c r="AG38" s="138">
        <f ca="1">OFFSET(IND!AJ$25,$E38,0)</f>
        <v>50.742510359215331</v>
      </c>
      <c r="AH38" s="138">
        <f ca="1">OFFSET(IND!AK$25,$E38,0)</f>
        <v>52.70460589746353</v>
      </c>
      <c r="AI38" s="138">
        <f ca="1">OFFSET(IND!AL$25,$E38,0)</f>
        <v>54.761059636986587</v>
      </c>
      <c r="AJ38" s="138">
        <f ca="1">OFFSET(IND!AM$25,$E38,0)</f>
        <v>68.078054602139659</v>
      </c>
      <c r="AK38" s="138">
        <f ca="1">OFFSET(IND!AN$25,$E38,0)</f>
        <v>87.055154023252101</v>
      </c>
      <c r="AL38" s="138">
        <f ca="1">OFFSET(IND!AO$25,$E38,0)</f>
        <v>118.40589766685726</v>
      </c>
      <c r="AM38" s="138">
        <f ca="1">OFFSET(IND!AP$25,$E38,0)</f>
        <v>150.6999920531226</v>
      </c>
      <c r="AQ38" s="4"/>
    </row>
    <row r="39" spans="1:43">
      <c r="A39" s="36" t="s">
        <v>339</v>
      </c>
      <c r="B39">
        <v>16.901755910559999</v>
      </c>
      <c r="E39" s="141">
        <f ca="1">MATCH(F39,IND!$D$26:$D$255,0)</f>
        <v>51</v>
      </c>
      <c r="F39" s="4" t="str">
        <f t="shared" si="0"/>
        <v>IMIP</v>
      </c>
      <c r="G39" s="138">
        <f ca="1">OFFSET(IND!J$25,$E39,0)</f>
        <v>15.294517272248457</v>
      </c>
      <c r="H39" s="138">
        <f ca="1">OFFSET(IND!K$25,$E39,0)</f>
        <v>15.697995220766805</v>
      </c>
      <c r="I39" s="138">
        <f ca="1">OFFSET(IND!L$25,$E39,0)</f>
        <v>15.726193357931152</v>
      </c>
      <c r="J39" s="138">
        <f ca="1">OFFSET(IND!M$25,$E39,0)</f>
        <v>15.751005899293361</v>
      </c>
      <c r="K39" s="138">
        <f ca="1">OFFSET(IND!N$25,$E39,0)</f>
        <v>15.751005899293361</v>
      </c>
      <c r="L39" s="138">
        <f ca="1">OFFSET(IND!O$25,$E39,0)</f>
        <v>15.751005899293361</v>
      </c>
      <c r="M39" s="138">
        <f ca="1">OFFSET(IND!P$25,$E39,0)</f>
        <v>15.632874381278754</v>
      </c>
      <c r="N39" s="138">
        <f ca="1">OFFSET(IND!Q$25,$E39,0)</f>
        <v>15.412620333864073</v>
      </c>
      <c r="O39" s="217">
        <f ca="1">OFFSET(IND!R$25,$E39,0)</f>
        <v>14.203669782447253</v>
      </c>
      <c r="P39" s="138">
        <f ca="1">OFFSET(IND!S$25,$E39,0)</f>
        <v>14.654206086859748</v>
      </c>
      <c r="Q39" s="138">
        <f ca="1">OFFSET(IND!T$25,$E39,0)</f>
        <v>15.04371472112247</v>
      </c>
      <c r="R39" s="138">
        <f ca="1">OFFSET(IND!U$25,$E39,0)</f>
        <v>15.454648108545793</v>
      </c>
      <c r="S39" s="138">
        <f ca="1">OFFSET(IND!V$25,$E39,0)</f>
        <v>15.93518359518257</v>
      </c>
      <c r="T39" s="217">
        <f ca="1">OFFSET(IND!W$25,$E39,0)</f>
        <v>16.454595141483164</v>
      </c>
      <c r="U39" s="138">
        <f ca="1">OFFSET(IND!X$25,$E39,0)</f>
        <v>17.060985763128922</v>
      </c>
      <c r="V39" s="138">
        <f ca="1">OFFSET(IND!Y$25,$E39,0)</f>
        <v>17.73515797255995</v>
      </c>
      <c r="W39" s="138">
        <f ca="1">OFFSET(IND!Z$25,$E39,0)</f>
        <v>18.477944141287249</v>
      </c>
      <c r="X39" s="138">
        <f ca="1">OFFSET(IND!AA$25,$E39,0)</f>
        <v>19.293833130442152</v>
      </c>
      <c r="Y39" s="219">
        <f ca="1">OFFSET(IND!AB$25,$E39,0)</f>
        <v>20.146246307545177</v>
      </c>
      <c r="Z39" s="138">
        <f ca="1">OFFSET(IND!AC$25,$E39,0)</f>
        <v>20.891016213621288</v>
      </c>
      <c r="AA39" s="138">
        <f ca="1">OFFSET(IND!AD$25,$E39,0)</f>
        <v>21.692341625388387</v>
      </c>
      <c r="AB39" s="138">
        <f ca="1">OFFSET(IND!AE$25,$E39,0)</f>
        <v>22.517905111021381</v>
      </c>
      <c r="AC39" s="138">
        <f ca="1">OFFSET(IND!AF$25,$E39,0)</f>
        <v>23.372113593041764</v>
      </c>
      <c r="AD39" s="138">
        <f ca="1">OFFSET(IND!AG$25,$E39,0)</f>
        <v>24.217508230016378</v>
      </c>
      <c r="AE39" s="138">
        <f ca="1">OFFSET(IND!AH$25,$E39,0)</f>
        <v>25.040868254380818</v>
      </c>
      <c r="AF39" s="138">
        <f ca="1">OFFSET(IND!AI$25,$E39,0)</f>
        <v>25.889200839698066</v>
      </c>
      <c r="AG39" s="138">
        <f ca="1">OFFSET(IND!AJ$25,$E39,0)</f>
        <v>26.858723794354088</v>
      </c>
      <c r="AH39" s="138">
        <f ca="1">OFFSET(IND!AK$25,$E39,0)</f>
        <v>27.897288535177402</v>
      </c>
      <c r="AI39" s="138">
        <f ca="1">OFFSET(IND!AL$25,$E39,0)</f>
        <v>28.985798397908017</v>
      </c>
      <c r="AJ39" s="138">
        <f ca="1">OFFSET(IND!AM$25,$E39,0)</f>
        <v>36.03467097058499</v>
      </c>
      <c r="AK39" s="138">
        <f ca="1">OFFSET(IND!AN$25,$E39,0)</f>
        <v>46.079516370652776</v>
      </c>
      <c r="AL39" s="138">
        <f ca="1">OFFSET(IND!AO$25,$E39,0)</f>
        <v>62.673905538832159</v>
      </c>
      <c r="AM39" s="138">
        <f ca="1">OFFSET(IND!AP$25,$E39,0)</f>
        <v>79.767623511576829</v>
      </c>
      <c r="AQ39" s="4"/>
    </row>
    <row r="40" spans="1:43">
      <c r="A40" s="36" t="s">
        <v>340</v>
      </c>
      <c r="B40">
        <v>28.149155918999998</v>
      </c>
      <c r="E40" s="141">
        <f ca="1">MATCH(F40,IND!$D$26:$D$255,0)</f>
        <v>63</v>
      </c>
      <c r="F40" s="4" t="str">
        <f t="shared" si="0"/>
        <v>IMIR</v>
      </c>
      <c r="G40" s="138">
        <f ca="1">OFFSET(IND!J$25,$E40,0)</f>
        <v>51.488523217763458</v>
      </c>
      <c r="H40" s="138">
        <f ca="1">OFFSET(IND!K$25,$E40,0)</f>
        <v>52.846819354238278</v>
      </c>
      <c r="I40" s="138">
        <f ca="1">OFFSET(IND!L$25,$E40,0)</f>
        <v>52.941747517987423</v>
      </c>
      <c r="J40" s="138">
        <f ca="1">OFFSET(IND!M$25,$E40,0)</f>
        <v>46.045999999999999</v>
      </c>
      <c r="K40" s="138">
        <f ca="1">OFFSET(IND!N$25,$E40,0)</f>
        <v>46.045999999999999</v>
      </c>
      <c r="L40" s="138">
        <f ca="1">OFFSET(IND!O$25,$E40,0)</f>
        <v>46.045999999999999</v>
      </c>
      <c r="M40" s="138">
        <f ca="1">OFFSET(IND!P$25,$E40,0)</f>
        <v>45.700658000049089</v>
      </c>
      <c r="N40" s="138">
        <f ca="1">OFFSET(IND!Q$25,$E40,0)</f>
        <v>45.056774178780799</v>
      </c>
      <c r="O40" s="217">
        <f ca="1">OFFSET(IND!R$25,$E40,0)</f>
        <v>41.52256579574437</v>
      </c>
      <c r="P40" s="138">
        <f ca="1">OFFSET(IND!S$25,$E40,0)</f>
        <v>42.839649593796182</v>
      </c>
      <c r="Q40" s="138">
        <f ca="1">OFFSET(IND!T$25,$E40,0)</f>
        <v>43.978327001952437</v>
      </c>
      <c r="R40" s="138">
        <f ca="1">OFFSET(IND!U$25,$E40,0)</f>
        <v>45.1796368661144</v>
      </c>
      <c r="S40" s="138">
        <f ca="1">OFFSET(IND!V$25,$E40,0)</f>
        <v>46.584419339002032</v>
      </c>
      <c r="T40" s="217">
        <f ca="1">OFFSET(IND!W$25,$E40,0)</f>
        <v>48.102850873716278</v>
      </c>
      <c r="U40" s="138">
        <f ca="1">OFFSET(IND!X$25,$E40,0)</f>
        <v>49.875554327884444</v>
      </c>
      <c r="V40" s="138">
        <f ca="1">OFFSET(IND!Y$25,$E40,0)</f>
        <v>51.846408364378313</v>
      </c>
      <c r="W40" s="138">
        <f ca="1">OFFSET(IND!Z$25,$E40,0)</f>
        <v>54.017846312144663</v>
      </c>
      <c r="X40" s="138">
        <f ca="1">OFFSET(IND!AA$25,$E40,0)</f>
        <v>56.402990767986189</v>
      </c>
      <c r="Y40" s="219">
        <f ca="1">OFFSET(IND!AB$25,$E40,0)</f>
        <v>58.894908897141782</v>
      </c>
      <c r="Z40" s="138">
        <f ca="1">OFFSET(IND!AC$25,$E40,0)</f>
        <v>61.072146040879957</v>
      </c>
      <c r="AA40" s="138">
        <f ca="1">OFFSET(IND!AD$25,$E40,0)</f>
        <v>63.414715788243406</v>
      </c>
      <c r="AB40" s="138">
        <f ca="1">OFFSET(IND!AE$25,$E40,0)</f>
        <v>65.828142365727089</v>
      </c>
      <c r="AC40" s="138">
        <f ca="1">OFFSET(IND!AF$25,$E40,0)</f>
        <v>68.3253088333541</v>
      </c>
      <c r="AD40" s="138">
        <f ca="1">OFFSET(IND!AG$25,$E40,0)</f>
        <v>70.796709180926797</v>
      </c>
      <c r="AE40" s="138">
        <f ca="1">OFFSET(IND!AH$25,$E40,0)</f>
        <v>73.203694228376108</v>
      </c>
      <c r="AF40" s="138">
        <f ca="1">OFFSET(IND!AI$25,$E40,0)</f>
        <v>75.683683282616158</v>
      </c>
      <c r="AG40" s="138">
        <f ca="1">OFFSET(IND!AJ$25,$E40,0)</f>
        <v>78.517956487484554</v>
      </c>
      <c r="AH40" s="138">
        <f ca="1">OFFSET(IND!AK$25,$E40,0)</f>
        <v>81.554064299373309</v>
      </c>
      <c r="AI40" s="138">
        <f ca="1">OFFSET(IND!AL$25,$E40,0)</f>
        <v>84.73618012484846</v>
      </c>
      <c r="AJ40" s="138">
        <f ca="1">OFFSET(IND!AM$25,$E40,0)</f>
        <v>105.34263463046486</v>
      </c>
      <c r="AK40" s="138">
        <f ca="1">OFFSET(IND!AN$25,$E40,0)</f>
        <v>134.70742277471103</v>
      </c>
      <c r="AL40" s="138">
        <f ca="1">OFFSET(IND!AO$25,$E40,0)</f>
        <v>183.21894315146793</v>
      </c>
      <c r="AM40" s="138">
        <f ca="1">OFFSET(IND!AP$25,$E40,0)</f>
        <v>233.19018580133024</v>
      </c>
      <c r="AQ40" s="4"/>
    </row>
    <row r="41" spans="1:43">
      <c r="A41" s="36" t="s">
        <v>341</v>
      </c>
      <c r="B41">
        <v>5.2585839407999997E-2</v>
      </c>
      <c r="E41" s="141">
        <f ca="1">MATCH(F41,IND!$D$26:$D$255,0)</f>
        <v>56</v>
      </c>
      <c r="F41" s="4" t="str">
        <f t="shared" si="0"/>
        <v>IMIS</v>
      </c>
      <c r="G41" s="138">
        <f ca="1">OFFSET(IND!J$25,$E41,0)</f>
        <v>20.275122960000004</v>
      </c>
      <c r="H41" s="138">
        <f ca="1">OFFSET(IND!K$25,$E41,0)</f>
        <v>20.809992081544721</v>
      </c>
      <c r="I41" s="138">
        <f ca="1">OFFSET(IND!L$25,$E41,0)</f>
        <v>20.847372842772632</v>
      </c>
      <c r="J41" s="138">
        <f ca="1">OFFSET(IND!M$25,$E41,0)</f>
        <v>0.90805719120000006</v>
      </c>
      <c r="K41" s="138">
        <f ca="1">OFFSET(IND!N$25,$E41,0)</f>
        <v>0.90805719120000006</v>
      </c>
      <c r="L41" s="138">
        <f ca="1">OFFSET(IND!O$25,$E41,0)</f>
        <v>0.90805719120000006</v>
      </c>
      <c r="M41" s="138">
        <f ca="1">OFFSET(IND!P$25,$E41,0)</f>
        <v>0.90124682142892731</v>
      </c>
      <c r="N41" s="138">
        <f ca="1">OFFSET(IND!Q$25,$E41,0)</f>
        <v>0.8885490119731656</v>
      </c>
      <c r="O41" s="217">
        <f ca="1">OFFSET(IND!R$25,$E41,0)</f>
        <v>0.81885211457891727</v>
      </c>
      <c r="P41" s="138">
        <f ca="1">OFFSET(IND!S$25,$E41,0)</f>
        <v>0.84482586722266384</v>
      </c>
      <c r="Q41" s="138">
        <f ca="1">OFFSET(IND!T$25,$E41,0)</f>
        <v>0.86728132934604618</v>
      </c>
      <c r="R41" s="138">
        <f ca="1">OFFSET(IND!U$25,$E41,0)</f>
        <v>0.89097194440515592</v>
      </c>
      <c r="S41" s="138">
        <f ca="1">OFFSET(IND!V$25,$E41,0)</f>
        <v>0.9186751721899219</v>
      </c>
      <c r="T41" s="217">
        <f ca="1">OFFSET(IND!W$25,$E41,0)</f>
        <v>0.94861963369455038</v>
      </c>
      <c r="U41" s="138">
        <f ca="1">OFFSET(IND!X$25,$E41,0)</f>
        <v>0.9835785035078346</v>
      </c>
      <c r="V41" s="138">
        <f ca="1">OFFSET(IND!Y$25,$E41,0)</f>
        <v>1.022445032210519</v>
      </c>
      <c r="W41" s="138">
        <f ca="1">OFFSET(IND!Z$25,$E41,0)</f>
        <v>1.0652672066385649</v>
      </c>
      <c r="X41" s="138">
        <f ca="1">OFFSET(IND!AA$25,$E41,0)</f>
        <v>1.1123038129708784</v>
      </c>
      <c r="Y41" s="219">
        <f ca="1">OFFSET(IND!AB$25,$E41,0)</f>
        <v>1.1614460658714862</v>
      </c>
      <c r="Z41" s="138">
        <f ca="1">OFFSET(IND!AC$25,$E41,0)</f>
        <v>1.2043826042313697</v>
      </c>
      <c r="AA41" s="138">
        <f ca="1">OFFSET(IND!AD$25,$E41,0)</f>
        <v>1.2505796095082873</v>
      </c>
      <c r="AB41" s="138">
        <f ca="1">OFFSET(IND!AE$25,$E41,0)</f>
        <v>1.2981739577495517</v>
      </c>
      <c r="AC41" s="138">
        <f ca="1">OFFSET(IND!AF$25,$E41,0)</f>
        <v>1.3474197113123412</v>
      </c>
      <c r="AD41" s="138">
        <f ca="1">OFFSET(IND!AG$25,$E41,0)</f>
        <v>1.3961573401606138</v>
      </c>
      <c r="AE41" s="138">
        <f ca="1">OFFSET(IND!AH$25,$E41,0)</f>
        <v>1.4436246572228388</v>
      </c>
      <c r="AF41" s="138">
        <f ca="1">OFFSET(IND!AI$25,$E41,0)</f>
        <v>1.4925316609756072</v>
      </c>
      <c r="AG41" s="138">
        <f ca="1">OFFSET(IND!AJ$25,$E41,0)</f>
        <v>1.5484253795506455</v>
      </c>
      <c r="AH41" s="138">
        <f ca="1">OFFSET(IND!AK$25,$E41,0)</f>
        <v>1.6082994083879838</v>
      </c>
      <c r="AI41" s="138">
        <f ca="1">OFFSET(IND!AL$25,$E41,0)</f>
        <v>1.6710528106065052</v>
      </c>
      <c r="AJ41" s="138">
        <f ca="1">OFFSET(IND!AM$25,$E41,0)</f>
        <v>2.0774255508871073</v>
      </c>
      <c r="AK41" s="138">
        <f ca="1">OFFSET(IND!AN$25,$E41,0)</f>
        <v>2.6565183503147933</v>
      </c>
      <c r="AL41" s="138">
        <f ca="1">OFFSET(IND!AO$25,$E41,0)</f>
        <v>3.6131972134985535</v>
      </c>
      <c r="AM41" s="138">
        <f ca="1">OFFSET(IND!AP$25,$E41,0)</f>
        <v>4.5986627532068365</v>
      </c>
      <c r="AQ41" s="4"/>
    </row>
    <row r="42" spans="1:43">
      <c r="A42" s="36" t="s">
        <v>342</v>
      </c>
      <c r="B42" t="s">
        <v>386</v>
      </c>
      <c r="E42" s="141">
        <f ca="1">MATCH(F42,IND!$D$26:$D$255,0)</f>
        <v>131</v>
      </c>
      <c r="F42" s="4" t="str">
        <f t="shared" si="0"/>
        <v>INFA</v>
      </c>
      <c r="G42" s="138">
        <f ca="1">OFFSET(IND!J$25,$E42,0)</f>
        <v>0</v>
      </c>
      <c r="H42" s="138">
        <f ca="1">OFFSET(IND!K$25,$E42,0)</f>
        <v>0</v>
      </c>
      <c r="I42" s="138">
        <f ca="1">OFFSET(IND!L$25,$E42,0)</f>
        <v>0</v>
      </c>
      <c r="J42" s="138">
        <f ca="1">OFFSET(IND!M$25,$E42,0)</f>
        <v>0</v>
      </c>
      <c r="K42" s="138">
        <f ca="1">OFFSET(IND!N$25,$E42,0)</f>
        <v>0</v>
      </c>
      <c r="L42" s="138">
        <f ca="1">OFFSET(IND!O$25,$E42,0)</f>
        <v>0</v>
      </c>
      <c r="M42" s="138">
        <f ca="1">OFFSET(IND!P$25,$E42,0)</f>
        <v>0</v>
      </c>
      <c r="N42" s="138">
        <f ca="1">OFFSET(IND!Q$25,$E42,0)</f>
        <v>0</v>
      </c>
      <c r="O42" s="217">
        <f ca="1">OFFSET(IND!R$25,$E42,0)</f>
        <v>0</v>
      </c>
      <c r="P42" s="138">
        <f ca="1">OFFSET(IND!S$25,$E42,0)</f>
        <v>0</v>
      </c>
      <c r="Q42" s="138">
        <f ca="1">OFFSET(IND!T$25,$E42,0)</f>
        <v>0</v>
      </c>
      <c r="R42" s="138">
        <f ca="1">OFFSET(IND!U$25,$E42,0)</f>
        <v>0</v>
      </c>
      <c r="S42" s="138">
        <f ca="1">OFFSET(IND!V$25,$E42,0)</f>
        <v>0</v>
      </c>
      <c r="T42" s="217">
        <f ca="1">OFFSET(IND!W$25,$E42,0)</f>
        <v>0</v>
      </c>
      <c r="U42" s="138">
        <f ca="1">OFFSET(IND!X$25,$E42,0)</f>
        <v>0</v>
      </c>
      <c r="V42" s="138">
        <f ca="1">OFFSET(IND!Y$25,$E42,0)</f>
        <v>0</v>
      </c>
      <c r="W42" s="138">
        <f ca="1">OFFSET(IND!Z$25,$E42,0)</f>
        <v>0</v>
      </c>
      <c r="X42" s="138">
        <f ca="1">OFFSET(IND!AA$25,$E42,0)</f>
        <v>0</v>
      </c>
      <c r="Y42" s="219">
        <f ca="1">OFFSET(IND!AB$25,$E42,0)</f>
        <v>0</v>
      </c>
      <c r="Z42" s="138">
        <f ca="1">OFFSET(IND!AC$25,$E42,0)</f>
        <v>0</v>
      </c>
      <c r="AA42" s="138">
        <f ca="1">OFFSET(IND!AD$25,$E42,0)</f>
        <v>0</v>
      </c>
      <c r="AB42" s="138">
        <f ca="1">OFFSET(IND!AE$25,$E42,0)</f>
        <v>0</v>
      </c>
      <c r="AC42" s="138">
        <f ca="1">OFFSET(IND!AF$25,$E42,0)</f>
        <v>0</v>
      </c>
      <c r="AD42" s="138">
        <f ca="1">OFFSET(IND!AG$25,$E42,0)</f>
        <v>0</v>
      </c>
      <c r="AE42" s="138">
        <f ca="1">OFFSET(IND!AH$25,$E42,0)</f>
        <v>0</v>
      </c>
      <c r="AF42" s="138">
        <f ca="1">OFFSET(IND!AI$25,$E42,0)</f>
        <v>0</v>
      </c>
      <c r="AG42" s="138">
        <f ca="1">OFFSET(IND!AJ$25,$E42,0)</f>
        <v>0</v>
      </c>
      <c r="AH42" s="138">
        <f ca="1">OFFSET(IND!AK$25,$E42,0)</f>
        <v>0</v>
      </c>
      <c r="AI42" s="138">
        <f ca="1">OFFSET(IND!AL$25,$E42,0)</f>
        <v>0</v>
      </c>
      <c r="AJ42" s="138">
        <f ca="1">OFFSET(IND!AM$25,$E42,0)</f>
        <v>0</v>
      </c>
      <c r="AK42" s="138">
        <f ca="1">OFFSET(IND!AN$25,$E42,0)</f>
        <v>0</v>
      </c>
      <c r="AL42" s="138">
        <f ca="1">OFFSET(IND!AO$25,$E42,0)</f>
        <v>0</v>
      </c>
      <c r="AM42" s="138">
        <f ca="1">OFFSET(IND!AP$25,$E42,0)</f>
        <v>0</v>
      </c>
      <c r="AQ42" s="4"/>
    </row>
    <row r="43" spans="1:43">
      <c r="A43" s="36" t="s">
        <v>343</v>
      </c>
      <c r="B43" t="s">
        <v>386</v>
      </c>
      <c r="E43" s="141">
        <f ca="1">MATCH(F43,IND!$D$26:$D$255,0)</f>
        <v>133</v>
      </c>
      <c r="F43" s="4" t="str">
        <f t="shared" si="0"/>
        <v>INFC</v>
      </c>
      <c r="G43" s="138">
        <f ca="1">OFFSET(IND!J$25,$E43,0)</f>
        <v>0</v>
      </c>
      <c r="H43" s="138">
        <f ca="1">OFFSET(IND!K$25,$E43,0)</f>
        <v>0</v>
      </c>
      <c r="I43" s="138">
        <f ca="1">OFFSET(IND!L$25,$E43,0)</f>
        <v>0</v>
      </c>
      <c r="J43" s="138">
        <f ca="1">OFFSET(IND!M$25,$E43,0)</f>
        <v>0</v>
      </c>
      <c r="K43" s="138">
        <f ca="1">OFFSET(IND!N$25,$E43,0)</f>
        <v>0</v>
      </c>
      <c r="L43" s="138">
        <f ca="1">OFFSET(IND!O$25,$E43,0)</f>
        <v>0</v>
      </c>
      <c r="M43" s="138">
        <f ca="1">OFFSET(IND!P$25,$E43,0)</f>
        <v>0</v>
      </c>
      <c r="N43" s="138">
        <f ca="1">OFFSET(IND!Q$25,$E43,0)</f>
        <v>0</v>
      </c>
      <c r="O43" s="217">
        <f ca="1">OFFSET(IND!R$25,$E43,0)</f>
        <v>0</v>
      </c>
      <c r="P43" s="138">
        <f ca="1">OFFSET(IND!S$25,$E43,0)</f>
        <v>0</v>
      </c>
      <c r="Q43" s="138">
        <f ca="1">OFFSET(IND!T$25,$E43,0)</f>
        <v>0</v>
      </c>
      <c r="R43" s="138">
        <f ca="1">OFFSET(IND!U$25,$E43,0)</f>
        <v>0</v>
      </c>
      <c r="S43" s="138">
        <f ca="1">OFFSET(IND!V$25,$E43,0)</f>
        <v>0</v>
      </c>
      <c r="T43" s="217">
        <f ca="1">OFFSET(IND!W$25,$E43,0)</f>
        <v>0</v>
      </c>
      <c r="U43" s="138">
        <f ca="1">OFFSET(IND!X$25,$E43,0)</f>
        <v>0</v>
      </c>
      <c r="V43" s="138">
        <f ca="1">OFFSET(IND!Y$25,$E43,0)</f>
        <v>0</v>
      </c>
      <c r="W43" s="138">
        <f ca="1">OFFSET(IND!Z$25,$E43,0)</f>
        <v>0</v>
      </c>
      <c r="X43" s="138">
        <f ca="1">OFFSET(IND!AA$25,$E43,0)</f>
        <v>0</v>
      </c>
      <c r="Y43" s="219">
        <f ca="1">OFFSET(IND!AB$25,$E43,0)</f>
        <v>0</v>
      </c>
      <c r="Z43" s="138">
        <f ca="1">OFFSET(IND!AC$25,$E43,0)</f>
        <v>0</v>
      </c>
      <c r="AA43" s="138">
        <f ca="1">OFFSET(IND!AD$25,$E43,0)</f>
        <v>0</v>
      </c>
      <c r="AB43" s="138">
        <f ca="1">OFFSET(IND!AE$25,$E43,0)</f>
        <v>0</v>
      </c>
      <c r="AC43" s="138">
        <f ca="1">OFFSET(IND!AF$25,$E43,0)</f>
        <v>0</v>
      </c>
      <c r="AD43" s="138">
        <f ca="1">OFFSET(IND!AG$25,$E43,0)</f>
        <v>0</v>
      </c>
      <c r="AE43" s="138">
        <f ca="1">OFFSET(IND!AH$25,$E43,0)</f>
        <v>0</v>
      </c>
      <c r="AF43" s="138">
        <f ca="1">OFFSET(IND!AI$25,$E43,0)</f>
        <v>0</v>
      </c>
      <c r="AG43" s="138">
        <f ca="1">OFFSET(IND!AJ$25,$E43,0)</f>
        <v>0</v>
      </c>
      <c r="AH43" s="138">
        <f ca="1">OFFSET(IND!AK$25,$E43,0)</f>
        <v>0</v>
      </c>
      <c r="AI43" s="138">
        <f ca="1">OFFSET(IND!AL$25,$E43,0)</f>
        <v>0</v>
      </c>
      <c r="AJ43" s="138">
        <f ca="1">OFFSET(IND!AM$25,$E43,0)</f>
        <v>0</v>
      </c>
      <c r="AK43" s="138">
        <f ca="1">OFFSET(IND!AN$25,$E43,0)</f>
        <v>0</v>
      </c>
      <c r="AL43" s="138">
        <f ca="1">OFFSET(IND!AO$25,$E43,0)</f>
        <v>0</v>
      </c>
      <c r="AM43" s="138">
        <f ca="1">OFFSET(IND!AP$25,$E43,0)</f>
        <v>0</v>
      </c>
      <c r="AQ43" s="4"/>
    </row>
    <row r="44" spans="1:43">
      <c r="A44" s="36" t="s">
        <v>344</v>
      </c>
      <c r="B44">
        <v>55.015944485879999</v>
      </c>
      <c r="E44" s="141">
        <f ca="1">MATCH(F44,IND!$D$26:$D$255,0)</f>
        <v>138</v>
      </c>
      <c r="F44" s="4" t="str">
        <f t="shared" si="0"/>
        <v>INFE</v>
      </c>
      <c r="G44" s="138">
        <f ca="1">OFFSET(IND!J$25,$E44,0)</f>
        <v>45.684078335879221</v>
      </c>
      <c r="H44" s="138">
        <f ca="1">OFFSET(IND!K$25,$E44,0)</f>
        <v>38.092658790451225</v>
      </c>
      <c r="I44" s="138">
        <f ca="1">OFFSET(IND!L$25,$E44,0)</f>
        <v>32.805777321313869</v>
      </c>
      <c r="J44" s="138">
        <f ca="1">OFFSET(IND!M$25,$E44,0)</f>
        <v>11.427588</v>
      </c>
      <c r="K44" s="138">
        <f ca="1">OFFSET(IND!N$25,$E44,0)</f>
        <v>11.427588</v>
      </c>
      <c r="L44" s="138">
        <f ca="1">OFFSET(IND!O$25,$E44,0)</f>
        <v>11.427588</v>
      </c>
      <c r="M44" s="138">
        <f ca="1">OFFSET(IND!P$25,$E44,0)</f>
        <v>11.197502335570471</v>
      </c>
      <c r="N44" s="138">
        <f ca="1">OFFSET(IND!Q$25,$E44,0)</f>
        <v>10.583940563758391</v>
      </c>
      <c r="O44" s="217">
        <f ca="1">OFFSET(IND!R$25,$E44,0)</f>
        <v>8.6857338322147672</v>
      </c>
      <c r="P44" s="138">
        <f ca="1">OFFSET(IND!S$25,$E44,0)</f>
        <v>9.070739762885502</v>
      </c>
      <c r="Q44" s="138">
        <f ca="1">OFFSET(IND!T$25,$E44,0)</f>
        <v>9.2401423714894513</v>
      </c>
      <c r="R44" s="138">
        <f ca="1">OFFSET(IND!U$25,$E44,0)</f>
        <v>9.4095449800651672</v>
      </c>
      <c r="S44" s="138">
        <f ca="1">OFFSET(IND!V$25,$E44,0)</f>
        <v>9.6867492495782557</v>
      </c>
      <c r="T44" s="217">
        <f ca="1">OFFSET(IND!W$25,$E44,0)</f>
        <v>10.025554468160395</v>
      </c>
      <c r="U44" s="138">
        <f ca="1">OFFSET(IND!X$25,$E44,0)</f>
        <v>10.395160161242321</v>
      </c>
      <c r="V44" s="138">
        <f ca="1">OFFSET(IND!Y$25,$E44,0)</f>
        <v>10.810966566090389</v>
      </c>
      <c r="W44" s="138">
        <f ca="1">OFFSET(IND!Z$25,$E44,0)</f>
        <v>11.242173208150664</v>
      </c>
      <c r="X44" s="138">
        <f ca="1">OFFSET(IND!AA$25,$E44,0)</f>
        <v>11.765781273767848</v>
      </c>
      <c r="Y44" s="219">
        <f ca="1">OFFSET(IND!AB$25,$E44,0)</f>
        <v>12.350990288385754</v>
      </c>
      <c r="Z44" s="138">
        <f ca="1">OFFSET(IND!AC$25,$E44,0)</f>
        <v>12.874598353869114</v>
      </c>
      <c r="AA44" s="138">
        <f ca="1">OFFSET(IND!AD$25,$E44,0)</f>
        <v>13.382806182026291</v>
      </c>
      <c r="AB44" s="138">
        <f ca="1">OFFSET(IND!AE$25,$E44,0)</f>
        <v>13.814012823816091</v>
      </c>
      <c r="AC44" s="138">
        <f ca="1">OFFSET(IND!AF$25,$E44,0)</f>
        <v>14.199018753777629</v>
      </c>
      <c r="AD44" s="138">
        <f ca="1">OFFSET(IND!AG$25,$E44,0)</f>
        <v>14.522423734663841</v>
      </c>
      <c r="AE44" s="138">
        <f ca="1">OFFSET(IND!AH$25,$E44,0)</f>
        <v>14.768827529231961</v>
      </c>
      <c r="AF44" s="138">
        <f ca="1">OFFSET(IND!AI$25,$E44,0)</f>
        <v>14.969030612008931</v>
      </c>
      <c r="AG44" s="138">
        <f ca="1">OFFSET(IND!AJ$25,$E44,0)</f>
        <v>15.123032983004594</v>
      </c>
      <c r="AH44" s="138">
        <f ca="1">OFFSET(IND!AK$25,$E44,0)</f>
        <v>15.292435591236574</v>
      </c>
      <c r="AI44" s="138">
        <f ca="1">OFFSET(IND!AL$25,$E44,0)</f>
        <v>15.461838199451497</v>
      </c>
      <c r="AJ44" s="138">
        <f ca="1">OFFSET(IND!AM$25,$E44,0)</f>
        <v>17.956676625516959</v>
      </c>
      <c r="AK44" s="138">
        <f ca="1">OFFSET(IND!AN$25,$E44,0)</f>
        <v>22.869352297088664</v>
      </c>
      <c r="AL44" s="138">
        <f ca="1">OFFSET(IND!AO$25,$E44,0)</f>
        <v>29.873893520474962</v>
      </c>
      <c r="AM44" s="138">
        <f ca="1">OFFSET(IND!AP$25,$E44,0)</f>
        <v>37.281407618112191</v>
      </c>
      <c r="AQ44" s="4"/>
    </row>
    <row r="45" spans="1:43">
      <c r="A45" s="36" t="s">
        <v>345</v>
      </c>
      <c r="B45" t="s">
        <v>386</v>
      </c>
      <c r="E45" s="141">
        <f ca="1">MATCH(F45,IND!$D$26:$D$255,0)</f>
        <v>136</v>
      </c>
      <c r="F45" s="4" t="str">
        <f t="shared" si="0"/>
        <v>INFF</v>
      </c>
      <c r="G45" s="138">
        <f ca="1">OFFSET(IND!J$25,$E45,0)</f>
        <v>0</v>
      </c>
      <c r="H45" s="138">
        <f ca="1">OFFSET(IND!K$25,$E45,0)</f>
        <v>0</v>
      </c>
      <c r="I45" s="138">
        <f ca="1">OFFSET(IND!L$25,$E45,0)</f>
        <v>0</v>
      </c>
      <c r="J45" s="138">
        <f ca="1">OFFSET(IND!M$25,$E45,0)</f>
        <v>0</v>
      </c>
      <c r="K45" s="138">
        <f ca="1">OFFSET(IND!N$25,$E45,0)</f>
        <v>0</v>
      </c>
      <c r="L45" s="138">
        <f ca="1">OFFSET(IND!O$25,$E45,0)</f>
        <v>0</v>
      </c>
      <c r="M45" s="138">
        <f ca="1">OFFSET(IND!P$25,$E45,0)</f>
        <v>0</v>
      </c>
      <c r="N45" s="138">
        <f ca="1">OFFSET(IND!Q$25,$E45,0)</f>
        <v>0</v>
      </c>
      <c r="O45" s="217">
        <f ca="1">OFFSET(IND!R$25,$E45,0)</f>
        <v>0</v>
      </c>
      <c r="P45" s="138">
        <f ca="1">OFFSET(IND!S$25,$E45,0)</f>
        <v>0</v>
      </c>
      <c r="Q45" s="138">
        <f ca="1">OFFSET(IND!T$25,$E45,0)</f>
        <v>0</v>
      </c>
      <c r="R45" s="138">
        <f ca="1">OFFSET(IND!U$25,$E45,0)</f>
        <v>0</v>
      </c>
      <c r="S45" s="138">
        <f ca="1">OFFSET(IND!V$25,$E45,0)</f>
        <v>0</v>
      </c>
      <c r="T45" s="217">
        <f ca="1">OFFSET(IND!W$25,$E45,0)</f>
        <v>0</v>
      </c>
      <c r="U45" s="138">
        <f ca="1">OFFSET(IND!X$25,$E45,0)</f>
        <v>0</v>
      </c>
      <c r="V45" s="138">
        <f ca="1">OFFSET(IND!Y$25,$E45,0)</f>
        <v>0</v>
      </c>
      <c r="W45" s="138">
        <f ca="1">OFFSET(IND!Z$25,$E45,0)</f>
        <v>0</v>
      </c>
      <c r="X45" s="138">
        <f ca="1">OFFSET(IND!AA$25,$E45,0)</f>
        <v>0</v>
      </c>
      <c r="Y45" s="219">
        <f ca="1">OFFSET(IND!AB$25,$E45,0)</f>
        <v>0</v>
      </c>
      <c r="Z45" s="138">
        <f ca="1">OFFSET(IND!AC$25,$E45,0)</f>
        <v>0</v>
      </c>
      <c r="AA45" s="138">
        <f ca="1">OFFSET(IND!AD$25,$E45,0)</f>
        <v>0</v>
      </c>
      <c r="AB45" s="138">
        <f ca="1">OFFSET(IND!AE$25,$E45,0)</f>
        <v>0</v>
      </c>
      <c r="AC45" s="138">
        <f ca="1">OFFSET(IND!AF$25,$E45,0)</f>
        <v>0</v>
      </c>
      <c r="AD45" s="138">
        <f ca="1">OFFSET(IND!AG$25,$E45,0)</f>
        <v>0</v>
      </c>
      <c r="AE45" s="138">
        <f ca="1">OFFSET(IND!AH$25,$E45,0)</f>
        <v>0</v>
      </c>
      <c r="AF45" s="138">
        <f ca="1">OFFSET(IND!AI$25,$E45,0)</f>
        <v>0</v>
      </c>
      <c r="AG45" s="138">
        <f ca="1">OFFSET(IND!AJ$25,$E45,0)</f>
        <v>0</v>
      </c>
      <c r="AH45" s="138">
        <f ca="1">OFFSET(IND!AK$25,$E45,0)</f>
        <v>0</v>
      </c>
      <c r="AI45" s="138">
        <f ca="1">OFFSET(IND!AL$25,$E45,0)</f>
        <v>0</v>
      </c>
      <c r="AJ45" s="138">
        <f ca="1">OFFSET(IND!AM$25,$E45,0)</f>
        <v>0</v>
      </c>
      <c r="AK45" s="138">
        <f ca="1">OFFSET(IND!AN$25,$E45,0)</f>
        <v>0</v>
      </c>
      <c r="AL45" s="138">
        <f ca="1">OFFSET(IND!AO$25,$E45,0)</f>
        <v>0</v>
      </c>
      <c r="AM45" s="138">
        <f ca="1">OFFSET(IND!AP$25,$E45,0)</f>
        <v>0</v>
      </c>
      <c r="AQ45" s="4"/>
    </row>
    <row r="46" spans="1:43">
      <c r="A46" s="36" t="s">
        <v>346</v>
      </c>
      <c r="B46">
        <v>0.72389400639309998</v>
      </c>
      <c r="E46" s="141">
        <f ca="1">MATCH(F46,IND!$D$26:$D$255,0)</f>
        <v>134</v>
      </c>
      <c r="F46" s="4" t="str">
        <f t="shared" si="0"/>
        <v>INFH</v>
      </c>
      <c r="G46" s="138">
        <f ca="1">OFFSET(IND!J$25,$E46,0)</f>
        <v>0.60110629389314751</v>
      </c>
      <c r="H46" s="138">
        <f ca="1">OFFSET(IND!K$25,$E46,0)</f>
        <v>0.50121919461120013</v>
      </c>
      <c r="I46" s="138">
        <f ca="1">OFFSET(IND!L$25,$E46,0)</f>
        <v>0.43165496475412962</v>
      </c>
      <c r="J46" s="138">
        <f ca="1">OFFSET(IND!M$25,$E46,0)</f>
        <v>0.15036300000000002</v>
      </c>
      <c r="K46" s="138">
        <f ca="1">OFFSET(IND!N$25,$E46,0)</f>
        <v>0.15036300000000002</v>
      </c>
      <c r="L46" s="138">
        <f ca="1">OFFSET(IND!O$25,$E46,0)</f>
        <v>0.15036300000000002</v>
      </c>
      <c r="M46" s="138">
        <f ca="1">OFFSET(IND!P$25,$E46,0)</f>
        <v>0.1473355570469799</v>
      </c>
      <c r="N46" s="138">
        <f ca="1">OFFSET(IND!Q$25,$E46,0)</f>
        <v>0.1392623758389262</v>
      </c>
      <c r="O46" s="217">
        <f ca="1">OFFSET(IND!R$25,$E46,0)</f>
        <v>0.1142859714765101</v>
      </c>
      <c r="P46" s="138">
        <f ca="1">OFFSET(IND!S$25,$E46,0)</f>
        <v>0.11935183898533556</v>
      </c>
      <c r="Q46" s="138">
        <f ca="1">OFFSET(IND!T$25,$E46,0)</f>
        <v>0.12158082067749279</v>
      </c>
      <c r="R46" s="138">
        <f ca="1">OFFSET(IND!U$25,$E46,0)</f>
        <v>0.12380980236927852</v>
      </c>
      <c r="S46" s="138">
        <f ca="1">OFFSET(IND!V$25,$E46,0)</f>
        <v>0.12745722696813497</v>
      </c>
      <c r="T46" s="217">
        <f ca="1">OFFSET(IND!W$25,$E46,0)</f>
        <v>0.13191519037053154</v>
      </c>
      <c r="U46" s="138">
        <f ca="1">OFFSET(IND!X$25,$E46,0)</f>
        <v>0.1367784231742411</v>
      </c>
      <c r="V46" s="138">
        <f ca="1">OFFSET(IND!Y$25,$E46,0)</f>
        <v>0.14224956008013676</v>
      </c>
      <c r="W46" s="138">
        <f ca="1">OFFSET(IND!Z$25,$E46,0)</f>
        <v>0.14792333168619301</v>
      </c>
      <c r="X46" s="138">
        <f ca="1">OFFSET(IND!AA$25,$E46,0)</f>
        <v>0.15481291149694543</v>
      </c>
      <c r="Y46" s="219">
        <f ca="1">OFFSET(IND!AB$25,$E46,0)</f>
        <v>0.16251303011033894</v>
      </c>
      <c r="Z46" s="138">
        <f ca="1">OFFSET(IND!AC$25,$E46,0)</f>
        <v>0.16940260991933054</v>
      </c>
      <c r="AA46" s="138">
        <f ca="1">OFFSET(IND!AD$25,$E46,0)</f>
        <v>0.17608955502666182</v>
      </c>
      <c r="AB46" s="138">
        <f ca="1">OFFSET(IND!AE$25,$E46,0)</f>
        <v>0.1817633266291592</v>
      </c>
      <c r="AC46" s="138">
        <f ca="1">OFFSET(IND!AF$25,$E46,0)</f>
        <v>0.18682919412865312</v>
      </c>
      <c r="AD46" s="138">
        <f ca="1">OFFSET(IND!AG$25,$E46,0)</f>
        <v>0.19108452282452432</v>
      </c>
      <c r="AE46" s="138">
        <f ca="1">OFFSET(IND!AH$25,$E46,0)</f>
        <v>0.19432667801621012</v>
      </c>
      <c r="AF46" s="138">
        <f ca="1">OFFSET(IND!AI$25,$E46,0)</f>
        <v>0.19696092910538077</v>
      </c>
      <c r="AG46" s="138">
        <f ca="1">OFFSET(IND!AJ$25,$E46,0)</f>
        <v>0.19898727609216582</v>
      </c>
      <c r="AH46" s="138">
        <f ca="1">OFFSET(IND!AK$25,$E46,0)</f>
        <v>0.20121625777942873</v>
      </c>
      <c r="AI46" s="138">
        <f ca="1">OFFSET(IND!AL$25,$E46,0)</f>
        <v>0.2034452394664672</v>
      </c>
      <c r="AJ46" s="138">
        <f ca="1">OFFSET(IND!AM$25,$E46,0)</f>
        <v>0.2362720608620654</v>
      </c>
      <c r="AK46" s="138">
        <f ca="1">OFFSET(IND!AN$25,$E46,0)</f>
        <v>0.30091253022485104</v>
      </c>
      <c r="AL46" s="138">
        <f ca="1">OFFSET(IND!AO$25,$E46,0)</f>
        <v>0.39307754632203923</v>
      </c>
      <c r="AM46" s="138">
        <f ca="1">OFFSET(IND!AP$25,$E46,0)</f>
        <v>0.49054483708042385</v>
      </c>
      <c r="AQ46" s="4"/>
    </row>
    <row r="47" spans="1:43">
      <c r="A47" s="36" t="s">
        <v>347</v>
      </c>
      <c r="B47">
        <v>0.80432667377019995</v>
      </c>
      <c r="E47" s="141">
        <f ca="1">MATCH(F47,IND!$D$26:$D$255,0)</f>
        <v>130</v>
      </c>
      <c r="F47" s="4" t="str">
        <f t="shared" si="0"/>
        <v>INFK</v>
      </c>
      <c r="G47" s="138">
        <f ca="1">OFFSET(IND!J$25,$E47,0)</f>
        <v>0.66789588210349726</v>
      </c>
      <c r="H47" s="138">
        <f ca="1">OFFSET(IND!K$25,$E47,0)</f>
        <v>0.55691021623466685</v>
      </c>
      <c r="I47" s="138">
        <f ca="1">OFFSET(IND!L$25,$E47,0)</f>
        <v>0.47961662750458856</v>
      </c>
      <c r="J47" s="138">
        <f ca="1">OFFSET(IND!M$25,$E47,0)</f>
        <v>0.16707000000000002</v>
      </c>
      <c r="K47" s="138">
        <f ca="1">OFFSET(IND!N$25,$E47,0)</f>
        <v>0.16707000000000002</v>
      </c>
      <c r="L47" s="138">
        <f ca="1">OFFSET(IND!O$25,$E47,0)</f>
        <v>0.16707000000000002</v>
      </c>
      <c r="M47" s="138">
        <f ca="1">OFFSET(IND!P$25,$E47,0)</f>
        <v>0.16370617449664432</v>
      </c>
      <c r="N47" s="138">
        <f ca="1">OFFSET(IND!Q$25,$E47,0)</f>
        <v>0.15473597315436244</v>
      </c>
      <c r="O47" s="217">
        <f ca="1">OFFSET(IND!R$25,$E47,0)</f>
        <v>0.12698441275167788</v>
      </c>
      <c r="P47" s="138">
        <f ca="1">OFFSET(IND!S$25,$E47,0)</f>
        <v>0.13261315442815061</v>
      </c>
      <c r="Q47" s="138">
        <f ca="1">OFFSET(IND!T$25,$E47,0)</f>
        <v>0.13508980075276975</v>
      </c>
      <c r="R47" s="138">
        <f ca="1">OFFSET(IND!U$25,$E47,0)</f>
        <v>0.1375664470769761</v>
      </c>
      <c r="S47" s="138">
        <f ca="1">OFFSET(IND!V$25,$E47,0)</f>
        <v>0.14161914107570547</v>
      </c>
      <c r="T47" s="217">
        <f ca="1">OFFSET(IND!W$25,$E47,0)</f>
        <v>0.14657243374503501</v>
      </c>
      <c r="U47" s="138">
        <f ca="1">OFFSET(IND!X$25,$E47,0)</f>
        <v>0.15197602574915675</v>
      </c>
      <c r="V47" s="138">
        <f ca="1">OFFSET(IND!Y$25,$E47,0)</f>
        <v>0.15805506675570746</v>
      </c>
      <c r="W47" s="138">
        <f ca="1">OFFSET(IND!Z$25,$E47,0)</f>
        <v>0.16435925742910329</v>
      </c>
      <c r="X47" s="138">
        <f ca="1">OFFSET(IND!AA$25,$E47,0)</f>
        <v>0.1720143461077171</v>
      </c>
      <c r="Y47" s="219">
        <f ca="1">OFFSET(IND!AB$25,$E47,0)</f>
        <v>0.18057003345593209</v>
      </c>
      <c r="Z47" s="138">
        <f ca="1">OFFSET(IND!AC$25,$E47,0)</f>
        <v>0.18822512213258941</v>
      </c>
      <c r="AA47" s="138">
        <f ca="1">OFFSET(IND!AD$25,$E47,0)</f>
        <v>0.19565506114073528</v>
      </c>
      <c r="AB47" s="138">
        <f ca="1">OFFSET(IND!AE$25,$E47,0)</f>
        <v>0.20195925181017679</v>
      </c>
      <c r="AC47" s="138">
        <f ca="1">OFFSET(IND!AF$25,$E47,0)</f>
        <v>0.20758799347628115</v>
      </c>
      <c r="AD47" s="138">
        <f ca="1">OFFSET(IND!AG$25,$E47,0)</f>
        <v>0.21231613647169359</v>
      </c>
      <c r="AE47" s="138">
        <f ca="1">OFFSET(IND!AH$25,$E47,0)</f>
        <v>0.21591853112912224</v>
      </c>
      <c r="AF47" s="138">
        <f ca="1">OFFSET(IND!AI$25,$E47,0)</f>
        <v>0.21884547678375629</v>
      </c>
      <c r="AG47" s="138">
        <f ca="1">OFFSET(IND!AJ$25,$E47,0)</f>
        <v>0.22109697343573967</v>
      </c>
      <c r="AH47" s="138">
        <f ca="1">OFFSET(IND!AK$25,$E47,0)</f>
        <v>0.22357361975492065</v>
      </c>
      <c r="AI47" s="138">
        <f ca="1">OFFSET(IND!AL$25,$E47,0)</f>
        <v>0.22605026607385229</v>
      </c>
      <c r="AJ47" s="138">
        <f ca="1">OFFSET(IND!AM$25,$E47,0)</f>
        <v>0.26252451206896138</v>
      </c>
      <c r="AK47" s="138">
        <f ca="1">OFFSET(IND!AN$25,$E47,0)</f>
        <v>0.33434725580538982</v>
      </c>
      <c r="AL47" s="138">
        <f ca="1">OFFSET(IND!AO$25,$E47,0)</f>
        <v>0.43675282924670999</v>
      </c>
      <c r="AM47" s="138">
        <f ca="1">OFFSET(IND!AP$25,$E47,0)</f>
        <v>0.54504981897824845</v>
      </c>
      <c r="AQ47" s="4"/>
    </row>
    <row r="48" spans="1:43">
      <c r="A48" s="36" t="s">
        <v>348</v>
      </c>
      <c r="B48">
        <v>0.241298002131</v>
      </c>
      <c r="E48" s="141">
        <f ca="1">MATCH(F48,IND!$D$26:$D$255,0)</f>
        <v>132</v>
      </c>
      <c r="F48" s="4" t="str">
        <f t="shared" si="0"/>
        <v>INFL</v>
      </c>
      <c r="G48" s="138">
        <f ca="1">OFFSET(IND!J$25,$E48,0)</f>
        <v>0.20036876463104916</v>
      </c>
      <c r="H48" s="138">
        <f ca="1">OFFSET(IND!K$25,$E48,0)</f>
        <v>0.16707306487040005</v>
      </c>
      <c r="I48" s="138">
        <f ca="1">OFFSET(IND!L$25,$E48,0)</f>
        <v>0.14388498825137655</v>
      </c>
      <c r="J48" s="138">
        <f ca="1">OFFSET(IND!M$25,$E48,0)</f>
        <v>5.0121000000000006E-2</v>
      </c>
      <c r="K48" s="138">
        <f ca="1">OFFSET(IND!N$25,$E48,0)</f>
        <v>5.0121000000000006E-2</v>
      </c>
      <c r="L48" s="138">
        <f ca="1">OFFSET(IND!O$25,$E48,0)</f>
        <v>5.0121000000000006E-2</v>
      </c>
      <c r="M48" s="138">
        <f ca="1">OFFSET(IND!P$25,$E48,0)</f>
        <v>4.9111852348993297E-2</v>
      </c>
      <c r="N48" s="138">
        <f ca="1">OFFSET(IND!Q$25,$E48,0)</f>
        <v>4.6420791946308736E-2</v>
      </c>
      <c r="O48" s="217">
        <f ca="1">OFFSET(IND!R$25,$E48,0)</f>
        <v>3.8095323825503367E-2</v>
      </c>
      <c r="P48" s="138">
        <f ca="1">OFFSET(IND!S$25,$E48,0)</f>
        <v>3.9783946328445188E-2</v>
      </c>
      <c r="Q48" s="138">
        <f ca="1">OFFSET(IND!T$25,$E48,0)</f>
        <v>4.0526940225830935E-2</v>
      </c>
      <c r="R48" s="138">
        <f ca="1">OFFSET(IND!U$25,$E48,0)</f>
        <v>4.1269934123092843E-2</v>
      </c>
      <c r="S48" s="138">
        <f ca="1">OFFSET(IND!V$25,$E48,0)</f>
        <v>4.2485742322711656E-2</v>
      </c>
      <c r="T48" s="217">
        <f ca="1">OFFSET(IND!W$25,$E48,0)</f>
        <v>4.3971730123510515E-2</v>
      </c>
      <c r="U48" s="138">
        <f ca="1">OFFSET(IND!X$25,$E48,0)</f>
        <v>4.5592807724747032E-2</v>
      </c>
      <c r="V48" s="138">
        <f ca="1">OFFSET(IND!Y$25,$E48,0)</f>
        <v>4.7416520026712247E-2</v>
      </c>
      <c r="W48" s="138">
        <f ca="1">OFFSET(IND!Z$25,$E48,0)</f>
        <v>4.9307777228730996E-2</v>
      </c>
      <c r="X48" s="138">
        <f ca="1">OFFSET(IND!AA$25,$E48,0)</f>
        <v>5.1604303832315138E-2</v>
      </c>
      <c r="Y48" s="219">
        <f ca="1">OFFSET(IND!AB$25,$E48,0)</f>
        <v>5.4171010036779634E-2</v>
      </c>
      <c r="Z48" s="138">
        <f ca="1">OFFSET(IND!AC$25,$E48,0)</f>
        <v>5.6467536639776834E-2</v>
      </c>
      <c r="AA48" s="138">
        <f ca="1">OFFSET(IND!AD$25,$E48,0)</f>
        <v>5.8696518342220595E-2</v>
      </c>
      <c r="AB48" s="138">
        <f ca="1">OFFSET(IND!AE$25,$E48,0)</f>
        <v>6.058777554305305E-2</v>
      </c>
      <c r="AC48" s="138">
        <f ca="1">OFFSET(IND!AF$25,$E48,0)</f>
        <v>6.2276398042884359E-2</v>
      </c>
      <c r="AD48" s="138">
        <f ca="1">OFFSET(IND!AG$25,$E48,0)</f>
        <v>6.3694840941508096E-2</v>
      </c>
      <c r="AE48" s="138">
        <f ca="1">OFFSET(IND!AH$25,$E48,0)</f>
        <v>6.4775559338736688E-2</v>
      </c>
      <c r="AF48" s="138">
        <f ca="1">OFFSET(IND!AI$25,$E48,0)</f>
        <v>6.5653643035126913E-2</v>
      </c>
      <c r="AG48" s="138">
        <f ca="1">OFFSET(IND!AJ$25,$E48,0)</f>
        <v>6.6329092030721931E-2</v>
      </c>
      <c r="AH48" s="138">
        <f ca="1">OFFSET(IND!AK$25,$E48,0)</f>
        <v>6.7072085926476233E-2</v>
      </c>
      <c r="AI48" s="138">
        <f ca="1">OFFSET(IND!AL$25,$E48,0)</f>
        <v>6.7815079822155719E-2</v>
      </c>
      <c r="AJ48" s="138">
        <f ca="1">OFFSET(IND!AM$25,$E48,0)</f>
        <v>7.8757353620688447E-2</v>
      </c>
      <c r="AK48" s="138">
        <f ca="1">OFFSET(IND!AN$25,$E48,0)</f>
        <v>0.10030417674161698</v>
      </c>
      <c r="AL48" s="138">
        <f ca="1">OFFSET(IND!AO$25,$E48,0)</f>
        <v>0.13102584877401305</v>
      </c>
      <c r="AM48" s="138">
        <f ca="1">OFFSET(IND!AP$25,$E48,0)</f>
        <v>0.16351494569347458</v>
      </c>
      <c r="AQ48" s="4"/>
    </row>
    <row r="49" spans="1:43">
      <c r="A49" s="36" t="s">
        <v>349</v>
      </c>
      <c r="B49">
        <v>4.5042293731129996</v>
      </c>
      <c r="E49" s="141">
        <f ca="1">MATCH(F49,IND!$D$26:$D$255,0)</f>
        <v>137</v>
      </c>
      <c r="F49" s="4" t="str">
        <f t="shared" si="0"/>
        <v>INFO</v>
      </c>
      <c r="G49" s="138">
        <f ca="1">OFFSET(IND!J$25,$E49,0)</f>
        <v>3.7402169397795855</v>
      </c>
      <c r="H49" s="138">
        <f ca="1">OFFSET(IND!K$25,$E49,0)</f>
        <v>3.1186972109141351</v>
      </c>
      <c r="I49" s="138">
        <f ca="1">OFFSET(IND!L$25,$E49,0)</f>
        <v>2.6858531140256963</v>
      </c>
      <c r="J49" s="138">
        <f ca="1">OFFSET(IND!M$25,$E49,0)</f>
        <v>0.9355920000000002</v>
      </c>
      <c r="K49" s="138">
        <f ca="1">OFFSET(IND!N$25,$E49,0)</f>
        <v>0.9355920000000002</v>
      </c>
      <c r="L49" s="138">
        <f ca="1">OFFSET(IND!O$25,$E49,0)</f>
        <v>0.9355920000000002</v>
      </c>
      <c r="M49" s="138">
        <f ca="1">OFFSET(IND!P$25,$E49,0)</f>
        <v>0.91675457718120823</v>
      </c>
      <c r="N49" s="138">
        <f ca="1">OFFSET(IND!Q$25,$E49,0)</f>
        <v>0.86652144966442968</v>
      </c>
      <c r="O49" s="217">
        <f ca="1">OFFSET(IND!R$25,$E49,0)</f>
        <v>0.71111271140939614</v>
      </c>
      <c r="P49" s="138">
        <f ca="1">OFFSET(IND!S$25,$E49,0)</f>
        <v>0.74263366479764348</v>
      </c>
      <c r="Q49" s="138">
        <f ca="1">OFFSET(IND!T$25,$E49,0)</f>
        <v>0.75650288421551071</v>
      </c>
      <c r="R49" s="138">
        <f ca="1">OFFSET(IND!U$25,$E49,0)</f>
        <v>0.77037210363106634</v>
      </c>
      <c r="S49" s="138">
        <f ca="1">OFFSET(IND!V$25,$E49,0)</f>
        <v>0.79306719002395087</v>
      </c>
      <c r="T49" s="217">
        <f ca="1">OFFSET(IND!W$25,$E49,0)</f>
        <v>0.82080562897219622</v>
      </c>
      <c r="U49" s="138">
        <f ca="1">OFFSET(IND!X$25,$E49,0)</f>
        <v>0.85106574419527792</v>
      </c>
      <c r="V49" s="138">
        <f ca="1">OFFSET(IND!Y$25,$E49,0)</f>
        <v>0.88510837383196184</v>
      </c>
      <c r="W49" s="138">
        <f ca="1">OFFSET(IND!Z$25,$E49,0)</f>
        <v>0.92041184160297851</v>
      </c>
      <c r="X49" s="138">
        <f ca="1">OFFSET(IND!AA$25,$E49,0)</f>
        <v>0.96328033820321579</v>
      </c>
      <c r="Y49" s="219">
        <f ca="1">OFFSET(IND!AB$25,$E49,0)</f>
        <v>1.0111921873532197</v>
      </c>
      <c r="Z49" s="138">
        <f ca="1">OFFSET(IND!AC$25,$E49,0)</f>
        <v>1.0540606839425006</v>
      </c>
      <c r="AA49" s="138">
        <f ca="1">OFFSET(IND!AD$25,$E49,0)</f>
        <v>1.0956683423881175</v>
      </c>
      <c r="AB49" s="138">
        <f ca="1">OFFSET(IND!AE$25,$E49,0)</f>
        <v>1.1309718101369901</v>
      </c>
      <c r="AC49" s="138">
        <f ca="1">OFFSET(IND!AF$25,$E49,0)</f>
        <v>1.1624927634671747</v>
      </c>
      <c r="AD49" s="138">
        <f ca="1">OFFSET(IND!AG$25,$E49,0)</f>
        <v>1.1889703642414844</v>
      </c>
      <c r="AE49" s="138">
        <f ca="1">OFFSET(IND!AH$25,$E49,0)</f>
        <v>1.2091437743230848</v>
      </c>
      <c r="AF49" s="138">
        <f ca="1">OFFSET(IND!AI$25,$E49,0)</f>
        <v>1.2255346699890357</v>
      </c>
      <c r="AG49" s="138">
        <f ca="1">OFFSET(IND!AJ$25,$E49,0)</f>
        <v>1.2381430512401426</v>
      </c>
      <c r="AH49" s="138">
        <f ca="1">OFFSET(IND!AK$25,$E49,0)</f>
        <v>1.2520122706275563</v>
      </c>
      <c r="AI49" s="138">
        <f ca="1">OFFSET(IND!AL$25,$E49,0)</f>
        <v>1.2658814900135733</v>
      </c>
      <c r="AJ49" s="138">
        <f ca="1">OFFSET(IND!AM$25,$E49,0)</f>
        <v>1.4701372675861843</v>
      </c>
      <c r="AK49" s="138">
        <f ca="1">OFFSET(IND!AN$25,$E49,0)</f>
        <v>1.8723446325101838</v>
      </c>
      <c r="AL49" s="138">
        <f ca="1">OFFSET(IND!AO$25,$E49,0)</f>
        <v>2.4458158437815767</v>
      </c>
      <c r="AM49" s="138">
        <f ca="1">OFFSET(IND!AP$25,$E49,0)</f>
        <v>3.0522789862781918</v>
      </c>
      <c r="AQ49" s="4"/>
    </row>
    <row r="50" spans="1:43">
      <c r="A50" s="36" t="s">
        <v>350</v>
      </c>
      <c r="B50" t="s">
        <v>386</v>
      </c>
      <c r="E50" s="141">
        <f ca="1">MATCH(F50,IND!$D$26:$D$255,0)</f>
        <v>135</v>
      </c>
      <c r="F50" s="4" t="str">
        <f t="shared" si="0"/>
        <v>INFP</v>
      </c>
      <c r="G50" s="138">
        <f ca="1">OFFSET(IND!J$25,$E50,0)</f>
        <v>0</v>
      </c>
      <c r="H50" s="138">
        <f ca="1">OFFSET(IND!K$25,$E50,0)</f>
        <v>0</v>
      </c>
      <c r="I50" s="138">
        <f ca="1">OFFSET(IND!L$25,$E50,0)</f>
        <v>0</v>
      </c>
      <c r="J50" s="138">
        <f ca="1">OFFSET(IND!M$25,$E50,0)</f>
        <v>0</v>
      </c>
      <c r="K50" s="138">
        <f ca="1">OFFSET(IND!N$25,$E50,0)</f>
        <v>0</v>
      </c>
      <c r="L50" s="138">
        <f ca="1">OFFSET(IND!O$25,$E50,0)</f>
        <v>0</v>
      </c>
      <c r="M50" s="138">
        <f ca="1">OFFSET(IND!P$25,$E50,0)</f>
        <v>0</v>
      </c>
      <c r="N50" s="138">
        <f ca="1">OFFSET(IND!Q$25,$E50,0)</f>
        <v>0</v>
      </c>
      <c r="O50" s="217">
        <f ca="1">OFFSET(IND!R$25,$E50,0)</f>
        <v>0</v>
      </c>
      <c r="P50" s="138">
        <f ca="1">OFFSET(IND!S$25,$E50,0)</f>
        <v>0</v>
      </c>
      <c r="Q50" s="138">
        <f ca="1">OFFSET(IND!T$25,$E50,0)</f>
        <v>0</v>
      </c>
      <c r="R50" s="138">
        <f ca="1">OFFSET(IND!U$25,$E50,0)</f>
        <v>0</v>
      </c>
      <c r="S50" s="138">
        <f ca="1">OFFSET(IND!V$25,$E50,0)</f>
        <v>0</v>
      </c>
      <c r="T50" s="217">
        <f ca="1">OFFSET(IND!W$25,$E50,0)</f>
        <v>0</v>
      </c>
      <c r="U50" s="138">
        <f ca="1">OFFSET(IND!X$25,$E50,0)</f>
        <v>0</v>
      </c>
      <c r="V50" s="138">
        <f ca="1">OFFSET(IND!Y$25,$E50,0)</f>
        <v>0</v>
      </c>
      <c r="W50" s="138">
        <f ca="1">OFFSET(IND!Z$25,$E50,0)</f>
        <v>0</v>
      </c>
      <c r="X50" s="138">
        <f ca="1">OFFSET(IND!AA$25,$E50,0)</f>
        <v>0</v>
      </c>
      <c r="Y50" s="219">
        <f ca="1">OFFSET(IND!AB$25,$E50,0)</f>
        <v>0</v>
      </c>
      <c r="Z50" s="138">
        <f ca="1">OFFSET(IND!AC$25,$E50,0)</f>
        <v>0</v>
      </c>
      <c r="AA50" s="138">
        <f ca="1">OFFSET(IND!AD$25,$E50,0)</f>
        <v>0</v>
      </c>
      <c r="AB50" s="138">
        <f ca="1">OFFSET(IND!AE$25,$E50,0)</f>
        <v>0</v>
      </c>
      <c r="AC50" s="138">
        <f ca="1">OFFSET(IND!AF$25,$E50,0)</f>
        <v>0</v>
      </c>
      <c r="AD50" s="138">
        <f ca="1">OFFSET(IND!AG$25,$E50,0)</f>
        <v>0</v>
      </c>
      <c r="AE50" s="138">
        <f ca="1">OFFSET(IND!AH$25,$E50,0)</f>
        <v>0</v>
      </c>
      <c r="AF50" s="138">
        <f ca="1">OFFSET(IND!AI$25,$E50,0)</f>
        <v>0</v>
      </c>
      <c r="AG50" s="138">
        <f ca="1">OFFSET(IND!AJ$25,$E50,0)</f>
        <v>0</v>
      </c>
      <c r="AH50" s="138">
        <f ca="1">OFFSET(IND!AK$25,$E50,0)</f>
        <v>0</v>
      </c>
      <c r="AI50" s="138">
        <f ca="1">OFFSET(IND!AL$25,$E50,0)</f>
        <v>0</v>
      </c>
      <c r="AJ50" s="138">
        <f ca="1">OFFSET(IND!AM$25,$E50,0)</f>
        <v>0</v>
      </c>
      <c r="AK50" s="138">
        <f ca="1">OFFSET(IND!AN$25,$E50,0)</f>
        <v>0</v>
      </c>
      <c r="AL50" s="138">
        <f ca="1">OFFSET(IND!AO$25,$E50,0)</f>
        <v>0</v>
      </c>
      <c r="AM50" s="138">
        <f ca="1">OFFSET(IND!AP$25,$E50,0)</f>
        <v>0</v>
      </c>
      <c r="AQ50" s="4"/>
    </row>
    <row r="51" spans="1:43">
      <c r="A51" s="36" t="s">
        <v>351</v>
      </c>
      <c r="B51">
        <v>0.51839999999999997</v>
      </c>
      <c r="E51" s="141">
        <f ca="1">MATCH(F51,IND!$D$26:$D$255,0)</f>
        <v>140</v>
      </c>
      <c r="F51" s="4" t="str">
        <f t="shared" si="0"/>
        <v>INFS</v>
      </c>
      <c r="G51" s="138">
        <f ca="1">OFFSET(IND!J$25,$E51,0)</f>
        <v>2.487856608</v>
      </c>
      <c r="H51" s="138">
        <f ca="1">OFFSET(IND!K$25,$E51,0)</f>
        <v>2.0744442339703264</v>
      </c>
      <c r="I51" s="138">
        <f ca="1">OFFSET(IND!L$25,$E51,0)</f>
        <v>1.7865320449139466</v>
      </c>
      <c r="J51" s="138">
        <f ca="1">OFFSET(IND!M$25,$E51,0)</f>
        <v>0.65368000000000004</v>
      </c>
      <c r="K51" s="138">
        <f ca="1">OFFSET(IND!N$25,$E51,0)</f>
        <v>0.65368000000000004</v>
      </c>
      <c r="L51" s="138">
        <f ca="1">OFFSET(IND!O$25,$E51,0)</f>
        <v>0.65368000000000004</v>
      </c>
      <c r="M51" s="138">
        <f ca="1">OFFSET(IND!P$25,$E51,0)</f>
        <v>0.64051865771812089</v>
      </c>
      <c r="N51" s="138">
        <f ca="1">OFFSET(IND!Q$25,$E51,0)</f>
        <v>0.60542174496644308</v>
      </c>
      <c r="O51" s="217">
        <f ca="1">OFFSET(IND!R$25,$E51,0)</f>
        <v>0.49684067114093977</v>
      </c>
      <c r="P51" s="138">
        <f ca="1">OFFSET(IND!S$25,$E51,0)</f>
        <v>0.51886375044348787</v>
      </c>
      <c r="Q51" s="138">
        <f ca="1">OFFSET(IND!T$25,$E51,0)</f>
        <v>0.52855390528563218</v>
      </c>
      <c r="R51" s="138">
        <f ca="1">OFFSET(IND!U$25,$E51,0)</f>
        <v>0.53824406012616144</v>
      </c>
      <c r="S51" s="138">
        <f ca="1">OFFSET(IND!V$25,$E51,0)</f>
        <v>0.5541006771914001</v>
      </c>
      <c r="T51" s="217">
        <f ca="1">OFFSET(IND!W$25,$E51,0)</f>
        <v>0.57348098695429783</v>
      </c>
      <c r="U51" s="138">
        <f ca="1">OFFSET(IND!X$25,$E51,0)</f>
        <v>0.59462314306403807</v>
      </c>
      <c r="V51" s="138">
        <f ca="1">OFFSET(IND!Y$25,$E51,0)</f>
        <v>0.61840806869498355</v>
      </c>
      <c r="W51" s="138">
        <f ca="1">OFFSET(IND!Z$25,$E51,0)</f>
        <v>0.64307391749719456</v>
      </c>
      <c r="X51" s="138">
        <f ca="1">OFFSET(IND!AA$25,$E51,0)</f>
        <v>0.6730253053432248</v>
      </c>
      <c r="Y51" s="219">
        <f ca="1">OFFSET(IND!AB$25,$E51,0)</f>
        <v>0.70650038588300557</v>
      </c>
      <c r="Z51" s="138">
        <f ca="1">OFFSET(IND!AC$25,$E51,0)</f>
        <v>0.73645177372138082</v>
      </c>
      <c r="AA51" s="138">
        <f ca="1">OFFSET(IND!AD$25,$E51,0)</f>
        <v>0.76552223838197098</v>
      </c>
      <c r="AB51" s="138">
        <f ca="1">OFFSET(IND!AE$25,$E51,0)</f>
        <v>0.79018808716871025</v>
      </c>
      <c r="AC51" s="138">
        <f ca="1">OFFSET(IND!AF$25,$E51,0)</f>
        <v>0.81221116643069091</v>
      </c>
      <c r="AD51" s="138">
        <f ca="1">OFFSET(IND!AG$25,$E51,0)</f>
        <v>0.83071055299465335</v>
      </c>
      <c r="AE51" s="138">
        <f ca="1">OFFSET(IND!AH$25,$E51,0)</f>
        <v>0.84480532368758421</v>
      </c>
      <c r="AF51" s="138">
        <f ca="1">OFFSET(IND!AI$25,$E51,0)</f>
        <v>0.85625732485787931</v>
      </c>
      <c r="AG51" s="138">
        <f ca="1">OFFSET(IND!AJ$25,$E51,0)</f>
        <v>0.86506655650610165</v>
      </c>
      <c r="AH51" s="138">
        <f ca="1">OFFSET(IND!AK$25,$E51,0)</f>
        <v>0.87475671132696853</v>
      </c>
      <c r="AI51" s="138">
        <f ca="1">OFFSET(IND!AL$25,$E51,0)</f>
        <v>0.88444686614685974</v>
      </c>
      <c r="AJ51" s="138">
        <f ca="1">OFFSET(IND!AM$25,$E51,0)</f>
        <v>1.0271564197596144</v>
      </c>
      <c r="AK51" s="138">
        <f ca="1">OFFSET(IND!AN$25,$E51,0)</f>
        <v>1.3081709114435107</v>
      </c>
      <c r="AL51" s="138">
        <f ca="1">OFFSET(IND!AO$25,$E51,0)</f>
        <v>1.7088441337283147</v>
      </c>
      <c r="AM51" s="138">
        <f ca="1">OFFSET(IND!AP$25,$E51,0)</f>
        <v>2.1325681790249691</v>
      </c>
      <c r="AQ51" s="4"/>
    </row>
    <row r="52" spans="1:43">
      <c r="A52" s="36" t="s">
        <v>352</v>
      </c>
      <c r="B52">
        <v>0.24189876324029999</v>
      </c>
      <c r="E52" s="141">
        <f ca="1">MATCH(F52,IND!$D$26:$D$255,0)</f>
        <v>209</v>
      </c>
      <c r="F52" s="4" t="str">
        <f t="shared" si="0"/>
        <v>IOTA</v>
      </c>
      <c r="G52" s="138">
        <f ca="1">OFFSET(IND!J$25,$E52,0)</f>
        <v>0.22789646617646991</v>
      </c>
      <c r="H52" s="138">
        <f ca="1">OFFSET(IND!K$25,$E52,0)</f>
        <v>0.23382854828968336</v>
      </c>
      <c r="I52" s="138">
        <f ca="1">OFFSET(IND!L$25,$E52,0)</f>
        <v>0.23771875548301416</v>
      </c>
      <c r="J52" s="138">
        <f ca="1">OFFSET(IND!M$25,$E52,0)</f>
        <v>0.12355272</v>
      </c>
      <c r="K52" s="138">
        <f ca="1">OFFSET(IND!N$25,$E52,0)</f>
        <v>0.12355272</v>
      </c>
      <c r="L52" s="138">
        <f ca="1">OFFSET(IND!O$25,$E52,0)</f>
        <v>0.12355272</v>
      </c>
      <c r="M52" s="138">
        <f ca="1">OFFSET(IND!P$25,$E52,0)</f>
        <v>0.12462904843905918</v>
      </c>
      <c r="N52" s="138">
        <f ca="1">OFFSET(IND!Q$25,$E52,0)</f>
        <v>0.12459480162508911</v>
      </c>
      <c r="O52" s="217">
        <f ca="1">OFFSET(IND!R$25,$E52,0)</f>
        <v>0.11264266354953673</v>
      </c>
      <c r="P52" s="138">
        <f ca="1">OFFSET(IND!S$25,$E52,0)</f>
        <v>0.11770834042871268</v>
      </c>
      <c r="Q52" s="138">
        <f ca="1">OFFSET(IND!T$25,$E52,0)</f>
        <v>0.1222106382904142</v>
      </c>
      <c r="R52" s="138">
        <f ca="1">OFFSET(IND!U$25,$E52,0)</f>
        <v>0.12698752424463788</v>
      </c>
      <c r="S52" s="138">
        <f ca="1">OFFSET(IND!V$25,$E52,0)</f>
        <v>0.13242720904290228</v>
      </c>
      <c r="T52" s="217">
        <f ca="1">OFFSET(IND!W$25,$E52,0)</f>
        <v>0.13829771308978378</v>
      </c>
      <c r="U52" s="138">
        <f ca="1">OFFSET(IND!X$25,$E52,0)</f>
        <v>0.14480261031595393</v>
      </c>
      <c r="V52" s="138">
        <f ca="1">OFFSET(IND!Y$25,$E52,0)</f>
        <v>0.15175252962310901</v>
      </c>
      <c r="W52" s="138">
        <f ca="1">OFFSET(IND!Z$25,$E52,0)</f>
        <v>0.15925635939276964</v>
      </c>
      <c r="X52" s="138">
        <f ca="1">OFFSET(IND!AA$25,$E52,0)</f>
        <v>0.16774965315102208</v>
      </c>
      <c r="Y52" s="219">
        <f ca="1">OFFSET(IND!AB$25,$E52,0)</f>
        <v>0.17665482904805047</v>
      </c>
      <c r="Z52" s="138">
        <f ca="1">OFFSET(IND!AC$25,$E52,0)</f>
        <v>0.18580618737284282</v>
      </c>
      <c r="AA52" s="138">
        <f ca="1">OFFSET(IND!AD$25,$E52,0)</f>
        <v>0.19548305049538831</v>
      </c>
      <c r="AB52" s="138">
        <f ca="1">OFFSET(IND!AE$25,$E52,0)</f>
        <v>0.20560966997636659</v>
      </c>
      <c r="AC52" s="138">
        <f ca="1">OFFSET(IND!AF$25,$E52,0)</f>
        <v>0.21641329113373312</v>
      </c>
      <c r="AD52" s="138">
        <f ca="1">OFFSET(IND!AG$25,$E52,0)</f>
        <v>0.22716010096158701</v>
      </c>
      <c r="AE52" s="138">
        <f ca="1">OFFSET(IND!AH$25,$E52,0)</f>
        <v>0.23839927564498845</v>
      </c>
      <c r="AF52" s="138">
        <f ca="1">OFFSET(IND!AI$25,$E52,0)</f>
        <v>0.25103032790084129</v>
      </c>
      <c r="AG52" s="138">
        <f ca="1">OFFSET(IND!AJ$25,$E52,0)</f>
        <v>0.26430997616833196</v>
      </c>
      <c r="AH52" s="138">
        <f ca="1">OFFSET(IND!AK$25,$E52,0)</f>
        <v>0.2782760946671185</v>
      </c>
      <c r="AI52" s="138">
        <f ca="1">OFFSET(IND!AL$25,$E52,0)</f>
        <v>0.29276298368619175</v>
      </c>
      <c r="AJ52" s="138">
        <f ca="1">OFFSET(IND!AM$25,$E52,0)</f>
        <v>0.37858596543059164</v>
      </c>
      <c r="AK52" s="138">
        <f ca="1">OFFSET(IND!AN$25,$E52,0)</f>
        <v>0.4867215968307867</v>
      </c>
      <c r="AL52" s="138">
        <f ca="1">OFFSET(IND!AO$25,$E52,0)</f>
        <v>0.67696143503274486</v>
      </c>
      <c r="AM52" s="138">
        <f ca="1">OFFSET(IND!AP$25,$E52,0)</f>
        <v>0.87092004817733759</v>
      </c>
      <c r="AQ52" s="4"/>
    </row>
    <row r="53" spans="1:43">
      <c r="A53" s="36" t="s">
        <v>353</v>
      </c>
      <c r="B53">
        <v>4.5502640185010002</v>
      </c>
      <c r="E53" s="141">
        <f ca="1">MATCH(F53,IND!$D$26:$D$255,0)</f>
        <v>211</v>
      </c>
      <c r="F53" s="4" t="str">
        <f t="shared" si="0"/>
        <v>IOTC</v>
      </c>
      <c r="G53" s="138">
        <f ca="1">OFFSET(IND!J$25,$E53,0)</f>
        <v>4.2868722274366169</v>
      </c>
      <c r="H53" s="138">
        <f ca="1">OFFSET(IND!K$25,$E53,0)</f>
        <v>4.3984583283036507</v>
      </c>
      <c r="I53" s="138">
        <f ca="1">OFFSET(IND!L$25,$E53,0)</f>
        <v>4.4716355102751804</v>
      </c>
      <c r="J53" s="138">
        <f ca="1">OFFSET(IND!M$25,$E53,0)</f>
        <v>2.3241024000000006</v>
      </c>
      <c r="K53" s="138">
        <f ca="1">OFFSET(IND!N$25,$E53,0)</f>
        <v>2.3241024000000006</v>
      </c>
      <c r="L53" s="138">
        <f ca="1">OFFSET(IND!O$25,$E53,0)</f>
        <v>2.3241024000000006</v>
      </c>
      <c r="M53" s="138">
        <f ca="1">OFFSET(IND!P$25,$E53,0)</f>
        <v>2.3443487977191744</v>
      </c>
      <c r="N53" s="138">
        <f ca="1">OFFSET(IND!Q$25,$E53,0)</f>
        <v>2.3437045941553825</v>
      </c>
      <c r="O53" s="217">
        <f ca="1">OFFSET(IND!R$25,$E53,0)</f>
        <v>2.1188775503920181</v>
      </c>
      <c r="P53" s="138">
        <f ca="1">OFFSET(IND!S$25,$E53,0)</f>
        <v>2.2141660377075332</v>
      </c>
      <c r="Q53" s="138">
        <f ca="1">OFFSET(IND!T$25,$E53,0)</f>
        <v>2.298857020357655</v>
      </c>
      <c r="R53" s="138">
        <f ca="1">OFFSET(IND!U$25,$E53,0)</f>
        <v>2.3887131733483584</v>
      </c>
      <c r="S53" s="138">
        <f ca="1">OFFSET(IND!V$25,$E53,0)</f>
        <v>2.4910369788857016</v>
      </c>
      <c r="T53" s="217">
        <f ca="1">OFFSET(IND!W$25,$E53,0)</f>
        <v>2.6014647585781843</v>
      </c>
      <c r="U53" s="138">
        <f ca="1">OFFSET(IND!X$25,$E53,0)</f>
        <v>2.723825862850882</v>
      </c>
      <c r="V53" s="138">
        <f ca="1">OFFSET(IND!Y$25,$E53,0)</f>
        <v>2.8545581052617774</v>
      </c>
      <c r="W53" s="138">
        <f ca="1">OFFSET(IND!Z$25,$E53,0)</f>
        <v>2.9957097430149546</v>
      </c>
      <c r="X53" s="138">
        <f ca="1">OFFSET(IND!AA$25,$E53,0)</f>
        <v>3.1554738049268214</v>
      </c>
      <c r="Y53" s="219">
        <f ca="1">OFFSET(IND!AB$25,$E53,0)</f>
        <v>3.3229856223494232</v>
      </c>
      <c r="Z53" s="138">
        <f ca="1">OFFSET(IND!AC$25,$E53,0)</f>
        <v>3.4951282821460663</v>
      </c>
      <c r="AA53" s="138">
        <f ca="1">OFFSET(IND!AD$25,$E53,0)</f>
        <v>3.6771560093185598</v>
      </c>
      <c r="AB53" s="138">
        <f ca="1">OFFSET(IND!AE$25,$E53,0)</f>
        <v>3.8676439292901188</v>
      </c>
      <c r="AC53" s="138">
        <f ca="1">OFFSET(IND!AF$25,$E53,0)</f>
        <v>4.0708666657909935</v>
      </c>
      <c r="AD53" s="138">
        <f ca="1">OFFSET(IND!AG$25,$E53,0)</f>
        <v>4.2730207463588581</v>
      </c>
      <c r="AE53" s="138">
        <f ca="1">OFFSET(IND!AH$25,$E53,0)</f>
        <v>4.4844365116751748</v>
      </c>
      <c r="AF53" s="138">
        <f ca="1">OFFSET(IND!AI$25,$E53,0)</f>
        <v>4.7220343473387931</v>
      </c>
      <c r="AG53" s="138">
        <f ca="1">OFFSET(IND!AJ$25,$E53,0)</f>
        <v>4.971832671565334</v>
      </c>
      <c r="AH53" s="138">
        <f ca="1">OFFSET(IND!AK$25,$E53,0)</f>
        <v>5.2345439216431489</v>
      </c>
      <c r="AI53" s="138">
        <f ca="1">OFFSET(IND!AL$25,$E53,0)</f>
        <v>5.5070511844355972</v>
      </c>
      <c r="AJ53" s="138">
        <f ca="1">OFFSET(IND!AM$25,$E53,0)</f>
        <v>7.1214340798288847</v>
      </c>
      <c r="AK53" s="138">
        <f ca="1">OFFSET(IND!AN$25,$E53,0)</f>
        <v>9.1555315927181908</v>
      </c>
      <c r="AL53" s="138">
        <f ca="1">OFFSET(IND!AO$25,$E53,0)</f>
        <v>12.734059564751369</v>
      </c>
      <c r="AM53" s="138">
        <f ca="1">OFFSET(IND!AP$25,$E53,0)</f>
        <v>16.382539973033921</v>
      </c>
      <c r="AQ53" s="4"/>
    </row>
    <row r="54" spans="1:43">
      <c r="A54" s="36" t="s">
        <v>354</v>
      </c>
      <c r="B54">
        <v>0.43799389606880001</v>
      </c>
      <c r="E54" s="141">
        <f ca="1">MATCH(F54,IND!$D$26:$D$255,0)</f>
        <v>216</v>
      </c>
      <c r="F54" s="4" t="str">
        <f t="shared" si="0"/>
        <v>IOTE</v>
      </c>
      <c r="G54" s="138">
        <f ca="1">OFFSET(IND!J$25,$E54,0)</f>
        <v>0.41264064265496897</v>
      </c>
      <c r="H54" s="138">
        <f ca="1">OFFSET(IND!K$25,$E54,0)</f>
        <v>0.42338156469095606</v>
      </c>
      <c r="I54" s="138">
        <f ca="1">OFFSET(IND!L$25,$E54,0)</f>
        <v>0.43042536674391985</v>
      </c>
      <c r="J54" s="138">
        <f ca="1">OFFSET(IND!M$25,$E54,0)</f>
        <v>0.22371068160000002</v>
      </c>
      <c r="K54" s="138">
        <f ca="1">OFFSET(IND!N$25,$E54,0)</f>
        <v>0.22371068160000002</v>
      </c>
      <c r="L54" s="138">
        <f ca="1">OFFSET(IND!O$25,$E54,0)</f>
        <v>0.22371068160000002</v>
      </c>
      <c r="M54" s="138">
        <f ca="1">OFFSET(IND!P$25,$E54,0)</f>
        <v>0.22565953524504639</v>
      </c>
      <c r="N54" s="138">
        <f ca="1">OFFSET(IND!Q$25,$E54,0)</f>
        <v>0.22559752626543128</v>
      </c>
      <c r="O54" s="217">
        <f ca="1">OFFSET(IND!R$25,$E54,0)</f>
        <v>0.20395639237975771</v>
      </c>
      <c r="P54" s="138">
        <f ca="1">OFFSET(IND!S$25,$E54,0)</f>
        <v>0.21312855813544335</v>
      </c>
      <c r="Q54" s="138">
        <f ca="1">OFFSET(IND!T$25,$E54,0)</f>
        <v>0.22128064190508814</v>
      </c>
      <c r="R54" s="138">
        <f ca="1">OFFSET(IND!U$25,$E54,0)</f>
        <v>0.22992990849140726</v>
      </c>
      <c r="S54" s="138">
        <f ca="1">OFFSET(IND!V$25,$E54,0)</f>
        <v>0.23977927153180725</v>
      </c>
      <c r="T54" s="217">
        <f ca="1">OFFSET(IND!W$25,$E54,0)</f>
        <v>0.25040869726734277</v>
      </c>
      <c r="U54" s="138">
        <f ca="1">OFFSET(IND!X$25,$E54,0)</f>
        <v>0.26218678675177076</v>
      </c>
      <c r="V54" s="138">
        <f ca="1">OFFSET(IND!Y$25,$E54,0)</f>
        <v>0.27477065528391365</v>
      </c>
      <c r="W54" s="138">
        <f ca="1">OFFSET(IND!Z$25,$E54,0)</f>
        <v>0.28835746156694125</v>
      </c>
      <c r="X54" s="138">
        <f ca="1">OFFSET(IND!AA$25,$E54,0)</f>
        <v>0.30373584041353957</v>
      </c>
      <c r="Y54" s="219">
        <f ca="1">OFFSET(IND!AB$25,$E54,0)</f>
        <v>0.31985999348513616</v>
      </c>
      <c r="Z54" s="138">
        <f ca="1">OFFSET(IND!AC$25,$E54,0)</f>
        <v>0.33642989666820761</v>
      </c>
      <c r="AA54" s="138">
        <f ca="1">OFFSET(IND!AD$25,$E54,0)</f>
        <v>0.35395130489697468</v>
      </c>
      <c r="AB54" s="138">
        <f ca="1">OFFSET(IND!AE$25,$E54,0)</f>
        <v>0.37228706429096853</v>
      </c>
      <c r="AC54" s="138">
        <f ca="1">OFFSET(IND!AF$25,$E54,0)</f>
        <v>0.39184863649158574</v>
      </c>
      <c r="AD54" s="138">
        <f ca="1">OFFSET(IND!AG$25,$E54,0)</f>
        <v>0.41130734328181079</v>
      </c>
      <c r="AE54" s="138">
        <f ca="1">OFFSET(IND!AH$25,$E54,0)</f>
        <v>0.43165755029502101</v>
      </c>
      <c r="AF54" s="138">
        <f ca="1">OFFSET(IND!AI$25,$E54,0)</f>
        <v>0.45452795986173927</v>
      </c>
      <c r="AG54" s="138">
        <f ca="1">OFFSET(IND!AJ$25,$E54,0)</f>
        <v>0.47857274952989554</v>
      </c>
      <c r="AH54" s="138">
        <f ca="1">OFFSET(IND!AK$25,$E54,0)</f>
        <v>0.50386049623972029</v>
      </c>
      <c r="AI54" s="138">
        <f ca="1">OFFSET(IND!AL$25,$E54,0)</f>
        <v>0.53009117587769539</v>
      </c>
      <c r="AJ54" s="138">
        <f ca="1">OFFSET(IND!AM$25,$E54,0)</f>
        <v>0.68548652243893715</v>
      </c>
      <c r="AK54" s="138">
        <f ca="1">OFFSET(IND!AN$25,$E54,0)</f>
        <v>0.88128225891308365</v>
      </c>
      <c r="AL54" s="138">
        <f ca="1">OFFSET(IND!AO$25,$E54,0)</f>
        <v>1.2257399436296468</v>
      </c>
      <c r="AM54" s="138">
        <f ca="1">OFFSET(IND!AP$25,$E54,0)</f>
        <v>1.5769310266650312</v>
      </c>
      <c r="AQ54" s="4"/>
    </row>
    <row r="55" spans="1:43">
      <c r="A55" s="36" t="s">
        <v>355</v>
      </c>
      <c r="B55">
        <v>1.959977536374</v>
      </c>
      <c r="E55" s="141">
        <f ca="1">MATCH(F55,IND!$D$26:$D$255,0)</f>
        <v>214</v>
      </c>
      <c r="F55" s="4" t="str">
        <f t="shared" si="0"/>
        <v>IOTF</v>
      </c>
      <c r="G55" s="138">
        <f ca="1">OFFSET(IND!J$25,$E55,0)</f>
        <v>1.8465243407674456</v>
      </c>
      <c r="H55" s="138">
        <f ca="1">OFFSET(IND!K$25,$E55,0)</f>
        <v>1.8945888597012226</v>
      </c>
      <c r="I55" s="138">
        <f ca="1">OFFSET(IND!L$25,$E55,0)</f>
        <v>1.9261091478111381</v>
      </c>
      <c r="J55" s="138">
        <f ca="1">OFFSET(IND!M$25,$E55,0)</f>
        <v>1.0010822400000001</v>
      </c>
      <c r="K55" s="138">
        <f ca="1">OFFSET(IND!N$25,$E55,0)</f>
        <v>1.0010822400000001</v>
      </c>
      <c r="L55" s="138">
        <f ca="1">OFFSET(IND!O$25,$E55,0)</f>
        <v>1.0010822400000001</v>
      </c>
      <c r="M55" s="138">
        <f ca="1">OFFSET(IND!P$25,$E55,0)</f>
        <v>1.0098031591732006</v>
      </c>
      <c r="N55" s="138">
        <f ca="1">OFFSET(IND!Q$25,$E55,0)</f>
        <v>1.009525675381326</v>
      </c>
      <c r="O55" s="217">
        <f ca="1">OFFSET(IND!R$25,$E55,0)</f>
        <v>0.91268383201710646</v>
      </c>
      <c r="P55" s="138">
        <f ca="1">OFFSET(IND!S$25,$E55,0)</f>
        <v>0.95372832830437304</v>
      </c>
      <c r="Q55" s="138">
        <f ca="1">OFFSET(IND!T$25,$E55,0)</f>
        <v>0.99020806285444496</v>
      </c>
      <c r="R55" s="138">
        <f ca="1">OFFSET(IND!U$25,$E55,0)</f>
        <v>1.0289126392593899</v>
      </c>
      <c r="S55" s="138">
        <f ca="1">OFFSET(IND!V$25,$E55,0)</f>
        <v>1.0729875235900665</v>
      </c>
      <c r="T55" s="217">
        <f ca="1">OFFSET(IND!W$25,$E55,0)</f>
        <v>1.1205531080723927</v>
      </c>
      <c r="U55" s="138">
        <f ca="1">OFFSET(IND!X$25,$E55,0)</f>
        <v>1.1732588444264302</v>
      </c>
      <c r="V55" s="138">
        <f ca="1">OFFSET(IND!Y$25,$E55,0)</f>
        <v>1.229570358959061</v>
      </c>
      <c r="W55" s="138">
        <f ca="1">OFFSET(IND!Z$25,$E55,0)</f>
        <v>1.2903699165437952</v>
      </c>
      <c r="X55" s="138">
        <f ca="1">OFFSET(IND!AA$25,$E55,0)</f>
        <v>1.3591865766747044</v>
      </c>
      <c r="Y55" s="219">
        <f ca="1">OFFSET(IND!AB$25,$E55,0)</f>
        <v>1.431340499587864</v>
      </c>
      <c r="Z55" s="138">
        <f ca="1">OFFSET(IND!AC$25,$E55,0)</f>
        <v>1.5054891083018267</v>
      </c>
      <c r="AA55" s="138">
        <f ca="1">OFFSET(IND!AD$25,$E55,0)</f>
        <v>1.5838956040138696</v>
      </c>
      <c r="AB55" s="138">
        <f ca="1">OFFSET(IND!AE$25,$E55,0)</f>
        <v>1.6659462372467551</v>
      </c>
      <c r="AC55" s="138">
        <f ca="1">OFFSET(IND!AF$25,$E55,0)</f>
        <v>1.7534822564321511</v>
      </c>
      <c r="AD55" s="138">
        <f ca="1">OFFSET(IND!AG$25,$E55,0)</f>
        <v>1.8405579635094376</v>
      </c>
      <c r="AE55" s="138">
        <f ca="1">OFFSET(IND!AH$25,$E55,0)</f>
        <v>1.931623042188489</v>
      </c>
      <c r="AF55" s="138">
        <f ca="1">OFFSET(IND!AI$25,$E55,0)</f>
        <v>2.0339657675113005</v>
      </c>
      <c r="AG55" s="138">
        <f ca="1">OFFSET(IND!AJ$25,$E55,0)</f>
        <v>2.1415637227326156</v>
      </c>
      <c r="AH55" s="138">
        <f ca="1">OFFSET(IND!AK$25,$E55,0)</f>
        <v>2.2547237825910362</v>
      </c>
      <c r="AI55" s="138">
        <f ca="1">OFFSET(IND!AL$25,$E55,0)</f>
        <v>2.3721033701051377</v>
      </c>
      <c r="AJ55" s="138">
        <f ca="1">OFFSET(IND!AM$25,$E55,0)</f>
        <v>3.0674815277706506</v>
      </c>
      <c r="AK55" s="138">
        <f ca="1">OFFSET(IND!AN$25,$E55,0)</f>
        <v>3.9436472658128534</v>
      </c>
      <c r="AL55" s="138">
        <f ca="1">OFFSET(IND!AO$25,$E55,0)</f>
        <v>5.4850598981244207</v>
      </c>
      <c r="AM55" s="138">
        <f ca="1">OFFSET(IND!AP$25,$E55,0)</f>
        <v>7.0566037938321191</v>
      </c>
      <c r="AQ55" s="4"/>
    </row>
    <row r="56" spans="1:43">
      <c r="A56" s="36" t="s">
        <v>356</v>
      </c>
      <c r="B56">
        <v>3.382156358499</v>
      </c>
      <c r="E56" s="141">
        <f ca="1">MATCH(F56,IND!$D$26:$D$255,0)</f>
        <v>212</v>
      </c>
      <c r="F56" s="4" t="str">
        <f t="shared" si="0"/>
        <v>IOTH</v>
      </c>
      <c r="G56" s="138">
        <f ca="1">OFFSET(IND!J$25,$E56,0)</f>
        <v>3.1863804172999206</v>
      </c>
      <c r="H56" s="138">
        <f ca="1">OFFSET(IND!K$25,$E56,0)</f>
        <v>3.269321020094182</v>
      </c>
      <c r="I56" s="138">
        <f ca="1">OFFSET(IND!L$25,$E56,0)</f>
        <v>3.3237127367716583</v>
      </c>
      <c r="J56" s="138">
        <f ca="1">OFFSET(IND!M$25,$E56,0)</f>
        <v>1.7274772800000002</v>
      </c>
      <c r="K56" s="138">
        <f ca="1">OFFSET(IND!N$25,$E56,0)</f>
        <v>1.7274772800000002</v>
      </c>
      <c r="L56" s="138">
        <f ca="1">OFFSET(IND!O$25,$E56,0)</f>
        <v>1.7274772800000002</v>
      </c>
      <c r="M56" s="138">
        <f ca="1">OFFSET(IND!P$25,$E56,0)</f>
        <v>1.7425261832074133</v>
      </c>
      <c r="N56" s="138">
        <f ca="1">OFFSET(IND!Q$25,$E56,0)</f>
        <v>1.7420473544689956</v>
      </c>
      <c r="O56" s="217">
        <f ca="1">OFFSET(IND!R$25,$E56,0)</f>
        <v>1.5749361247612266</v>
      </c>
      <c r="P56" s="138">
        <f ca="1">OFFSET(IND!S$25,$E56,0)</f>
        <v>1.6457629079886438</v>
      </c>
      <c r="Q56" s="138">
        <f ca="1">OFFSET(IND!T$25,$E56,0)</f>
        <v>1.7087126938280972</v>
      </c>
      <c r="R56" s="138">
        <f ca="1">OFFSET(IND!U$25,$E56,0)</f>
        <v>1.7755016884780936</v>
      </c>
      <c r="S56" s="138">
        <f ca="1">OFFSET(IND!V$25,$E56,0)</f>
        <v>1.8515577388779807</v>
      </c>
      <c r="T56" s="217">
        <f ca="1">OFFSET(IND!W$25,$E56,0)</f>
        <v>1.9336373755151655</v>
      </c>
      <c r="U56" s="138">
        <f ca="1">OFFSET(IND!X$25,$E56,0)</f>
        <v>2.0245869083699981</v>
      </c>
      <c r="V56" s="138">
        <f ca="1">OFFSET(IND!Y$25,$E56,0)</f>
        <v>2.1217586072281351</v>
      </c>
      <c r="W56" s="138">
        <f ca="1">OFFSET(IND!Z$25,$E56,0)</f>
        <v>2.226674916962768</v>
      </c>
      <c r="X56" s="138">
        <f ca="1">OFFSET(IND!AA$25,$E56,0)</f>
        <v>2.3454256170667147</v>
      </c>
      <c r="Y56" s="219">
        <f ca="1">OFFSET(IND!AB$25,$E56,0)</f>
        <v>2.4699351303863741</v>
      </c>
      <c r="Z56" s="138">
        <f ca="1">OFFSET(IND!AC$25,$E56,0)</f>
        <v>2.5978866929842486</v>
      </c>
      <c r="AA56" s="138">
        <f ca="1">OFFSET(IND!AD$25,$E56,0)</f>
        <v>2.7331857069263714</v>
      </c>
      <c r="AB56" s="138">
        <f ca="1">OFFSET(IND!AE$25,$E56,0)</f>
        <v>2.8747730801270213</v>
      </c>
      <c r="AC56" s="138">
        <f ca="1">OFFSET(IND!AF$25,$E56,0)</f>
        <v>3.0258260888432837</v>
      </c>
      <c r="AD56" s="138">
        <f ca="1">OFFSET(IND!AG$25,$E56,0)</f>
        <v>3.1760847784949426</v>
      </c>
      <c r="AE56" s="138">
        <f ca="1">OFFSET(IND!AH$25,$E56,0)</f>
        <v>3.3332275667033056</v>
      </c>
      <c r="AF56" s="138">
        <f ca="1">OFFSET(IND!AI$25,$E56,0)</f>
        <v>3.5098311719859621</v>
      </c>
      <c r="AG56" s="138">
        <f ca="1">OFFSET(IND!AJ$25,$E56,0)</f>
        <v>3.6955032532520122</v>
      </c>
      <c r="AH56" s="138">
        <f ca="1">OFFSET(IND!AK$25,$E56,0)</f>
        <v>3.8907733565442864</v>
      </c>
      <c r="AI56" s="138">
        <f ca="1">OFFSET(IND!AL$25,$E56,0)</f>
        <v>4.0933247179253271</v>
      </c>
      <c r="AJ56" s="138">
        <f ca="1">OFFSET(IND!AM$25,$E56,0)</f>
        <v>5.2932760509700838</v>
      </c>
      <c r="AK56" s="138">
        <f ca="1">OFFSET(IND!AN$25,$E56,0)</f>
        <v>6.8051961964941281</v>
      </c>
      <c r="AL56" s="138">
        <f ca="1">OFFSET(IND!AO$25,$E56,0)</f>
        <v>9.46507287298299</v>
      </c>
      <c r="AM56" s="138">
        <f ca="1">OFFSET(IND!AP$25,$E56,0)</f>
        <v>12.176944351551761</v>
      </c>
      <c r="AQ56" s="4"/>
    </row>
    <row r="57" spans="1:43">
      <c r="A57" s="36" t="s">
        <v>357</v>
      </c>
      <c r="B57">
        <v>4.2714054259280001</v>
      </c>
      <c r="E57" s="141">
        <f ca="1">MATCH(F57,IND!$D$26:$D$255,0)</f>
        <v>208</v>
      </c>
      <c r="F57" s="4" t="str">
        <f t="shared" si="0"/>
        <v>IOTK</v>
      </c>
      <c r="G57" s="138">
        <f ca="1">OFFSET(IND!J$25,$E57,0)</f>
        <v>4.0241553496851505</v>
      </c>
      <c r="H57" s="138">
        <f ca="1">OFFSET(IND!K$25,$E57,0)</f>
        <v>4.1289030027364033</v>
      </c>
      <c r="I57" s="138">
        <f ca="1">OFFSET(IND!L$25,$E57,0)</f>
        <v>4.1975955908711562</v>
      </c>
      <c r="J57" s="138">
        <f ca="1">OFFSET(IND!M$25,$E57,0)</f>
        <v>2.1816720000000003</v>
      </c>
      <c r="K57" s="138">
        <f ca="1">OFFSET(IND!N$25,$E57,0)</f>
        <v>2.1816720000000003</v>
      </c>
      <c r="L57" s="138">
        <f ca="1">OFFSET(IND!O$25,$E57,0)</f>
        <v>2.1816720000000003</v>
      </c>
      <c r="M57" s="138">
        <f ca="1">OFFSET(IND!P$25,$E57,0)</f>
        <v>2.2006776165359949</v>
      </c>
      <c r="N57" s="138">
        <f ca="1">OFFSET(IND!Q$25,$E57,0)</f>
        <v>2.2000728923734858</v>
      </c>
      <c r="O57" s="217">
        <f ca="1">OFFSET(IND!R$25,$E57,0)</f>
        <v>1.9890241596578764</v>
      </c>
      <c r="P57" s="138">
        <f ca="1">OFFSET(IND!S$25,$E57,0)</f>
        <v>2.0784729828674795</v>
      </c>
      <c r="Q57" s="138">
        <f ca="1">OFFSET(IND!T$25,$E57,0)</f>
        <v>2.1579737593824286</v>
      </c>
      <c r="R57" s="138">
        <f ca="1">OFFSET(IND!U$25,$E57,0)</f>
        <v>2.2423231636976317</v>
      </c>
      <c r="S57" s="138">
        <f ca="1">OFFSET(IND!V$25,$E57,0)</f>
        <v>2.3383761523586593</v>
      </c>
      <c r="T57" s="217">
        <f ca="1">OFFSET(IND!W$25,$E57,0)</f>
        <v>2.442036470844307</v>
      </c>
      <c r="U57" s="138">
        <f ca="1">OFFSET(IND!X$25,$E57,0)</f>
        <v>2.5568987914893975</v>
      </c>
      <c r="V57" s="138">
        <f ca="1">OFFSET(IND!Y$25,$E57,0)</f>
        <v>2.6796192330521542</v>
      </c>
      <c r="W57" s="138">
        <f ca="1">OFFSET(IND!Z$25,$E57,0)</f>
        <v>2.8121205272465275</v>
      </c>
      <c r="X57" s="138">
        <f ca="1">OFFSET(IND!AA$25,$E57,0)</f>
        <v>2.9620936009283869</v>
      </c>
      <c r="Y57" s="219">
        <f ca="1">OFFSET(IND!AB$25,$E57,0)</f>
        <v>3.1193396163104983</v>
      </c>
      <c r="Z57" s="138">
        <f ca="1">OFFSET(IND!AC$25,$E57,0)</f>
        <v>3.2809326773063745</v>
      </c>
      <c r="AA57" s="138">
        <f ca="1">OFFSET(IND!AD$25,$E57,0)</f>
        <v>3.4518050087474799</v>
      </c>
      <c r="AB57" s="138">
        <f ca="1">OFFSET(IND!AE$25,$E57,0)</f>
        <v>3.6306190581371243</v>
      </c>
      <c r="AC57" s="138">
        <f ca="1">OFFSET(IND!AF$25,$E57,0)</f>
        <v>3.8213874829652799</v>
      </c>
      <c r="AD57" s="138">
        <f ca="1">OFFSET(IND!AG$25,$E57,0)</f>
        <v>4.0111527434205225</v>
      </c>
      <c r="AE57" s="138">
        <f ca="1">OFFSET(IND!AH$25,$E57,0)</f>
        <v>4.2096120951036404</v>
      </c>
      <c r="AF57" s="138">
        <f ca="1">OFFSET(IND!AI$25,$E57,0)</f>
        <v>4.4326489739123875</v>
      </c>
      <c r="AG57" s="138">
        <f ca="1">OFFSET(IND!AJ$25,$E57,0)</f>
        <v>4.667138645973294</v>
      </c>
      <c r="AH57" s="138">
        <f ca="1">OFFSET(IND!AK$25,$E57,0)</f>
        <v>4.9137498875346663</v>
      </c>
      <c r="AI57" s="138">
        <f ca="1">OFFSET(IND!AL$25,$E57,0)</f>
        <v>5.1695568025100682</v>
      </c>
      <c r="AJ57" s="138">
        <f ca="1">OFFSET(IND!AM$25,$E57,0)</f>
        <v>6.6850037811623269</v>
      </c>
      <c r="AK57" s="138">
        <f ca="1">OFFSET(IND!AN$25,$E57,0)</f>
        <v>8.5944435670944088</v>
      </c>
      <c r="AL57" s="138">
        <f ca="1">OFFSET(IND!AO$25,$E57,0)</f>
        <v>11.953664863798705</v>
      </c>
      <c r="AM57" s="138">
        <f ca="1">OFFSET(IND!AP$25,$E57,0)</f>
        <v>15.378551628383008</v>
      </c>
      <c r="AQ57" s="4"/>
    </row>
    <row r="58" spans="1:43">
      <c r="A58" s="36" t="s">
        <v>358</v>
      </c>
      <c r="B58">
        <v>1.0716137343180001</v>
      </c>
      <c r="E58" s="141">
        <f ca="1">MATCH(F58,IND!$D$26:$D$255,0)</f>
        <v>210</v>
      </c>
      <c r="F58" s="4" t="str">
        <f t="shared" si="0"/>
        <v>IOTL</v>
      </c>
      <c r="G58" s="138">
        <f ca="1">OFFSET(IND!J$25,$E58,0)</f>
        <v>1.0095834302163471</v>
      </c>
      <c r="H58" s="138">
        <f ca="1">OFFSET(IND!K$25,$E58,0)</f>
        <v>1.0358626082512781</v>
      </c>
      <c r="I58" s="138">
        <f ca="1">OFFSET(IND!L$25,$E58,0)</f>
        <v>1.0530962617097481</v>
      </c>
      <c r="J58" s="138">
        <f ca="1">OFFSET(IND!M$25,$E58,0)</f>
        <v>0.54733968</v>
      </c>
      <c r="K58" s="138">
        <f ca="1">OFFSET(IND!N$25,$E58,0)</f>
        <v>0.54733968</v>
      </c>
      <c r="L58" s="138">
        <f ca="1">OFFSET(IND!O$25,$E58,0)</f>
        <v>0.54733968</v>
      </c>
      <c r="M58" s="138">
        <f ca="1">OFFSET(IND!P$25,$E58,0)</f>
        <v>0.55210782483250187</v>
      </c>
      <c r="N58" s="138">
        <f ca="1">OFFSET(IND!Q$25,$E58,0)</f>
        <v>0.55195611113328591</v>
      </c>
      <c r="O58" s="217">
        <f ca="1">OFFSET(IND!R$25,$E58,0)</f>
        <v>0.49900803010691386</v>
      </c>
      <c r="P58" s="138">
        <f ca="1">OFFSET(IND!S$25,$E58,0)</f>
        <v>0.52144902502820389</v>
      </c>
      <c r="Q58" s="138">
        <f ca="1">OFFSET(IND!T$25,$E58,0)</f>
        <v>0.54139424574765382</v>
      </c>
      <c r="R58" s="138">
        <f ca="1">OFFSET(IND!U$25,$E58,0)</f>
        <v>0.56255589422921926</v>
      </c>
      <c r="S58" s="138">
        <f ca="1">OFFSET(IND!V$25,$E58,0)</f>
        <v>0.58665374765391842</v>
      </c>
      <c r="T58" s="217">
        <f ca="1">OFFSET(IND!W$25,$E58,0)</f>
        <v>0.61266013429161303</v>
      </c>
      <c r="U58" s="138">
        <f ca="1">OFFSET(IND!X$25,$E58,0)</f>
        <v>0.64147688851770257</v>
      </c>
      <c r="V58" s="138">
        <f ca="1">OFFSET(IND!Y$25,$E58,0)</f>
        <v>0.67226509463412065</v>
      </c>
      <c r="W58" s="138">
        <f ca="1">OFFSET(IND!Z$25,$E58,0)</f>
        <v>0.70550712916723757</v>
      </c>
      <c r="X58" s="138">
        <f ca="1">OFFSET(IND!AA$25,$E58,0)</f>
        <v>0.74313249822255179</v>
      </c>
      <c r="Y58" s="219">
        <f ca="1">OFFSET(IND!AB$25,$E58,0)</f>
        <v>0.78258250892100689</v>
      </c>
      <c r="Z58" s="138">
        <f ca="1">OFFSET(IND!AC$25,$E58,0)</f>
        <v>0.8231231100268116</v>
      </c>
      <c r="AA58" s="138">
        <f ca="1">OFFSET(IND!AD$25,$E58,0)</f>
        <v>0.86599170219457489</v>
      </c>
      <c r="AB58" s="138">
        <f ca="1">OFFSET(IND!AE$25,$E58,0)</f>
        <v>0.91085271914507526</v>
      </c>
      <c r="AC58" s="138">
        <f ca="1">OFFSET(IND!AF$25,$E58,0)</f>
        <v>0.95871285971595233</v>
      </c>
      <c r="AD58" s="138">
        <f ca="1">OFFSET(IND!AG$25,$E58,0)</f>
        <v>1.0063213255773142</v>
      </c>
      <c r="AE58" s="138">
        <f ca="1">OFFSET(IND!AH$25,$E58,0)</f>
        <v>1.0561109722534623</v>
      </c>
      <c r="AF58" s="138">
        <f ca="1">OFFSET(IND!AI$25,$E58,0)</f>
        <v>1.1120666493100402</v>
      </c>
      <c r="AG58" s="138">
        <f ca="1">OFFSET(IND!AJ$25,$E58,0)</f>
        <v>1.1708956126322634</v>
      </c>
      <c r="AH58" s="138">
        <f ca="1">OFFSET(IND!AK$25,$E58,0)</f>
        <v>1.2327656453597331</v>
      </c>
      <c r="AI58" s="138">
        <f ca="1">OFFSET(IND!AL$25,$E58,0)</f>
        <v>1.2969426962566706</v>
      </c>
      <c r="AJ58" s="138">
        <f ca="1">OFFSET(IND!AM$25,$E58,0)</f>
        <v>1.6771392905900506</v>
      </c>
      <c r="AK58" s="138">
        <f ca="1">OFFSET(IND!AN$25,$E58,0)</f>
        <v>2.1561811270399542</v>
      </c>
      <c r="AL58" s="138">
        <f ca="1">OFFSET(IND!AO$25,$E58,0)</f>
        <v>2.9989453508037989</v>
      </c>
      <c r="AM58" s="138">
        <f ca="1">OFFSET(IND!AP$25,$E58,0)</f>
        <v>3.8581837815870728</v>
      </c>
      <c r="AQ58" s="4"/>
    </row>
    <row r="59" spans="1:43">
      <c r="A59" s="36" t="s">
        <v>359</v>
      </c>
      <c r="B59">
        <v>13.06049710462</v>
      </c>
      <c r="E59" s="141">
        <f ca="1">MATCH(F59,IND!$D$26:$D$255,0)</f>
        <v>215</v>
      </c>
      <c r="F59" s="4" t="str">
        <f t="shared" si="0"/>
        <v>IOTO</v>
      </c>
      <c r="G59" s="138">
        <f ca="1">OFFSET(IND!J$25,$E59,0)</f>
        <v>12.304490923310874</v>
      </c>
      <c r="H59" s="138">
        <f ca="1">OFFSET(IND!K$25,$E59,0)</f>
        <v>12.624773425900665</v>
      </c>
      <c r="I59" s="138">
        <f ca="1">OFFSET(IND!L$25,$E59,0)</f>
        <v>12.834811869687117</v>
      </c>
      <c r="J59" s="138">
        <f ca="1">OFFSET(IND!M$25,$E59,0)</f>
        <v>6.6708069120000006</v>
      </c>
      <c r="K59" s="138">
        <f ca="1">OFFSET(IND!N$25,$E59,0)</f>
        <v>6.6708069120000006</v>
      </c>
      <c r="L59" s="138">
        <f ca="1">OFFSET(IND!O$25,$E59,0)</f>
        <v>6.6708069120000006</v>
      </c>
      <c r="M59" s="138">
        <f ca="1">OFFSET(IND!P$25,$E59,0)</f>
        <v>6.7289195880370656</v>
      </c>
      <c r="N59" s="138">
        <f ca="1">OFFSET(IND!Q$25,$E59,0)</f>
        <v>6.7270705483449769</v>
      </c>
      <c r="O59" s="217">
        <f ca="1">OFFSET(IND!R$25,$E59,0)</f>
        <v>6.0817556958061312</v>
      </c>
      <c r="P59" s="138">
        <f ca="1">OFFSET(IND!S$25,$E59,0)</f>
        <v>6.355259608464352</v>
      </c>
      <c r="Q59" s="138">
        <f ca="1">OFFSET(IND!T$25,$E59,0)</f>
        <v>6.5983457962530245</v>
      </c>
      <c r="R59" s="138">
        <f ca="1">OFFSET(IND!U$25,$E59,0)</f>
        <v>6.8562574297749004</v>
      </c>
      <c r="S59" s="138">
        <f ca="1">OFFSET(IND!V$25,$E59,0)</f>
        <v>7.1499546219643033</v>
      </c>
      <c r="T59" s="217">
        <f ca="1">OFFSET(IND!W$25,$E59,0)</f>
        <v>7.4669124272870917</v>
      </c>
      <c r="U59" s="138">
        <f ca="1">OFFSET(IND!X$25,$E59,0)</f>
        <v>7.8181221244769672</v>
      </c>
      <c r="V59" s="138">
        <f ca="1">OFFSET(IND!Y$25,$E59,0)</f>
        <v>8.1933592682000054</v>
      </c>
      <c r="W59" s="138">
        <f ca="1">OFFSET(IND!Z$25,$E59,0)</f>
        <v>8.5985029145229959</v>
      </c>
      <c r="X59" s="138">
        <f ca="1">OFFSET(IND!AA$25,$E59,0)</f>
        <v>9.0570692877132988</v>
      </c>
      <c r="Y59" s="219">
        <f ca="1">OFFSET(IND!AB$25,$E59,0)</f>
        <v>9.5378738295030114</v>
      </c>
      <c r="Z59" s="138">
        <f ca="1">OFFSET(IND!AC$25,$E59,0)</f>
        <v>10.031970150225158</v>
      </c>
      <c r="AA59" s="138">
        <f ca="1">OFFSET(IND!AD$25,$E59,0)</f>
        <v>10.554439306746797</v>
      </c>
      <c r="AB59" s="138">
        <f ca="1">OFFSET(IND!AE$25,$E59,0)</f>
        <v>11.101191520934425</v>
      </c>
      <c r="AC59" s="138">
        <f ca="1">OFFSET(IND!AF$25,$E59,0)</f>
        <v>11.684496127188257</v>
      </c>
      <c r="AD59" s="138">
        <f ca="1">OFFSET(IND!AG$25,$E59,0)</f>
        <v>12.264733399840752</v>
      </c>
      <c r="AE59" s="138">
        <f ca="1">OFFSET(IND!AH$25,$E59,0)</f>
        <v>12.871554230359171</v>
      </c>
      <c r="AF59" s="138">
        <f ca="1">OFFSET(IND!AI$25,$E59,0)</f>
        <v>13.553524734077556</v>
      </c>
      <c r="AG59" s="138">
        <f ca="1">OFFSET(IND!AJ$25,$E59,0)</f>
        <v>14.270513963061797</v>
      </c>
      <c r="AH59" s="138">
        <f ca="1">OFFSET(IND!AK$25,$E59,0)</f>
        <v>15.02456680637853</v>
      </c>
      <c r="AI59" s="138">
        <f ca="1">OFFSET(IND!AL$25,$E59,0)</f>
        <v>15.806736874360933</v>
      </c>
      <c r="AJ59" s="138">
        <f ca="1">OFFSET(IND!AM$25,$E59,0)</f>
        <v>20.440455499325179</v>
      </c>
      <c r="AK59" s="138">
        <f ca="1">OFFSET(IND!AN$25,$E59,0)</f>
        <v>26.278869395659516</v>
      </c>
      <c r="AL59" s="138">
        <f ca="1">OFFSET(IND!AO$25,$E59,0)</f>
        <v>36.550219371729526</v>
      </c>
      <c r="AM59" s="138">
        <f ca="1">OFFSET(IND!AP$25,$E59,0)</f>
        <v>47.022351893027995</v>
      </c>
      <c r="AQ59" s="4"/>
    </row>
    <row r="60" spans="1:43">
      <c r="A60" s="36" t="s">
        <v>360</v>
      </c>
      <c r="B60">
        <v>4.6033799408959997</v>
      </c>
      <c r="E60" s="141">
        <f ca="1">MATCH(F60,IND!$D$26:$D$255,0)</f>
        <v>213</v>
      </c>
      <c r="F60" s="4" t="str">
        <f t="shared" si="0"/>
        <v>IOTP</v>
      </c>
      <c r="G60" s="138">
        <f ca="1">OFFSET(IND!J$25,$E60,0)</f>
        <v>4.3369135374845138</v>
      </c>
      <c r="H60" s="138">
        <f ca="1">OFFSET(IND!K$25,$E60,0)</f>
        <v>4.4498021998402679</v>
      </c>
      <c r="I60" s="138">
        <f ca="1">OFFSET(IND!L$25,$E60,0)</f>
        <v>4.5238335901616598</v>
      </c>
      <c r="J60" s="138">
        <f ca="1">OFFSET(IND!M$25,$E60,0)</f>
        <v>2.3512320000000004</v>
      </c>
      <c r="K60" s="138">
        <f ca="1">OFFSET(IND!N$25,$E60,0)</f>
        <v>2.3512320000000004</v>
      </c>
      <c r="L60" s="138">
        <f ca="1">OFFSET(IND!O$25,$E60,0)</f>
        <v>2.3512320000000004</v>
      </c>
      <c r="M60" s="138">
        <f ca="1">OFFSET(IND!P$25,$E60,0)</f>
        <v>2.3717147369921605</v>
      </c>
      <c r="N60" s="138">
        <f ca="1">OFFSET(IND!Q$25,$E60,0)</f>
        <v>2.3710630135424098</v>
      </c>
      <c r="O60" s="217">
        <f ca="1">OFFSET(IND!R$25,$E60,0)</f>
        <v>2.1436115295794731</v>
      </c>
      <c r="P60" s="138">
        <f ca="1">OFFSET(IND!S$25,$E60,0)</f>
        <v>2.2400123338675426</v>
      </c>
      <c r="Q60" s="138">
        <f ca="1">OFFSET(IND!T$25,$E60,0)</f>
        <v>2.3256919272100784</v>
      </c>
      <c r="R60" s="138">
        <f ca="1">OFFSET(IND!U$25,$E60,0)</f>
        <v>2.416596984710401</v>
      </c>
      <c r="S60" s="138">
        <f ca="1">OFFSET(IND!V$25,$E60,0)</f>
        <v>2.5201152315575186</v>
      </c>
      <c r="T60" s="217">
        <f ca="1">OFFSET(IND!W$25,$E60,0)</f>
        <v>2.6318320514798743</v>
      </c>
      <c r="U60" s="138">
        <f ca="1">OFFSET(IND!X$25,$E60,0)</f>
        <v>2.7556214954911638</v>
      </c>
      <c r="V60" s="138">
        <f ca="1">OFFSET(IND!Y$25,$E60,0)</f>
        <v>2.8878797952064663</v>
      </c>
      <c r="W60" s="138">
        <f ca="1">OFFSET(IND!Z$25,$E60,0)</f>
        <v>3.0306791174470344</v>
      </c>
      <c r="X60" s="138">
        <f ca="1">OFFSET(IND!AA$25,$E60,0)</f>
        <v>3.1923081294979503</v>
      </c>
      <c r="Y60" s="219">
        <f ca="1">OFFSET(IND!AB$25,$E60,0)</f>
        <v>3.3617753377854074</v>
      </c>
      <c r="Z60" s="138">
        <f ca="1">OFFSET(IND!AC$25,$E60,0)</f>
        <v>3.5359274449726725</v>
      </c>
      <c r="AA60" s="138">
        <f ca="1">OFFSET(IND!AD$25,$E60,0)</f>
        <v>3.7200800094273352</v>
      </c>
      <c r="AB60" s="138">
        <f ca="1">OFFSET(IND!AE$25,$E60,0)</f>
        <v>3.9127915237954491</v>
      </c>
      <c r="AC60" s="138">
        <f ca="1">OFFSET(IND!AF$25,$E60,0)</f>
        <v>4.1183865101387465</v>
      </c>
      <c r="AD60" s="138">
        <f ca="1">OFFSET(IND!AG$25,$E60,0)</f>
        <v>4.3229003659661585</v>
      </c>
      <c r="AE60" s="138">
        <f ca="1">OFFSET(IND!AH$25,$E60,0)</f>
        <v>4.5367840195935596</v>
      </c>
      <c r="AF60" s="138">
        <f ca="1">OFFSET(IND!AI$25,$E60,0)</f>
        <v>4.7771553708485817</v>
      </c>
      <c r="AG60" s="138">
        <f ca="1">OFFSET(IND!AJ$25,$E60,0)</f>
        <v>5.0298696288209568</v>
      </c>
      <c r="AH60" s="138">
        <f ca="1">OFFSET(IND!AK$25,$E60,0)</f>
        <v>5.2956475471876168</v>
      </c>
      <c r="AI60" s="138">
        <f ca="1">OFFSET(IND!AL$25,$E60,0)</f>
        <v>5.5713358286118835</v>
      </c>
      <c r="AJ60" s="138">
        <f ca="1">OFFSET(IND!AM$25,$E60,0)</f>
        <v>7.2045636605272705</v>
      </c>
      <c r="AK60" s="138">
        <f ca="1">OFFSET(IND!AN$25,$E60,0)</f>
        <v>9.2624055023608083</v>
      </c>
      <c r="AL60" s="138">
        <f ca="1">OFFSET(IND!AO$25,$E60,0)</f>
        <v>12.882706174456628</v>
      </c>
      <c r="AM60" s="138">
        <f ca="1">OFFSET(IND!AP$25,$E60,0)</f>
        <v>16.573775848205511</v>
      </c>
      <c r="AQ60" s="4"/>
    </row>
    <row r="61" spans="1:43">
      <c r="A61" s="36" t="s">
        <v>361</v>
      </c>
      <c r="B61">
        <v>109.842732955</v>
      </c>
      <c r="E61" s="141">
        <f ca="1">MATCH(F61,IND!$D$26:$D$255,0)</f>
        <v>218</v>
      </c>
      <c r="F61" s="4" t="str">
        <f t="shared" si="0"/>
        <v>IOTS</v>
      </c>
      <c r="G61" s="138">
        <f ca="1">OFFSET(IND!J$25,$E61,0)</f>
        <v>73.690487252999532</v>
      </c>
      <c r="H61" s="138">
        <f ca="1">OFFSET(IND!K$25,$E61,0)</f>
        <v>75.608630296994804</v>
      </c>
      <c r="I61" s="138">
        <f ca="1">OFFSET(IND!L$25,$E61,0)</f>
        <v>76.866531608065117</v>
      </c>
      <c r="J61" s="138">
        <f ca="1">OFFSET(IND!M$25,$E61,0)</f>
        <v>61.561340800000004</v>
      </c>
      <c r="K61" s="138">
        <f ca="1">OFFSET(IND!N$25,$E61,0)</f>
        <v>61.561340800000004</v>
      </c>
      <c r="L61" s="138">
        <f ca="1">OFFSET(IND!O$25,$E61,0)</f>
        <v>61.561340800000004</v>
      </c>
      <c r="M61" s="138">
        <f ca="1">OFFSET(IND!P$25,$E61,0)</f>
        <v>62.097631881650443</v>
      </c>
      <c r="N61" s="138">
        <f ca="1">OFFSET(IND!Q$25,$E61,0)</f>
        <v>62.080568074507021</v>
      </c>
      <c r="O61" s="217">
        <f ca="1">OFFSET(IND!R$25,$E61,0)</f>
        <v>56.125299381452457</v>
      </c>
      <c r="P61" s="138">
        <f ca="1">OFFSET(IND!S$25,$E61,0)</f>
        <v>58.649322007110818</v>
      </c>
      <c r="Q61" s="138">
        <f ca="1">OFFSET(IND!T$25,$E61,0)</f>
        <v>60.892635574366302</v>
      </c>
      <c r="R61" s="138">
        <f ca="1">OFFSET(IND!U$25,$E61,0)</f>
        <v>63.272765321333402</v>
      </c>
      <c r="S61" s="138">
        <f ca="1">OFFSET(IND!V$25,$E61,0)</f>
        <v>65.983141019339357</v>
      </c>
      <c r="T61" s="217">
        <f ca="1">OFFSET(IND!W$25,$E61,0)</f>
        <v>68.908176585515889</v>
      </c>
      <c r="U61" s="138">
        <f ca="1">OFFSET(IND!X$25,$E61,0)</f>
        <v>72.149304704825894</v>
      </c>
      <c r="V61" s="138">
        <f ca="1">OFFSET(IND!Y$25,$E61,0)</f>
        <v>75.612169391255094</v>
      </c>
      <c r="W61" s="138">
        <f ca="1">OFFSET(IND!Z$25,$E61,0)</f>
        <v>79.351025336759676</v>
      </c>
      <c r="X61" s="138">
        <f ca="1">OFFSET(IND!AA$25,$E61,0)</f>
        <v>83.582891309166371</v>
      </c>
      <c r="Y61" s="219">
        <f ca="1">OFFSET(IND!AB$25,$E61,0)</f>
        <v>88.019981551136851</v>
      </c>
      <c r="Z61" s="138">
        <f ca="1">OFFSET(IND!AC$25,$E61,0)</f>
        <v>92.579734574910503</v>
      </c>
      <c r="AA61" s="138">
        <f ca="1">OFFSET(IND!AD$25,$E61,0)</f>
        <v>97.401325459853993</v>
      </c>
      <c r="AB61" s="138">
        <f ca="1">OFFSET(IND!AE$25,$E61,0)</f>
        <v>102.44701181156219</v>
      </c>
      <c r="AC61" s="138">
        <f ca="1">OFFSET(IND!AF$25,$E61,0)</f>
        <v>107.83002081324771</v>
      </c>
      <c r="AD61" s="138">
        <f ca="1">OFFSET(IND!AG$25,$E61,0)</f>
        <v>113.18472301911824</v>
      </c>
      <c r="AE61" s="138">
        <f ca="1">OFFSET(IND!AH$25,$E61,0)</f>
        <v>118.78475078860488</v>
      </c>
      <c r="AF61" s="138">
        <f ca="1">OFFSET(IND!AI$25,$E61,0)</f>
        <v>125.07829505525613</v>
      </c>
      <c r="AG61" s="138">
        <f ca="1">OFFSET(IND!AJ$25,$E61,0)</f>
        <v>131.69500857398018</v>
      </c>
      <c r="AH61" s="138">
        <f ca="1">OFFSET(IND!AK$25,$E61,0)</f>
        <v>138.65376254197847</v>
      </c>
      <c r="AI61" s="138">
        <f ca="1">OFFSET(IND!AL$25,$E61,0)</f>
        <v>145.87199547149186</v>
      </c>
      <c r="AJ61" s="138">
        <f ca="1">OFFSET(IND!AM$25,$E61,0)</f>
        <v>188.63412832975013</v>
      </c>
      <c r="AK61" s="138">
        <f ca="1">OFFSET(IND!AN$25,$E61,0)</f>
        <v>242.5137552392232</v>
      </c>
      <c r="AL61" s="138">
        <f ca="1">OFFSET(IND!AO$25,$E61,0)</f>
        <v>337.30259933175</v>
      </c>
      <c r="AM61" s="138">
        <f ca="1">OFFSET(IND!AP$25,$E61,0)</f>
        <v>433.94435909948027</v>
      </c>
      <c r="AQ61" s="4"/>
    </row>
    <row r="62" spans="1:43">
      <c r="A62" s="36" t="s">
        <v>362</v>
      </c>
      <c r="B62">
        <v>9.3435013244270007</v>
      </c>
      <c r="E62" s="140">
        <f>MATCH(F62,RES!$D$96:$D$134,0)</f>
        <v>25</v>
      </c>
      <c r="F62" s="4" t="str">
        <f t="shared" si="0"/>
        <v>RHEH</v>
      </c>
      <c r="G62" s="138">
        <f ca="1">OFFSET(RES!J$95,$E62,0)</f>
        <v>7.0842557645058601</v>
      </c>
      <c r="H62" s="138">
        <f ca="1">OFFSET(RES!K$95,$E62,0)</f>
        <v>7.2302855472935121</v>
      </c>
      <c r="I62" s="138">
        <f ca="1">OFFSET(RES!L$95,$E62,0)</f>
        <v>7.3763153300811641</v>
      </c>
      <c r="J62" s="138">
        <f ca="1">OFFSET(RES!M$95,$E62,0)</f>
        <v>7.5223451128688161</v>
      </c>
      <c r="K62" s="138">
        <f ca="1">OFFSET(RES!N$95,$E62,0)</f>
        <v>7.6683748956564681</v>
      </c>
      <c r="L62" s="138">
        <f ca="1">OFFSET(RES!O$95,$E62,0)</f>
        <v>7.8144046784441201</v>
      </c>
      <c r="M62" s="138">
        <f ca="1">OFFSET(RES!P$95,$E62,0)</f>
        <v>8.0627093316283442</v>
      </c>
      <c r="N62" s="138">
        <f ca="1">OFFSET(RES!Q$95,$E62,0)</f>
        <v>8.1745673087130459</v>
      </c>
      <c r="O62" s="217">
        <f ca="1">OFFSET(RES!R$95,$E62,0)</f>
        <v>7.4135892623673918</v>
      </c>
      <c r="P62" s="138">
        <f ca="1">OFFSET(RES!S$95,$E62,0)</f>
        <v>7.7651244896047027</v>
      </c>
      <c r="Q62" s="138">
        <f ca="1">OFFSET(RES!T$95,$E62,0)</f>
        <v>8.1098579831869362</v>
      </c>
      <c r="R62" s="138">
        <f ca="1">OFFSET(RES!U$95,$E62,0)</f>
        <v>8.4819084587554823</v>
      </c>
      <c r="S62" s="138">
        <f ca="1">OFFSET(RES!V$95,$E62,0)</f>
        <v>8.9059402382981574</v>
      </c>
      <c r="T62" s="217">
        <f ca="1">OFFSET(RES!W$95,$E62,0)</f>
        <v>9.3371722358745437</v>
      </c>
      <c r="U62" s="138">
        <f ca="1">OFFSET(RES!X$95,$E62,0)</f>
        <v>9.7995707083029426</v>
      </c>
      <c r="V62" s="138">
        <f ca="1">OFFSET(RES!Y$95,$E62,0)</f>
        <v>10.265397158228584</v>
      </c>
      <c r="W62" s="138">
        <f ca="1">OFFSET(RES!Z$95,$E62,0)</f>
        <v>10.742042220230262</v>
      </c>
      <c r="X62" s="138">
        <f ca="1">OFFSET(RES!AA$95,$E62,0)</f>
        <v>11.257779199195442</v>
      </c>
      <c r="Y62" s="219">
        <f ca="1">OFFSET(RES!AB$95,$E62,0)</f>
        <v>11.753518543984599</v>
      </c>
      <c r="Z62" s="138">
        <f ca="1">OFFSET(RES!AC$95,$E62,0)</f>
        <v>12.246958277069895</v>
      </c>
      <c r="AA62" s="138">
        <f ca="1">OFFSET(RES!AD$95,$E62,0)</f>
        <v>12.728351409954868</v>
      </c>
      <c r="AB62" s="138">
        <f ca="1">OFFSET(RES!AE$95,$E62,0)</f>
        <v>13.204658107977249</v>
      </c>
      <c r="AC62" s="138">
        <f ca="1">OFFSET(RES!AF$95,$E62,0)</f>
        <v>13.67486825641074</v>
      </c>
      <c r="AD62" s="138">
        <f ca="1">OFFSET(RES!AG$95,$E62,0)</f>
        <v>14.11427086465601</v>
      </c>
      <c r="AE62" s="138">
        <f ca="1">OFFSET(RES!AH$95,$E62,0)</f>
        <v>14.558161711298689</v>
      </c>
      <c r="AF62" s="138">
        <f ca="1">OFFSET(RES!AI$95,$E62,0)</f>
        <v>15.042621146425759</v>
      </c>
      <c r="AG62" s="138">
        <f ca="1">OFFSET(RES!AJ$95,$E62,0)</f>
        <v>15.499119849867904</v>
      </c>
      <c r="AH62" s="138">
        <f ca="1">OFFSET(RES!AK$95,$E62,0)</f>
        <v>15.954591484493465</v>
      </c>
      <c r="AI62" s="138">
        <f ca="1">OFFSET(RES!AL$95,$E62,0)</f>
        <v>16.403627045877204</v>
      </c>
      <c r="AJ62" s="138">
        <f ca="1">OFFSET(RES!AM$95,$E62,0)</f>
        <v>18.594800478751957</v>
      </c>
      <c r="AK62" s="138">
        <f ca="1">OFFSET(RES!AN$95,$E62,0)</f>
        <v>20.641806830754046</v>
      </c>
      <c r="AL62" s="138">
        <f ca="1">OFFSET(RES!AO$95,$E62,0)</f>
        <v>20.641806830754046</v>
      </c>
      <c r="AM62" s="138">
        <f ca="1">OFFSET(RES!AP$95,$E62,0)</f>
        <v>20.641806830754046</v>
      </c>
      <c r="AQ62" s="4"/>
    </row>
    <row r="63" spans="1:43">
      <c r="A63" s="36" t="s">
        <v>363</v>
      </c>
      <c r="B63">
        <v>3.5355599850489998</v>
      </c>
      <c r="E63" s="141">
        <f>MATCH(F63,RES!$D$96:$D$134,0)</f>
        <v>24</v>
      </c>
      <c r="F63" s="4" t="str">
        <f t="shared" si="0"/>
        <v>RHEK</v>
      </c>
      <c r="G63" s="138">
        <f ca="1">OFFSET(RES!J$95,$E63,0)</f>
        <v>3.8919130042693295</v>
      </c>
      <c r="H63" s="138">
        <f ca="1">OFFSET(RES!K$95,$E63,0)</f>
        <v>4.2233553788747606</v>
      </c>
      <c r="I63" s="138">
        <f ca="1">OFFSET(RES!L$95,$E63,0)</f>
        <v>4.5547977534801918</v>
      </c>
      <c r="J63" s="138">
        <f ca="1">OFFSET(RES!M$95,$E63,0)</f>
        <v>4.886240128085622</v>
      </c>
      <c r="K63" s="138">
        <f ca="1">OFFSET(RES!N$95,$E63,0)</f>
        <v>5.2176825026910532</v>
      </c>
      <c r="L63" s="138">
        <f ca="1">OFFSET(RES!O$95,$E63,0)</f>
        <v>5.5491248772964843</v>
      </c>
      <c r="M63" s="138">
        <f ca="1">OFFSET(RES!P$95,$E63,0)</f>
        <v>5.7254497011098566</v>
      </c>
      <c r="N63" s="138">
        <f ca="1">OFFSET(RES!Q$95,$E63,0)</f>
        <v>5.804881712748184</v>
      </c>
      <c r="O63" s="217">
        <f ca="1">OFFSET(RES!R$95,$E63,0)</f>
        <v>5.2644998945782655</v>
      </c>
      <c r="P63" s="138">
        <f ca="1">OFFSET(RES!S$95,$E63,0)</f>
        <v>5.5141302829416476</v>
      </c>
      <c r="Q63" s="138">
        <f ca="1">OFFSET(RES!T$95,$E63,0)</f>
        <v>5.7589306591688203</v>
      </c>
      <c r="R63" s="138">
        <f ca="1">OFFSET(RES!U$95,$E63,0)</f>
        <v>6.0231292302106345</v>
      </c>
      <c r="S63" s="138">
        <f ca="1">OFFSET(RES!V$95,$E63,0)</f>
        <v>6.3242404976006217</v>
      </c>
      <c r="T63" s="217">
        <f ca="1">OFFSET(RES!W$95,$E63,0)</f>
        <v>6.6304647468052114</v>
      </c>
      <c r="U63" s="138">
        <f ca="1">OFFSET(RES!X$95,$E63,0)</f>
        <v>6.9588207729084317</v>
      </c>
      <c r="V63" s="138">
        <f ca="1">OFFSET(RES!Y$95,$E63,0)</f>
        <v>7.2896110567691537</v>
      </c>
      <c r="W63" s="138">
        <f ca="1">OFFSET(RES!Z$95,$E63,0)</f>
        <v>7.6280837978200635</v>
      </c>
      <c r="X63" s="138">
        <f ca="1">OFFSET(RES!AA$95,$E63,0)</f>
        <v>7.9943162899780233</v>
      </c>
      <c r="Y63" s="219">
        <f ca="1">OFFSET(RES!AB$95,$E63,0)</f>
        <v>8.346348164960455</v>
      </c>
      <c r="Z63" s="138">
        <f ca="1">OFFSET(RES!AC$95,$E63,0)</f>
        <v>8.6967470515017808</v>
      </c>
      <c r="AA63" s="138">
        <f ca="1">OFFSET(RES!AD$95,$E63,0)</f>
        <v>9.0385914682390478</v>
      </c>
      <c r="AB63" s="138">
        <f ca="1">OFFSET(RES!AE$95,$E63,0)</f>
        <v>9.3768239320004696</v>
      </c>
      <c r="AC63" s="138">
        <f ca="1">OFFSET(RES!AF$95,$E63,0)</f>
        <v>9.7107271453094928</v>
      </c>
      <c r="AD63" s="138">
        <f ca="1">OFFSET(RES!AG$95,$E63,0)</f>
        <v>10.022753466558097</v>
      </c>
      <c r="AE63" s="138">
        <f ca="1">OFFSET(RES!AH$95,$E63,0)</f>
        <v>10.337966952583947</v>
      </c>
      <c r="AF63" s="138">
        <f ca="1">OFFSET(RES!AI$95,$E63,0)</f>
        <v>10.681988796105863</v>
      </c>
      <c r="AG63" s="138">
        <f ca="1">OFFSET(RES!AJ$95,$E63,0)</f>
        <v>11.006155308586601</v>
      </c>
      <c r="AH63" s="138">
        <f ca="1">OFFSET(RES!AK$95,$E63,0)</f>
        <v>11.329592484239349</v>
      </c>
      <c r="AI63" s="138">
        <f ca="1">OFFSET(RES!AL$95,$E63,0)</f>
        <v>11.648459308648732</v>
      </c>
      <c r="AJ63" s="138">
        <f ca="1">OFFSET(RES!AM$95,$E63,0)</f>
        <v>13.204444122229866</v>
      </c>
      <c r="AK63" s="138">
        <f ca="1">OFFSET(RES!AN$95,$E63,0)</f>
        <v>14.658053749488172</v>
      </c>
      <c r="AL63" s="138">
        <f ca="1">OFFSET(RES!AO$95,$E63,0)</f>
        <v>14.658053749488172</v>
      </c>
      <c r="AM63" s="138">
        <f ca="1">OFFSET(RES!AP$95,$E63,0)</f>
        <v>14.658053749488172</v>
      </c>
      <c r="AQ63" s="4"/>
    </row>
    <row r="64" spans="1:43">
      <c r="A64" s="36" t="s">
        <v>364</v>
      </c>
      <c r="B64">
        <v>27.200595464100001</v>
      </c>
      <c r="E64" s="141">
        <f>MATCH(F64,RES!$D$96:$D$134,0)</f>
        <v>23</v>
      </c>
      <c r="F64" s="4" t="str">
        <f t="shared" si="0"/>
        <v>RHEL</v>
      </c>
      <c r="G64" s="138">
        <f ca="1">OFFSET(RES!J$95,$E64,0)</f>
        <v>29.15490908598996</v>
      </c>
      <c r="H64" s="138">
        <f ca="1">OFFSET(RES!K$95,$E64,0)</f>
        <v>29.919036883195538</v>
      </c>
      <c r="I64" s="138">
        <f ca="1">OFFSET(RES!L$95,$E64,0)</f>
        <v>30.683164680401113</v>
      </c>
      <c r="J64" s="138">
        <f ca="1">OFFSET(RES!M$95,$E64,0)</f>
        <v>31.447292477606691</v>
      </c>
      <c r="K64" s="138">
        <f ca="1">OFFSET(RES!N$95,$E64,0)</f>
        <v>32.211420274812269</v>
      </c>
      <c r="L64" s="138">
        <f ca="1">OFFSET(RES!O$95,$E64,0)</f>
        <v>32.975548072017844</v>
      </c>
      <c r="M64" s="138">
        <f ca="1">OFFSET(RES!P$95,$E64,0)</f>
        <v>34.799650512357417</v>
      </c>
      <c r="N64" s="138">
        <f ca="1">OFFSET(RES!Q$95,$E64,0)</f>
        <v>35.282443373845915</v>
      </c>
      <c r="O64" s="217">
        <f ca="1">OFFSET(RES!R$95,$E64,0)</f>
        <v>31.997968023045065</v>
      </c>
      <c r="P64" s="138">
        <f ca="1">OFFSET(RES!S$95,$E64,0)</f>
        <v>33.515237534752728</v>
      </c>
      <c r="Q64" s="138">
        <f ca="1">OFFSET(RES!T$95,$E64,0)</f>
        <v>35.003149922900654</v>
      </c>
      <c r="R64" s="138">
        <f ca="1">OFFSET(RES!U$95,$E64,0)</f>
        <v>36.608965783327676</v>
      </c>
      <c r="S64" s="138">
        <f ca="1">OFFSET(RES!V$95,$E64,0)</f>
        <v>38.439139379730648</v>
      </c>
      <c r="T64" s="217">
        <f ca="1">OFFSET(RES!W$95,$E64,0)</f>
        <v>40.300390007548238</v>
      </c>
      <c r="U64" s="138">
        <f ca="1">OFFSET(RES!X$95,$E64,0)</f>
        <v>42.296158994882731</v>
      </c>
      <c r="V64" s="138">
        <f ca="1">OFFSET(RES!Y$95,$E64,0)</f>
        <v>44.306723557000041</v>
      </c>
      <c r="W64" s="138">
        <f ca="1">OFFSET(RES!Z$95,$E64,0)</f>
        <v>46.363982586670332</v>
      </c>
      <c r="X64" s="138">
        <f ca="1">OFFSET(RES!AA$95,$E64,0)</f>
        <v>48.589967164073251</v>
      </c>
      <c r="Y64" s="219">
        <f ca="1">OFFSET(RES!AB$95,$E64,0)</f>
        <v>50.729639479459024</v>
      </c>
      <c r="Z64" s="138">
        <f ca="1">OFFSET(RES!AC$95,$E64,0)</f>
        <v>52.859386386360264</v>
      </c>
      <c r="AA64" s="138">
        <f ca="1">OFFSET(RES!AD$95,$E64,0)</f>
        <v>54.937138677110724</v>
      </c>
      <c r="AB64" s="138">
        <f ca="1">OFFSET(RES!AE$95,$E64,0)</f>
        <v>56.992937286004171</v>
      </c>
      <c r="AC64" s="138">
        <f ca="1">OFFSET(RES!AF$95,$E64,0)</f>
        <v>59.022422432970835</v>
      </c>
      <c r="AD64" s="138">
        <f ca="1">OFFSET(RES!AG$95,$E64,0)</f>
        <v>60.918938426815494</v>
      </c>
      <c r="AE64" s="138">
        <f ca="1">OFFSET(RES!AH$95,$E64,0)</f>
        <v>62.834826212600269</v>
      </c>
      <c r="AF64" s="138">
        <f ca="1">OFFSET(RES!AI$95,$E64,0)</f>
        <v>64.925813043007466</v>
      </c>
      <c r="AG64" s="138">
        <f ca="1">OFFSET(RES!AJ$95,$E64,0)</f>
        <v>66.896117897830081</v>
      </c>
      <c r="AH64" s="138">
        <f ca="1">OFFSET(RES!AK$95,$E64,0)</f>
        <v>68.861989796632685</v>
      </c>
      <c r="AI64" s="138">
        <f ca="1">OFFSET(RES!AL$95,$E64,0)</f>
        <v>70.800082807436837</v>
      </c>
      <c r="AJ64" s="138">
        <f ca="1">OFFSET(RES!AM$95,$E64,0)</f>
        <v>80.257458304886882</v>
      </c>
      <c r="AK64" s="138">
        <f ca="1">OFFSET(RES!AN$95,$E64,0)</f>
        <v>89.092590853546142</v>
      </c>
      <c r="AL64" s="138">
        <f ca="1">OFFSET(RES!AO$95,$E64,0)</f>
        <v>89.092590853546142</v>
      </c>
      <c r="AM64" s="138">
        <f ca="1">OFFSET(RES!AP$95,$E64,0)</f>
        <v>89.092590853546142</v>
      </c>
      <c r="AQ64" s="4"/>
    </row>
    <row r="65" spans="1:39">
      <c r="A65" s="36" t="s">
        <v>365</v>
      </c>
      <c r="B65">
        <v>11.63227160329</v>
      </c>
      <c r="E65" s="141">
        <f>MATCH(F65,RES!$D$96:$D$134,0)</f>
        <v>29</v>
      </c>
      <c r="F65" s="4" t="str">
        <f t="shared" si="0"/>
        <v>RHEO</v>
      </c>
      <c r="G65" s="138">
        <f ca="1">OFFSET(RES!J$95,$E65,0)</f>
        <v>11.690334156193106</v>
      </c>
      <c r="H65" s="138">
        <f ca="1">OFFSET(RES!K$95,$E65,0)</f>
        <v>12.00003056398719</v>
      </c>
      <c r="I65" s="138">
        <f ca="1">OFFSET(RES!L$95,$E65,0)</f>
        <v>12.309726971781274</v>
      </c>
      <c r="J65" s="138">
        <f ca="1">OFFSET(RES!M$95,$E65,0)</f>
        <v>12.619423379575359</v>
      </c>
      <c r="K65" s="138">
        <f ca="1">OFFSET(RES!N$95,$E65,0)</f>
        <v>12.929119787369443</v>
      </c>
      <c r="L65" s="138">
        <f ca="1">OFFSET(RES!O$95,$E65,0)</f>
        <v>13.238816195163526</v>
      </c>
      <c r="M65" s="138">
        <f ca="1">OFFSET(RES!P$95,$E65,0)</f>
        <v>13.65948287409527</v>
      </c>
      <c r="N65" s="138">
        <f ca="1">OFFSET(RES!Q$95,$E65,0)</f>
        <v>13.848987674463762</v>
      </c>
      <c r="O65" s="217">
        <f ca="1">OFFSET(RES!R$95,$E65,0)</f>
        <v>12.559772577642002</v>
      </c>
      <c r="P65" s="138">
        <f ca="1">OFFSET(RES!S$95,$E65,0)</f>
        <v>13.155327895164465</v>
      </c>
      <c r="Q65" s="138">
        <f ca="1">OFFSET(RES!T$95,$E65,0)</f>
        <v>13.739360018614777</v>
      </c>
      <c r="R65" s="138">
        <f ca="1">OFFSET(RES!U$95,$E65,0)</f>
        <v>14.369671355697443</v>
      </c>
      <c r="S65" s="138">
        <f ca="1">OFFSET(RES!V$95,$E65,0)</f>
        <v>15.088047101678297</v>
      </c>
      <c r="T65" s="217">
        <f ca="1">OFFSET(RES!W$95,$E65,0)</f>
        <v>15.818621136209059</v>
      </c>
      <c r="U65" s="138">
        <f ca="1">OFFSET(RES!X$95,$E65,0)</f>
        <v>16.60199602365126</v>
      </c>
      <c r="V65" s="138">
        <f ca="1">OFFSET(RES!Y$95,$E65,0)</f>
        <v>17.391178437818091</v>
      </c>
      <c r="W65" s="138">
        <f ca="1">OFFSET(RES!Z$95,$E65,0)</f>
        <v>18.19868926248515</v>
      </c>
      <c r="X65" s="138">
        <f ca="1">OFFSET(RES!AA$95,$E65,0)</f>
        <v>19.072427870930031</v>
      </c>
      <c r="Y65" s="219">
        <f ca="1">OFFSET(RES!AB$95,$E65,0)</f>
        <v>19.912287378651502</v>
      </c>
      <c r="Z65" s="138">
        <f ca="1">OFFSET(RES!AC$95,$E65,0)</f>
        <v>20.748250986695339</v>
      </c>
      <c r="AA65" s="138">
        <f ca="1">OFFSET(RES!AD$95,$E65,0)</f>
        <v>21.56380578147812</v>
      </c>
      <c r="AB65" s="138">
        <f ca="1">OFFSET(RES!AE$95,$E65,0)</f>
        <v>22.370743364969002</v>
      </c>
      <c r="AC65" s="138">
        <f ca="1">OFFSET(RES!AF$95,$E65,0)</f>
        <v>23.167352445809563</v>
      </c>
      <c r="AD65" s="138">
        <f ca="1">OFFSET(RES!AG$95,$E65,0)</f>
        <v>23.9117687648519</v>
      </c>
      <c r="AE65" s="138">
        <f ca="1">OFFSET(RES!AH$95,$E65,0)</f>
        <v>24.663788857390543</v>
      </c>
      <c r="AF65" s="138">
        <f ca="1">OFFSET(RES!AI$95,$E65,0)</f>
        <v>25.484538444796989</v>
      </c>
      <c r="AG65" s="138">
        <f ca="1">OFFSET(RES!AJ$95,$E65,0)</f>
        <v>26.257918206517278</v>
      </c>
      <c r="AH65" s="138">
        <f ca="1">OFFSET(RES!AK$95,$E65,0)</f>
        <v>27.029557954014852</v>
      </c>
      <c r="AI65" s="138">
        <f ca="1">OFFSET(RES!AL$95,$E65,0)</f>
        <v>27.79029399301853</v>
      </c>
      <c r="AJ65" s="138">
        <f ca="1">OFFSET(RES!AM$95,$E65,0)</f>
        <v>31.502482383974758</v>
      </c>
      <c r="AK65" s="138">
        <f ca="1">OFFSET(RES!AN$95,$E65,0)</f>
        <v>34.970429330623489</v>
      </c>
      <c r="AL65" s="138">
        <f ca="1">OFFSET(RES!AO$95,$E65,0)</f>
        <v>34.970429330623489</v>
      </c>
      <c r="AM65" s="138">
        <f ca="1">OFFSET(RES!AP$95,$E65,0)</f>
        <v>34.970429330623489</v>
      </c>
    </row>
    <row r="66" spans="1:39">
      <c r="A66" s="36" t="s">
        <v>366</v>
      </c>
      <c r="B66">
        <v>4.337948126733</v>
      </c>
      <c r="E66" s="141">
        <f>MATCH(F66,RES!$D$96:$D$134,0)</f>
        <v>28</v>
      </c>
      <c r="F66" s="4" t="str">
        <f t="shared" si="0"/>
        <v>RHER</v>
      </c>
      <c r="G66" s="138">
        <f ca="1">OFFSET(RES!J$95,$E66,0)</f>
        <v>5.223009778600523</v>
      </c>
      <c r="H66" s="138">
        <f ca="1">OFFSET(RES!K$95,$E66,0)</f>
        <v>5.3613760001895816</v>
      </c>
      <c r="I66" s="138">
        <f ca="1">OFFSET(RES!L$95,$E66,0)</f>
        <v>5.4997422217786411</v>
      </c>
      <c r="J66" s="138">
        <f ca="1">OFFSET(RES!M$95,$E66,0)</f>
        <v>5.6381084433676998</v>
      </c>
      <c r="K66" s="138">
        <f ca="1">OFFSET(RES!N$95,$E66,0)</f>
        <v>5.7764746649567593</v>
      </c>
      <c r="L66" s="138">
        <f ca="1">OFFSET(RES!O$95,$E66,0)</f>
        <v>5.914840886545818</v>
      </c>
      <c r="M66" s="138">
        <f ca="1">OFFSET(RES!P$95,$E66,0)</f>
        <v>6.1027864275574011</v>
      </c>
      <c r="N66" s="138">
        <f ca="1">OFFSET(RES!Q$95,$E66,0)</f>
        <v>6.1874534192953599</v>
      </c>
      <c r="O66" s="217">
        <f ca="1">OFFSET(RES!R$95,$E66,0)</f>
        <v>5.6114576464241228</v>
      </c>
      <c r="P66" s="138">
        <f ca="1">OFFSET(RES!S$95,$E66,0)</f>
        <v>5.8775399675585867</v>
      </c>
      <c r="Q66" s="138">
        <f ca="1">OFFSET(RES!T$95,$E66,0)</f>
        <v>6.1384739537938575</v>
      </c>
      <c r="R66" s="138">
        <f ca="1">OFFSET(RES!U$95,$E66,0)</f>
        <v>6.4200845761387706</v>
      </c>
      <c r="S66" s="138">
        <f ca="1">OFFSET(RES!V$95,$E66,0)</f>
        <v>6.7410406322990415</v>
      </c>
      <c r="T66" s="217">
        <f ca="1">OFFSET(RES!W$95,$E66,0)</f>
        <v>7.0674466422011912</v>
      </c>
      <c r="U66" s="138">
        <f ca="1">OFFSET(RES!X$95,$E66,0)</f>
        <v>7.4174430274844241</v>
      </c>
      <c r="V66" s="138">
        <f ca="1">OFFSET(RES!Y$95,$E66,0)</f>
        <v>7.7700341006924809</v>
      </c>
      <c r="W66" s="138">
        <f ca="1">OFFSET(RES!Z$95,$E66,0)</f>
        <v>8.1308139447252099</v>
      </c>
      <c r="X66" s="138">
        <f ca="1">OFFSET(RES!AA$95,$E66,0)</f>
        <v>8.5211830509351323</v>
      </c>
      <c r="Y66" s="219">
        <f ca="1">OFFSET(RES!AB$95,$E66,0)</f>
        <v>8.8964156459038595</v>
      </c>
      <c r="Z66" s="138">
        <f ca="1">OFFSET(RES!AC$95,$E66,0)</f>
        <v>9.2699076300533516</v>
      </c>
      <c r="AA66" s="138">
        <f ca="1">OFFSET(RES!AD$95,$E66,0)</f>
        <v>9.6342813606261775</v>
      </c>
      <c r="AB66" s="138">
        <f ca="1">OFFSET(RES!AE$95,$E66,0)</f>
        <v>9.994805091854202</v>
      </c>
      <c r="AC66" s="138">
        <f ca="1">OFFSET(RES!AF$95,$E66,0)</f>
        <v>10.350714252649922</v>
      </c>
      <c r="AD66" s="138">
        <f ca="1">OFFSET(RES!AG$95,$E66,0)</f>
        <v>10.683304721130943</v>
      </c>
      <c r="AE66" s="138">
        <f ca="1">OFFSET(RES!AH$95,$E66,0)</f>
        <v>11.019292405020424</v>
      </c>
      <c r="AF66" s="138">
        <f ca="1">OFFSET(RES!AI$95,$E66,0)</f>
        <v>11.385987066056718</v>
      </c>
      <c r="AG66" s="138">
        <f ca="1">OFFSET(RES!AJ$95,$E66,0)</f>
        <v>11.731517827116862</v>
      </c>
      <c r="AH66" s="138">
        <f ca="1">OFFSET(RES!AK$95,$E66,0)</f>
        <v>12.076271184282582</v>
      </c>
      <c r="AI66" s="138">
        <f ca="1">OFFSET(RES!AL$95,$E66,0)</f>
        <v>12.416152980436811</v>
      </c>
      <c r="AJ66" s="138">
        <f ca="1">OFFSET(RES!AM$95,$E66,0)</f>
        <v>14.074685235111522</v>
      </c>
      <c r="AK66" s="138">
        <f ca="1">OFFSET(RES!AN$95,$E66,0)</f>
        <v>15.624095249573642</v>
      </c>
      <c r="AL66" s="138">
        <f ca="1">OFFSET(RES!AO$95,$E66,0)</f>
        <v>15.624095249573642</v>
      </c>
      <c r="AM66" s="138">
        <f ca="1">OFFSET(RES!AP$95,$E66,0)</f>
        <v>15.624095249573642</v>
      </c>
    </row>
    <row r="67" spans="1:39">
      <c r="A67" s="36" t="s">
        <v>522</v>
      </c>
      <c r="B67">
        <v>25.581294669590001</v>
      </c>
      <c r="E67" s="141">
        <f>MATCH(F67,RES!$D$96:$D$134,0)</f>
        <v>26</v>
      </c>
      <c r="F67" s="4" t="str">
        <f t="shared" si="0"/>
        <v>RHEWG</v>
      </c>
      <c r="G67" s="138">
        <f ca="1">OFFSET(RES!J$95,$E67,0)</f>
        <v>31.741720257828536</v>
      </c>
      <c r="H67" s="138">
        <f ca="1">OFFSET(RES!K$95,$E67,0)</f>
        <v>32.208008967956879</v>
      </c>
      <c r="I67" s="138">
        <f ca="1">OFFSET(RES!L$95,$E67,0)</f>
        <v>32.674297678085217</v>
      </c>
      <c r="J67" s="138">
        <f ca="1">OFFSET(RES!M$95,$E67,0)</f>
        <v>33.140586388213556</v>
      </c>
      <c r="K67" s="138">
        <f ca="1">OFFSET(RES!N$95,$E67,0)</f>
        <v>33.606875098341902</v>
      </c>
      <c r="L67" s="138">
        <f ca="1">OFFSET(RES!O$95,$E67,0)</f>
        <v>34.073163808470241</v>
      </c>
      <c r="M67" s="138">
        <f ca="1">OFFSET(RES!P$95,$E67,0)</f>
        <v>35.155847067207745</v>
      </c>
      <c r="N67" s="138">
        <f ca="1">OFFSET(RES!Q$95,$E67,0)</f>
        <v>35.643581620679832</v>
      </c>
      <c r="O67" s="217">
        <f ca="1">OFFSET(RES!R$95,$E67,0)</f>
        <v>32.325487575805298</v>
      </c>
      <c r="P67" s="138">
        <f ca="1">OFFSET(RES!S$95,$E67,0)</f>
        <v>33.858287305917251</v>
      </c>
      <c r="Q67" s="138">
        <f ca="1">OFFSET(RES!T$95,$E67,0)</f>
        <v>35.361429423639308</v>
      </c>
      <c r="R67" s="138">
        <f ca="1">OFFSET(RES!U$95,$E67,0)</f>
        <v>36.9836818306634</v>
      </c>
      <c r="S67" s="138">
        <f ca="1">OFFSET(RES!V$95,$E67,0)</f>
        <v>38.832588417778027</v>
      </c>
      <c r="T67" s="217">
        <f ca="1">OFFSET(RES!W$95,$E67,0)</f>
        <v>40.712890129488144</v>
      </c>
      <c r="U67" s="138">
        <f ca="1">OFFSET(RES!X$95,$E67,0)</f>
        <v>42.729087081675708</v>
      </c>
      <c r="V67" s="138">
        <f ca="1">OFFSET(RES!Y$95,$E67,0)</f>
        <v>44.760231050763672</v>
      </c>
      <c r="W67" s="138">
        <f ca="1">OFFSET(RES!Z$95,$E67,0)</f>
        <v>46.838547434976732</v>
      </c>
      <c r="X67" s="138">
        <f ca="1">OFFSET(RES!AA$95,$E67,0)</f>
        <v>49.087316380209415</v>
      </c>
      <c r="Y67" s="219">
        <f ca="1">OFFSET(RES!AB$95,$E67,0)</f>
        <v>51.248889602530404</v>
      </c>
      <c r="Z67" s="138">
        <f ca="1">OFFSET(RES!AC$95,$E67,0)</f>
        <v>53.400435823498661</v>
      </c>
      <c r="AA67" s="138">
        <f ca="1">OFFSET(RES!AD$95,$E67,0)</f>
        <v>55.499455230352339</v>
      </c>
      <c r="AB67" s="138">
        <f ca="1">OFFSET(RES!AE$95,$E67,0)</f>
        <v>57.576296245453115</v>
      </c>
      <c r="AC67" s="138">
        <f ca="1">OFFSET(RES!AF$95,$E67,0)</f>
        <v>59.626554463609466</v>
      </c>
      <c r="AD67" s="138">
        <f ca="1">OFFSET(RES!AG$95,$E67,0)</f>
        <v>61.542482504795984</v>
      </c>
      <c r="AE67" s="138">
        <f ca="1">OFFSET(RES!AH$95,$E67,0)</f>
        <v>63.477980620533181</v>
      </c>
      <c r="AF67" s="138">
        <f ca="1">OFFSET(RES!AI$95,$E67,0)</f>
        <v>65.590370030973887</v>
      </c>
      <c r="AG67" s="138">
        <f ca="1">OFFSET(RES!AJ$95,$E67,0)</f>
        <v>67.580842209058659</v>
      </c>
      <c r="AH67" s="138">
        <f ca="1">OFFSET(RES!AK$95,$E67,0)</f>
        <v>69.566836056999279</v>
      </c>
      <c r="AI67" s="138">
        <f ca="1">OFFSET(RES!AL$95,$E67,0)</f>
        <v>71.524766682356002</v>
      </c>
      <c r="AJ67" s="138">
        <f ca="1">OFFSET(RES!AM$95,$E67,0)</f>
        <v>81.078944432717222</v>
      </c>
      <c r="AK67" s="138">
        <f ca="1">OFFSET(RES!AN$95,$E67,0)</f>
        <v>90.004510181973174</v>
      </c>
      <c r="AL67" s="138">
        <f ca="1">OFFSET(RES!AO$95,$E67,0)</f>
        <v>90.004510181973174</v>
      </c>
      <c r="AM67" s="138">
        <f ca="1">OFFSET(RES!AP$95,$E67,0)</f>
        <v>90.004510181973174</v>
      </c>
    </row>
    <row r="68" spans="1:39">
      <c r="A68" s="36" t="s">
        <v>367</v>
      </c>
      <c r="B68">
        <v>14.738241842140001</v>
      </c>
      <c r="E68" s="141">
        <f>MATCH(F68,RES!$D$96:$D$134,0)</f>
        <v>4</v>
      </c>
      <c r="F68" s="4" t="str">
        <f t="shared" si="0"/>
        <v>RLEH</v>
      </c>
      <c r="G68" s="138">
        <f ca="1">OFFSET(RES!J$95,$E68,0)</f>
        <v>14.601022992423397</v>
      </c>
      <c r="H68" s="138">
        <f ca="1">OFFSET(RES!K$95,$E68,0)</f>
        <v>13.891192798312483</v>
      </c>
      <c r="I68" s="138">
        <f ca="1">OFFSET(RES!L$95,$E68,0)</f>
        <v>13.181362604201567</v>
      </c>
      <c r="J68" s="138">
        <f ca="1">OFFSET(RES!M$95,$E68,0)</f>
        <v>12.471532410090653</v>
      </c>
      <c r="K68" s="138">
        <f ca="1">OFFSET(RES!N$95,$E68,0)</f>
        <v>11.761702215979739</v>
      </c>
      <c r="L68" s="138">
        <f ca="1">OFFSET(RES!O$95,$E68,0)</f>
        <v>11.051872021868823</v>
      </c>
      <c r="M68" s="138">
        <f ca="1">OFFSET(RES!P$95,$E68,0)</f>
        <v>11.0704885437966</v>
      </c>
      <c r="N68" s="138">
        <f ca="1">OFFSET(RES!Q$95,$E68,0)</f>
        <v>11.190148384878494</v>
      </c>
      <c r="O68" s="217">
        <f ca="1">OFFSET(RES!R$95,$E68,0)</f>
        <v>11.689244811345603</v>
      </c>
      <c r="P68" s="138">
        <f ca="1">OFFSET(RES!S$95,$E68,0)</f>
        <v>11.985841119806061</v>
      </c>
      <c r="Q68" s="138">
        <f ca="1">OFFSET(RES!T$95,$E68,0)</f>
        <v>11.76656766021976</v>
      </c>
      <c r="R68" s="138">
        <f ca="1">OFFSET(RES!U$95,$E68,0)</f>
        <v>11.562079969400566</v>
      </c>
      <c r="S68" s="138">
        <f ca="1">OFFSET(RES!V$95,$E68,0)</f>
        <v>11.315680218449058</v>
      </c>
      <c r="T68" s="217">
        <f ca="1">OFFSET(RES!W$95,$E68,0)</f>
        <v>11.048805752030491</v>
      </c>
      <c r="U68" s="138">
        <f ca="1">OFFSET(RES!X$95,$E68,0)</f>
        <v>10.766424530732039</v>
      </c>
      <c r="V68" s="138">
        <f ca="1">OFFSET(RES!Y$95,$E68,0)</f>
        <v>10.465939899604424</v>
      </c>
      <c r="W68" s="138">
        <f ca="1">OFFSET(RES!Z$95,$E68,0)</f>
        <v>10.162949503542956</v>
      </c>
      <c r="X68" s="138">
        <f ca="1">OFFSET(RES!AA$95,$E68,0)</f>
        <v>9.8385797281387397</v>
      </c>
      <c r="Y68" s="219">
        <f ca="1">OFFSET(RES!AB$95,$E68,0)</f>
        <v>9.5125921426737268</v>
      </c>
      <c r="Z68" s="138">
        <f ca="1">OFFSET(RES!AC$95,$E68,0)</f>
        <v>9.2006027049946031</v>
      </c>
      <c r="AA68" s="138">
        <f ca="1">OFFSET(RES!AD$95,$E68,0)</f>
        <v>8.8958436316284963</v>
      </c>
      <c r="AB68" s="138">
        <f ca="1">OFFSET(RES!AE$95,$E68,0)</f>
        <v>8.6019921745391397</v>
      </c>
      <c r="AC68" s="138">
        <f ca="1">OFFSET(RES!AF$95,$E68,0)</f>
        <v>8.317206221983108</v>
      </c>
      <c r="AD68" s="138">
        <f ca="1">OFFSET(RES!AG$95,$E68,0)</f>
        <v>8.0528496536663763</v>
      </c>
      <c r="AE68" s="138">
        <f ca="1">OFFSET(RES!AH$95,$E68,0)</f>
        <v>7.8013929100345374</v>
      </c>
      <c r="AF68" s="138">
        <f ca="1">OFFSET(RES!AI$95,$E68,0)</f>
        <v>7.529466773947572</v>
      </c>
      <c r="AG68" s="138">
        <f ca="1">OFFSET(RES!AJ$95,$E68,0)</f>
        <v>7.2641245945601831</v>
      </c>
      <c r="AH68" s="138">
        <f ca="1">OFFSET(RES!AK$95,$E68,0)</f>
        <v>7.0133677512783015</v>
      </c>
      <c r="AI68" s="138">
        <f ca="1">OFFSET(RES!AL$95,$E68,0)</f>
        <v>6.7690394482727276</v>
      </c>
      <c r="AJ68" s="138">
        <f ca="1">OFFSET(RES!AM$95,$E68,0)</f>
        <v>5.6707042089806752</v>
      </c>
      <c r="AK68" s="138">
        <f ca="1">OFFSET(RES!AN$95,$E68,0)</f>
        <v>4.7920652166412223</v>
      </c>
      <c r="AL68" s="138">
        <f ca="1">OFFSET(RES!AO$95,$E68,0)</f>
        <v>4.7920652166412223</v>
      </c>
      <c r="AM68" s="138">
        <f ca="1">OFFSET(RES!AP$95,$E68,0)</f>
        <v>4.7920652166412223</v>
      </c>
    </row>
    <row r="69" spans="1:39">
      <c r="A69" s="36" t="s">
        <v>368</v>
      </c>
      <c r="B69">
        <v>8.0953817121640004</v>
      </c>
      <c r="E69" s="141">
        <f>MATCH(F69,RES!$D$96:$D$134,0)</f>
        <v>3</v>
      </c>
      <c r="F69" s="4" t="str">
        <f t="shared" ref="F69:F131" si="1">A69</f>
        <v>RLEK</v>
      </c>
      <c r="G69" s="138">
        <f ca="1">OFFSET(RES!J$95,$E69,0)</f>
        <v>10.057098199765919</v>
      </c>
      <c r="H69" s="138">
        <f ca="1">OFFSET(RES!K$95,$E69,0)</f>
        <v>10.651583309100051</v>
      </c>
      <c r="I69" s="138">
        <f ca="1">OFFSET(RES!L$95,$E69,0)</f>
        <v>11.246068418434183</v>
      </c>
      <c r="J69" s="138">
        <f ca="1">OFFSET(RES!M$95,$E69,0)</f>
        <v>11.840553527768316</v>
      </c>
      <c r="K69" s="138">
        <f ca="1">OFFSET(RES!N$95,$E69,0)</f>
        <v>12.435038637102448</v>
      </c>
      <c r="L69" s="138">
        <f ca="1">OFFSET(RES!O$95,$E69,0)</f>
        <v>13.029523746436579</v>
      </c>
      <c r="M69" s="138">
        <f ca="1">OFFSET(RES!P$95,$E69,0)</f>
        <v>13.051471558902563</v>
      </c>
      <c r="N69" s="138">
        <f ca="1">OFFSET(RES!Q$95,$E69,0)</f>
        <v>13.192543653999781</v>
      </c>
      <c r="O69" s="217">
        <f ca="1">OFFSET(RES!R$95,$E69,0)</f>
        <v>13.780949738285511</v>
      </c>
      <c r="P69" s="138">
        <f ca="1">OFFSET(RES!S$95,$E69,0)</f>
        <v>14.130619788440281</v>
      </c>
      <c r="Q69" s="138">
        <f ca="1">OFFSET(RES!T$95,$E69,0)</f>
        <v>13.872108945843689</v>
      </c>
      <c r="R69" s="138">
        <f ca="1">OFFSET(RES!U$95,$E69,0)</f>
        <v>13.631029677271762</v>
      </c>
      <c r="S69" s="138">
        <f ca="1">OFFSET(RES!V$95,$E69,0)</f>
        <v>13.340538491725455</v>
      </c>
      <c r="T69" s="217">
        <f ca="1">OFFSET(RES!W$95,$E69,0)</f>
        <v>13.025908790020827</v>
      </c>
      <c r="U69" s="138">
        <f ca="1">OFFSET(RES!X$95,$E69,0)</f>
        <v>12.692997512983275</v>
      </c>
      <c r="V69" s="138">
        <f ca="1">OFFSET(RES!Y$95,$E69,0)</f>
        <v>12.338743353238266</v>
      </c>
      <c r="W69" s="138">
        <f ca="1">OFFSET(RES!Z$95,$E69,0)</f>
        <v>11.981535040238134</v>
      </c>
      <c r="X69" s="138">
        <f ca="1">OFFSET(RES!AA$95,$E69,0)</f>
        <v>11.599121664215266</v>
      </c>
      <c r="Y69" s="219">
        <f ca="1">OFFSET(RES!AB$95,$E69,0)</f>
        <v>11.214800982845153</v>
      </c>
      <c r="Z69" s="138">
        <f ca="1">OFFSET(RES!AC$95,$E69,0)</f>
        <v>10.84698331550031</v>
      </c>
      <c r="AA69" s="138">
        <f ca="1">OFFSET(RES!AD$95,$E69,0)</f>
        <v>10.487689833318436</v>
      </c>
      <c r="AB69" s="138">
        <f ca="1">OFFSET(RES!AE$95,$E69,0)</f>
        <v>10.141255805626596</v>
      </c>
      <c r="AC69" s="138">
        <f ca="1">OFFSET(RES!AF$95,$E69,0)</f>
        <v>9.8055094882481466</v>
      </c>
      <c r="AD69" s="138">
        <f ca="1">OFFSET(RES!AG$95,$E69,0)</f>
        <v>9.49384824410836</v>
      </c>
      <c r="AE69" s="138">
        <f ca="1">OFFSET(RES!AH$95,$E69,0)</f>
        <v>9.1973951540011303</v>
      </c>
      <c r="AF69" s="138">
        <f ca="1">OFFSET(RES!AI$95,$E69,0)</f>
        <v>8.876809823261592</v>
      </c>
      <c r="AG69" s="138">
        <f ca="1">OFFSET(RES!AJ$95,$E69,0)</f>
        <v>8.563986600153493</v>
      </c>
      <c r="AH69" s="138">
        <f ca="1">OFFSET(RES!AK$95,$E69,0)</f>
        <v>8.2683586524485495</v>
      </c>
      <c r="AI69" s="138">
        <f ca="1">OFFSET(RES!AL$95,$E69,0)</f>
        <v>7.9803095853187118</v>
      </c>
      <c r="AJ69" s="138">
        <f ca="1">OFFSET(RES!AM$95,$E69,0)</f>
        <v>6.6854352822516372</v>
      </c>
      <c r="AK69" s="138">
        <f ca="1">OFFSET(RES!AN$95,$E69,0)</f>
        <v>5.6495702638566669</v>
      </c>
      <c r="AL69" s="138">
        <f ca="1">OFFSET(RES!AO$95,$E69,0)</f>
        <v>5.6495702638566669</v>
      </c>
      <c r="AM69" s="138">
        <f ca="1">OFFSET(RES!AP$95,$E69,0)</f>
        <v>5.6495702638566669</v>
      </c>
    </row>
    <row r="70" spans="1:39">
      <c r="A70" s="36" t="s">
        <v>369</v>
      </c>
      <c r="B70">
        <v>8.4652619723960001</v>
      </c>
      <c r="E70" s="141">
        <f>MATCH(F70,RES!$D$96:$D$134,0)</f>
        <v>1</v>
      </c>
      <c r="F70" s="4" t="str">
        <f t="shared" si="1"/>
        <v>RLEL</v>
      </c>
      <c r="G70" s="138">
        <f ca="1">OFFSET(RES!J$95,$E70,0)</f>
        <v>10.675790841703828</v>
      </c>
      <c r="H70" s="138">
        <f ca="1">OFFSET(RES!K$95,$E70,0)</f>
        <v>12.639010653235388</v>
      </c>
      <c r="I70" s="138">
        <f ca="1">OFFSET(RES!L$95,$E70,0)</f>
        <v>14.602230464766947</v>
      </c>
      <c r="J70" s="138">
        <f ca="1">OFFSET(RES!M$95,$E70,0)</f>
        <v>16.565450276298506</v>
      </c>
      <c r="K70" s="138">
        <f ca="1">OFFSET(RES!N$95,$E70,0)</f>
        <v>18.528670087830069</v>
      </c>
      <c r="L70" s="138">
        <f ca="1">OFFSET(RES!O$95,$E70,0)</f>
        <v>20.491889899361627</v>
      </c>
      <c r="M70" s="138">
        <f ca="1">OFFSET(RES!P$95,$E70,0)</f>
        <v>20.526407826903512</v>
      </c>
      <c r="N70" s="138">
        <f ca="1">OFFSET(RES!Q$95,$E70,0)</f>
        <v>20.748275785921976</v>
      </c>
      <c r="O70" s="217">
        <f ca="1">OFFSET(RES!R$95,$E70,0)</f>
        <v>21.673678197395017</v>
      </c>
      <c r="P70" s="138">
        <f ca="1">OFFSET(RES!S$95,$E70,0)</f>
        <v>22.22361389023532</v>
      </c>
      <c r="Q70" s="138">
        <f ca="1">OFFSET(RES!T$95,$E70,0)</f>
        <v>21.817046787141521</v>
      </c>
      <c r="R70" s="138">
        <f ca="1">OFFSET(RES!U$95,$E70,0)</f>
        <v>21.437894799338004</v>
      </c>
      <c r="S70" s="138">
        <f ca="1">OFFSET(RES!V$95,$E70,0)</f>
        <v>20.981031332430554</v>
      </c>
      <c r="T70" s="217">
        <f ca="1">OFFSET(RES!W$95,$E70,0)</f>
        <v>20.486204558108621</v>
      </c>
      <c r="U70" s="138">
        <f ca="1">OFFSET(RES!X$95,$E70,0)</f>
        <v>19.962625848090529</v>
      </c>
      <c r="V70" s="138">
        <f ca="1">OFFSET(RES!Y$95,$E70,0)</f>
        <v>19.405480600178386</v>
      </c>
      <c r="W70" s="138">
        <f ca="1">OFFSET(RES!Z$95,$E70,0)</f>
        <v>18.843689274295329</v>
      </c>
      <c r="X70" s="138">
        <f ca="1">OFFSET(RES!AA$95,$E70,0)</f>
        <v>18.242257253447526</v>
      </c>
      <c r="Y70" s="219">
        <f ca="1">OFFSET(RES!AB$95,$E70,0)</f>
        <v>17.63782556108902</v>
      </c>
      <c r="Z70" s="138">
        <f ca="1">OFFSET(RES!AC$95,$E70,0)</f>
        <v>17.059348612203461</v>
      </c>
      <c r="AA70" s="138">
        <f ca="1">OFFSET(RES!AD$95,$E70,0)</f>
        <v>16.494277883471508</v>
      </c>
      <c r="AB70" s="138">
        <f ca="1">OFFSET(RES!AE$95,$E70,0)</f>
        <v>15.9494315720478</v>
      </c>
      <c r="AC70" s="138">
        <f ca="1">OFFSET(RES!AF$95,$E70,0)</f>
        <v>15.421394116210863</v>
      </c>
      <c r="AD70" s="138">
        <f ca="1">OFFSET(RES!AG$95,$E70,0)</f>
        <v>14.931235916640659</v>
      </c>
      <c r="AE70" s="138">
        <f ca="1">OFFSET(RES!AH$95,$E70,0)</f>
        <v>14.464995998664817</v>
      </c>
      <c r="AF70" s="138">
        <f ca="1">OFFSET(RES!AI$95,$E70,0)</f>
        <v>13.960802642966632</v>
      </c>
      <c r="AG70" s="138">
        <f ca="1">OFFSET(RES!AJ$95,$E70,0)</f>
        <v>13.468816967154979</v>
      </c>
      <c r="AH70" s="138">
        <f ca="1">OFFSET(RES!AK$95,$E70,0)</f>
        <v>13.003874773300755</v>
      </c>
      <c r="AI70" s="138">
        <f ca="1">OFFSET(RES!AL$95,$E70,0)</f>
        <v>12.550852093108565</v>
      </c>
      <c r="AJ70" s="138">
        <f ca="1">OFFSET(RES!AM$95,$E70,0)</f>
        <v>10.514367708234561</v>
      </c>
      <c r="AK70" s="138">
        <f ca="1">OFFSET(RES!AN$95,$E70,0)</f>
        <v>8.8852343399980409</v>
      </c>
      <c r="AL70" s="138">
        <f ca="1">OFFSET(RES!AO$95,$E70,0)</f>
        <v>8.8852343399980409</v>
      </c>
      <c r="AM70" s="138">
        <f ca="1">OFFSET(RES!AP$95,$E70,0)</f>
        <v>8.8852343399980409</v>
      </c>
    </row>
    <row r="71" spans="1:39">
      <c r="A71" s="36" t="s">
        <v>370</v>
      </c>
      <c r="B71">
        <v>1.2001829018570001</v>
      </c>
      <c r="E71" s="141">
        <f>MATCH(F71,RES!$D$96:$D$134,0)</f>
        <v>8</v>
      </c>
      <c r="F71" s="4" t="str">
        <f t="shared" si="1"/>
        <v>RLEO</v>
      </c>
      <c r="G71" s="138">
        <f ca="1">OFFSET(RES!J$95,$E71,0)</f>
        <v>1.9878001092508091</v>
      </c>
      <c r="H71" s="138">
        <f ca="1">OFFSET(RES!K$95,$E71,0)</f>
        <v>2.1565691406754266</v>
      </c>
      <c r="I71" s="138">
        <f ca="1">OFFSET(RES!L$95,$E71,0)</f>
        <v>2.3253381721000443</v>
      </c>
      <c r="J71" s="138">
        <f ca="1">OFFSET(RES!M$95,$E71,0)</f>
        <v>2.4941072035246621</v>
      </c>
      <c r="K71" s="138">
        <f ca="1">OFFSET(RES!N$95,$E71,0)</f>
        <v>2.6628762349492798</v>
      </c>
      <c r="L71" s="138">
        <f ca="1">OFFSET(RES!O$95,$E71,0)</f>
        <v>2.8316452663738976</v>
      </c>
      <c r="M71" s="138">
        <f ca="1">OFFSET(RES!P$95,$E71,0)</f>
        <v>2.8364150814865612</v>
      </c>
      <c r="N71" s="138">
        <f ca="1">OFFSET(RES!Q$95,$E71,0)</f>
        <v>2.8670736180588392</v>
      </c>
      <c r="O71" s="217">
        <f ca="1">OFFSET(RES!R$95,$E71,0)</f>
        <v>2.9949491517850015</v>
      </c>
      <c r="P71" s="138">
        <f ca="1">OFFSET(RES!S$95,$E71,0)</f>
        <v>3.0709413032697608</v>
      </c>
      <c r="Q71" s="138">
        <f ca="1">OFFSET(RES!T$95,$E71,0)</f>
        <v>3.0147603546802038</v>
      </c>
      <c r="R71" s="138">
        <f ca="1">OFFSET(RES!U$95,$E71,0)</f>
        <v>2.9623677282912864</v>
      </c>
      <c r="S71" s="138">
        <f ca="1">OFFSET(RES!V$95,$E71,0)</f>
        <v>2.8992366418077529</v>
      </c>
      <c r="T71" s="217">
        <f ca="1">OFFSET(RES!W$95,$E71,0)</f>
        <v>2.8308596448560266</v>
      </c>
      <c r="U71" s="138">
        <f ca="1">OFFSET(RES!X$95,$E71,0)</f>
        <v>2.758509598907211</v>
      </c>
      <c r="V71" s="138">
        <f ca="1">OFFSET(RES!Y$95,$E71,0)</f>
        <v>2.681521204392058</v>
      </c>
      <c r="W71" s="138">
        <f ca="1">OFFSET(RES!Z$95,$E71,0)</f>
        <v>2.603890797609703</v>
      </c>
      <c r="X71" s="138">
        <f ca="1">OFFSET(RES!AA$95,$E71,0)</f>
        <v>2.5207826927329329</v>
      </c>
      <c r="Y71" s="219">
        <f ca="1">OFFSET(RES!AB$95,$E71,0)</f>
        <v>2.4372600821333781</v>
      </c>
      <c r="Z71" s="138">
        <f ca="1">OFFSET(RES!AC$95,$E71,0)</f>
        <v>2.3573239941462356</v>
      </c>
      <c r="AA71" s="138">
        <f ca="1">OFFSET(RES!AD$95,$E71,0)</f>
        <v>2.2792404273284119</v>
      </c>
      <c r="AB71" s="138">
        <f ca="1">OFFSET(RES!AE$95,$E71,0)</f>
        <v>2.2039515454233669</v>
      </c>
      <c r="AC71" s="138">
        <f ca="1">OFFSET(RES!AF$95,$E71,0)</f>
        <v>2.1309853734581665</v>
      </c>
      <c r="AD71" s="138">
        <f ca="1">OFFSET(RES!AG$95,$E71,0)</f>
        <v>2.063253497462163</v>
      </c>
      <c r="AE71" s="138">
        <f ca="1">OFFSET(RES!AH$95,$E71,0)</f>
        <v>1.9988267382313329</v>
      </c>
      <c r="AF71" s="138">
        <f ca="1">OFFSET(RES!AI$95,$E71,0)</f>
        <v>1.9291554323629361</v>
      </c>
      <c r="AG71" s="138">
        <f ca="1">OFFSET(RES!AJ$95,$E71,0)</f>
        <v>1.8611710289293011</v>
      </c>
      <c r="AH71" s="138">
        <f ca="1">OFFSET(RES!AK$95,$E71,0)</f>
        <v>1.7969235940255142</v>
      </c>
      <c r="AI71" s="138">
        <f ca="1">OFFSET(RES!AL$95,$E71,0)</f>
        <v>1.7343232416799654</v>
      </c>
      <c r="AJ71" s="138">
        <f ca="1">OFFSET(RES!AM$95,$E71,0)</f>
        <v>1.452914284439156</v>
      </c>
      <c r="AK71" s="138">
        <f ca="1">OFFSET(RES!AN$95,$E71,0)</f>
        <v>1.2277945998656792</v>
      </c>
      <c r="AL71" s="138">
        <f ca="1">OFFSET(RES!AO$95,$E71,0)</f>
        <v>1.2277945998656792</v>
      </c>
      <c r="AM71" s="138">
        <f ca="1">OFFSET(RES!AP$95,$E71,0)</f>
        <v>1.2277945998656792</v>
      </c>
    </row>
    <row r="72" spans="1:39">
      <c r="A72" s="36" t="s">
        <v>371</v>
      </c>
      <c r="B72">
        <v>1.9088027674250001</v>
      </c>
      <c r="E72" s="141">
        <f>MATCH(F72,RES!$D$96:$D$134,0)</f>
        <v>7</v>
      </c>
      <c r="F72" s="4" t="str">
        <f t="shared" si="1"/>
        <v>RLER</v>
      </c>
      <c r="G72" s="138">
        <f ca="1">OFFSET(RES!J$95,$E72,0)</f>
        <v>1.4353020960038052</v>
      </c>
      <c r="H72" s="138">
        <f ca="1">OFFSET(RES!K$95,$E72,0)</f>
        <v>1.6984088756600515</v>
      </c>
      <c r="I72" s="138">
        <f ca="1">OFFSET(RES!L$95,$E72,0)</f>
        <v>1.9615156553162976</v>
      </c>
      <c r="J72" s="138">
        <f ca="1">OFFSET(RES!M$95,$E72,0)</f>
        <v>2.2246224349725439</v>
      </c>
      <c r="K72" s="138">
        <f ca="1">OFFSET(RES!N$95,$E72,0)</f>
        <v>2.4877292146287902</v>
      </c>
      <c r="L72" s="138">
        <f ca="1">OFFSET(RES!O$95,$E72,0)</f>
        <v>2.7508359942850364</v>
      </c>
      <c r="M72" s="138">
        <f ca="1">OFFSET(RES!P$95,$E72,0)</f>
        <v>2.7554696887854786</v>
      </c>
      <c r="N72" s="138">
        <f ca="1">OFFSET(RES!Q$95,$E72,0)</f>
        <v>2.7852532944286827</v>
      </c>
      <c r="O72" s="217">
        <f ca="1">OFFSET(RES!R$95,$E72,0)</f>
        <v>2.9094795261320607</v>
      </c>
      <c r="P72" s="138">
        <f ca="1">OFFSET(RES!S$95,$E72,0)</f>
        <v>2.9833030195158661</v>
      </c>
      <c r="Q72" s="138">
        <f ca="1">OFFSET(RES!T$95,$E72,0)</f>
        <v>2.9287253584618971</v>
      </c>
      <c r="R72" s="138">
        <f ca="1">OFFSET(RES!U$95,$E72,0)</f>
        <v>2.8778279087646328</v>
      </c>
      <c r="S72" s="138">
        <f ca="1">OFFSET(RES!V$95,$E72,0)</f>
        <v>2.8164984523106424</v>
      </c>
      <c r="T72" s="217">
        <f ca="1">OFFSET(RES!W$95,$E72,0)</f>
        <v>2.7500727927728597</v>
      </c>
      <c r="U72" s="138">
        <f ca="1">OFFSET(RES!X$95,$E72,0)</f>
        <v>2.6797874668008532</v>
      </c>
      <c r="V72" s="138">
        <f ca="1">OFFSET(RES!Y$95,$E72,0)</f>
        <v>2.6049961610926702</v>
      </c>
      <c r="W72" s="138">
        <f ca="1">OFFSET(RES!Z$95,$E72,0)</f>
        <v>2.5295811648133677</v>
      </c>
      <c r="X72" s="138">
        <f ca="1">OFFSET(RES!AA$95,$E72,0)</f>
        <v>2.4488447925612769</v>
      </c>
      <c r="Y72" s="219">
        <f ca="1">OFFSET(RES!AB$95,$E72,0)</f>
        <v>2.367705743718437</v>
      </c>
      <c r="Z72" s="138">
        <f ca="1">OFFSET(RES!AC$95,$E72,0)</f>
        <v>2.2900508655850076</v>
      </c>
      <c r="AA72" s="138">
        <f ca="1">OFFSET(RES!AD$95,$E72,0)</f>
        <v>2.2141956415160378</v>
      </c>
      <c r="AB72" s="138">
        <f ca="1">OFFSET(RES!AE$95,$E72,0)</f>
        <v>2.1410553478594503</v>
      </c>
      <c r="AC72" s="138">
        <f ca="1">OFFSET(RES!AF$95,$E72,0)</f>
        <v>2.0701714788273318</v>
      </c>
      <c r="AD72" s="138">
        <f ca="1">OFFSET(RES!AG$95,$E72,0)</f>
        <v>2.0043725298336779</v>
      </c>
      <c r="AE72" s="138">
        <f ca="1">OFFSET(RES!AH$95,$E72,0)</f>
        <v>1.9417843764403491</v>
      </c>
      <c r="AF72" s="138">
        <f ca="1">OFFSET(RES!AI$95,$E72,0)</f>
        <v>1.8741013448729613</v>
      </c>
      <c r="AG72" s="138">
        <f ca="1">OFFSET(RES!AJ$95,$E72,0)</f>
        <v>1.8080570750500249</v>
      </c>
      <c r="AH72" s="138">
        <f ca="1">OFFSET(RES!AK$95,$E72,0)</f>
        <v>1.7456431284400593</v>
      </c>
      <c r="AI72" s="138">
        <f ca="1">OFFSET(RES!AL$95,$E72,0)</f>
        <v>1.6848292600745567</v>
      </c>
      <c r="AJ72" s="138">
        <f ca="1">OFFSET(RES!AM$95,$E72,0)</f>
        <v>1.4114511297399139</v>
      </c>
      <c r="AK72" s="138">
        <f ca="1">OFFSET(RES!AN$95,$E72,0)</f>
        <v>1.1927558931929205</v>
      </c>
      <c r="AL72" s="138">
        <f ca="1">OFFSET(RES!AO$95,$E72,0)</f>
        <v>1.1927558931929205</v>
      </c>
      <c r="AM72" s="138">
        <f ca="1">OFFSET(RES!AP$95,$E72,0)</f>
        <v>1.1927558931929205</v>
      </c>
    </row>
    <row r="73" spans="1:39">
      <c r="A73" s="36" t="s">
        <v>372</v>
      </c>
      <c r="B73">
        <v>7.6914136780069997</v>
      </c>
      <c r="E73" s="141">
        <f>MATCH(F73,RES!$D$96:$D$134,0)</f>
        <v>6</v>
      </c>
      <c r="F73" s="4" t="str">
        <f t="shared" si="1"/>
        <v>RLEW</v>
      </c>
      <c r="G73" s="138">
        <f ca="1">OFFSET(RES!J$95,$E73,0)</f>
        <v>5.6499455804389198</v>
      </c>
      <c r="H73" s="138">
        <f ca="1">OFFSET(RES!K$95,$E73,0)</f>
        <v>6.0252615262969664</v>
      </c>
      <c r="I73" s="138">
        <f ca="1">OFFSET(RES!L$95,$E73,0)</f>
        <v>6.400577472155013</v>
      </c>
      <c r="J73" s="138">
        <f ca="1">OFFSET(RES!M$95,$E73,0)</f>
        <v>6.7758934180130606</v>
      </c>
      <c r="K73" s="138">
        <f ca="1">OFFSET(RES!N$95,$E73,0)</f>
        <v>7.1512093638711072</v>
      </c>
      <c r="L73" s="138">
        <f ca="1">OFFSET(RES!O$95,$E73,0)</f>
        <v>7.5265253097291538</v>
      </c>
      <c r="M73" s="138">
        <f ca="1">OFFSET(RES!P$95,$E73,0)</f>
        <v>7.5392034988351515</v>
      </c>
      <c r="N73" s="138">
        <f ca="1">OFFSET(RES!Q$95,$E73,0)</f>
        <v>7.6206940210452299</v>
      </c>
      <c r="O73" s="217">
        <f ca="1">OFFSET(RES!R$95,$E73,0)</f>
        <v>7.9605877402601282</v>
      </c>
      <c r="P73" s="138">
        <f ca="1">OFFSET(RES!S$95,$E73,0)</f>
        <v>8.1625752060924004</v>
      </c>
      <c r="Q73" s="138">
        <f ca="1">OFFSET(RES!T$95,$E73,0)</f>
        <v>8.0132460028531192</v>
      </c>
      <c r="R73" s="138">
        <f ca="1">OFFSET(RES!U$95,$E73,0)</f>
        <v>7.8739861763338395</v>
      </c>
      <c r="S73" s="138">
        <f ca="1">OFFSET(RES!V$95,$E73,0)</f>
        <v>7.7061834766484072</v>
      </c>
      <c r="T73" s="217">
        <f ca="1">OFFSET(RES!W$95,$E73,0)</f>
        <v>7.5244371243521417</v>
      </c>
      <c r="U73" s="138">
        <f ca="1">OFFSET(RES!X$95,$E73,0)</f>
        <v>7.3321303907155686</v>
      </c>
      <c r="V73" s="138">
        <f ca="1">OFFSET(RES!Y$95,$E73,0)</f>
        <v>7.1274949066191651</v>
      </c>
      <c r="W73" s="138">
        <f ca="1">OFFSET(RES!Z$95,$E73,0)</f>
        <v>6.9211529511523411</v>
      </c>
      <c r="X73" s="138">
        <f ca="1">OFFSET(RES!AA$95,$E73,0)</f>
        <v>6.70025125056622</v>
      </c>
      <c r="Y73" s="219">
        <f ca="1">OFFSET(RES!AB$95,$E73,0)</f>
        <v>6.4782477919842743</v>
      </c>
      <c r="Z73" s="138">
        <f ca="1">OFFSET(RES!AC$95,$E73,0)</f>
        <v>6.2657773259479672</v>
      </c>
      <c r="AA73" s="138">
        <f ca="1">OFFSET(RES!AD$95,$E73,0)</f>
        <v>6.0582308691557785</v>
      </c>
      <c r="AB73" s="138">
        <f ca="1">OFFSET(RES!AE$95,$E73,0)</f>
        <v>5.8581126968943291</v>
      </c>
      <c r="AC73" s="138">
        <f ca="1">OFFSET(RES!AF$95,$E73,0)</f>
        <v>5.664168297653462</v>
      </c>
      <c r="AD73" s="138">
        <f ca="1">OFFSET(RES!AG$95,$E73,0)</f>
        <v>5.4841366796350899</v>
      </c>
      <c r="AE73" s="138">
        <f ca="1">OFFSET(RES!AH$95,$E73,0)</f>
        <v>5.3128900762087978</v>
      </c>
      <c r="AF73" s="138">
        <f ca="1">OFFSET(RES!AI$95,$E73,0)</f>
        <v>5.1277034452393488</v>
      </c>
      <c r="AG73" s="138">
        <f ca="1">OFFSET(RES!AJ$95,$E73,0)</f>
        <v>4.9470006082044904</v>
      </c>
      <c r="AH73" s="138">
        <f ca="1">OFFSET(RES!AK$95,$E73,0)</f>
        <v>4.7762306496115627</v>
      </c>
      <c r="AI73" s="138">
        <f ca="1">OFFSET(RES!AL$95,$E73,0)</f>
        <v>4.6098386435499812</v>
      </c>
      <c r="AJ73" s="138">
        <f ca="1">OFFSET(RES!AM$95,$E73,0)</f>
        <v>3.8618524235918166</v>
      </c>
      <c r="AK73" s="138">
        <f ca="1">OFFSET(RES!AN$95,$E73,0)</f>
        <v>3.2634833327380512</v>
      </c>
      <c r="AL73" s="138">
        <f ca="1">OFFSET(RES!AO$95,$E73,0)</f>
        <v>3.2634833327380512</v>
      </c>
      <c r="AM73" s="138">
        <f ca="1">OFFSET(RES!AP$95,$E73,0)</f>
        <v>3.2634833327380512</v>
      </c>
    </row>
    <row r="74" spans="1:39">
      <c r="A74" s="36" t="s">
        <v>373</v>
      </c>
      <c r="B74">
        <v>0.1043575899953</v>
      </c>
      <c r="E74" s="141">
        <f>MATCH(F74,RES!$D$96:$D$134,0)</f>
        <v>2</v>
      </c>
      <c r="F74" s="4" t="str">
        <f t="shared" si="1"/>
        <v>RLNL</v>
      </c>
      <c r="G74" s="138">
        <f ca="1">OFFSET(RES!J$95,$E74,0)</f>
        <v>4.742986727829742E-2</v>
      </c>
      <c r="H74" s="138">
        <f ca="1">OFFSET(RES!K$95,$E74,0)</f>
        <v>4.5818274562462187E-2</v>
      </c>
      <c r="I74" s="138">
        <f ca="1">OFFSET(RES!L$95,$E74,0)</f>
        <v>4.4206681846626947E-2</v>
      </c>
      <c r="J74" s="138">
        <f ca="1">OFFSET(RES!M$95,$E74,0)</f>
        <v>4.2595089130791713E-2</v>
      </c>
      <c r="K74" s="138">
        <f ca="1">OFFSET(RES!N$95,$E74,0)</f>
        <v>4.0983496414956473E-2</v>
      </c>
      <c r="L74" s="138">
        <f ca="1">OFFSET(RES!O$95,$E74,0)</f>
        <v>3.937190369912124E-2</v>
      </c>
      <c r="M74" s="138">
        <f ca="1">OFFSET(RES!P$95,$E74,0)</f>
        <v>3.9438224400908474E-2</v>
      </c>
      <c r="N74" s="138">
        <f ca="1">OFFSET(RES!Q$95,$E74,0)</f>
        <v>3.9864508358088413E-2</v>
      </c>
      <c r="O74" s="217">
        <f ca="1">OFFSET(RES!R$95,$E74,0)</f>
        <v>4.1642521748087455E-2</v>
      </c>
      <c r="P74" s="138">
        <f ca="1">OFFSET(RES!S$95,$E74,0)</f>
        <v>4.2699135620480576E-2</v>
      </c>
      <c r="Q74" s="138">
        <f ca="1">OFFSET(RES!T$95,$E74,0)</f>
        <v>4.1917981665972048E-2</v>
      </c>
      <c r="R74" s="138">
        <f ca="1">OFFSET(RES!U$95,$E74,0)</f>
        <v>4.1189501490427306E-2</v>
      </c>
      <c r="S74" s="138">
        <f ca="1">OFFSET(RES!V$95,$E74,0)</f>
        <v>4.0311711081096289E-2</v>
      </c>
      <c r="T74" s="217">
        <f ca="1">OFFSET(RES!W$95,$E74,0)</f>
        <v>3.9360980221130229E-2</v>
      </c>
      <c r="U74" s="138">
        <f ca="1">OFFSET(RES!X$95,$E74,0)</f>
        <v>3.8355007094640577E-2</v>
      </c>
      <c r="V74" s="138">
        <f ca="1">OFFSET(RES!Y$95,$E74,0)</f>
        <v>3.7284541210090644E-2</v>
      </c>
      <c r="W74" s="138">
        <f ca="1">OFFSET(RES!Z$95,$E74,0)</f>
        <v>3.6205148626473525E-2</v>
      </c>
      <c r="X74" s="138">
        <f ca="1">OFFSET(RES!AA$95,$E74,0)</f>
        <v>3.5049592759119133E-2</v>
      </c>
      <c r="Y74" s="219">
        <f ca="1">OFFSET(RES!AB$95,$E74,0)</f>
        <v>3.3888273500568104E-2</v>
      </c>
      <c r="Z74" s="138">
        <f ca="1">OFFSET(RES!AC$95,$E74,0)</f>
        <v>3.2776822149055952E-2</v>
      </c>
      <c r="AA74" s="138">
        <f ca="1">OFFSET(RES!AD$95,$E74,0)</f>
        <v>3.1691128715015011E-2</v>
      </c>
      <c r="AB74" s="138">
        <f ca="1">OFFSET(RES!AE$95,$E74,0)</f>
        <v>3.0644293278676665E-2</v>
      </c>
      <c r="AC74" s="138">
        <f ca="1">OFFSET(RES!AF$95,$E74,0)</f>
        <v>2.9629753382022794E-2</v>
      </c>
      <c r="AD74" s="138">
        <f ca="1">OFFSET(RES!AG$95,$E74,0)</f>
        <v>2.8687992445106288E-2</v>
      </c>
      <c r="AE74" s="138">
        <f ca="1">OFFSET(RES!AH$95,$E74,0)</f>
        <v>2.7792186677976779E-2</v>
      </c>
      <c r="AF74" s="138">
        <f ca="1">OFFSET(RES!AI$95,$E74,0)</f>
        <v>2.682345942325421E-2</v>
      </c>
      <c r="AG74" s="138">
        <f ca="1">OFFSET(RES!AJ$95,$E74,0)</f>
        <v>2.5878187281712647E-2</v>
      </c>
      <c r="AH74" s="138">
        <f ca="1">OFFSET(RES!AK$95,$E74,0)</f>
        <v>2.4984874884857688E-2</v>
      </c>
      <c r="AI74" s="138">
        <f ca="1">OFFSET(RES!AL$95,$E74,0)</f>
        <v>2.4114463935665523E-2</v>
      </c>
      <c r="AJ74" s="138">
        <f ca="1">OFFSET(RES!AM$95,$E74,0)</f>
        <v>2.020168344153837E-2</v>
      </c>
      <c r="AK74" s="138">
        <f ca="1">OFFSET(RES!AN$95,$E74,0)</f>
        <v>1.7071563066978313E-2</v>
      </c>
      <c r="AL74" s="138">
        <f ca="1">OFFSET(RES!AO$95,$E74,0)</f>
        <v>1.7071563066978313E-2</v>
      </c>
      <c r="AM74" s="138">
        <f ca="1">OFFSET(RES!AP$95,$E74,0)</f>
        <v>1.7071563066978313E-2</v>
      </c>
    </row>
    <row r="75" spans="1:39">
      <c r="A75" s="36" t="s">
        <v>374</v>
      </c>
      <c r="B75">
        <v>12.72538201427</v>
      </c>
      <c r="E75" s="141">
        <f>MATCH(F75,RES!$D$96:$D$134,0)</f>
        <v>15</v>
      </c>
      <c r="F75" s="4" t="str">
        <f t="shared" si="1"/>
        <v>RMEH</v>
      </c>
      <c r="G75" s="138">
        <f ca="1">OFFSET(RES!J$95,$E75,0)</f>
        <v>13.162628870539544</v>
      </c>
      <c r="H75" s="138">
        <f ca="1">OFFSET(RES!K$95,$E75,0)</f>
        <v>13.094413910887344</v>
      </c>
      <c r="I75" s="138">
        <f ca="1">OFFSET(RES!L$95,$E75,0)</f>
        <v>13.026198951235143</v>
      </c>
      <c r="J75" s="138">
        <f ca="1">OFFSET(RES!M$95,$E75,0)</f>
        <v>12.957983991582941</v>
      </c>
      <c r="K75" s="138">
        <f ca="1">OFFSET(RES!N$95,$E75,0)</f>
        <v>12.88976903193074</v>
      </c>
      <c r="L75" s="138">
        <f ca="1">OFFSET(RES!O$95,$E75,0)</f>
        <v>12.821554072278539</v>
      </c>
      <c r="M75" s="138">
        <f ca="1">OFFSET(RES!P$95,$E75,0)</f>
        <v>13.29992782488844</v>
      </c>
      <c r="N75" s="138">
        <f ca="1">OFFSET(RES!Q$95,$E75,0)</f>
        <v>13.779619667122622</v>
      </c>
      <c r="O75" s="217">
        <f ca="1">OFFSET(RES!R$95,$E75,0)</f>
        <v>14.659188980305933</v>
      </c>
      <c r="P75" s="138">
        <f ca="1">OFFSET(RES!S$95,$E75,0)</f>
        <v>14.280620853927292</v>
      </c>
      <c r="Q75" s="138">
        <f ca="1">OFFSET(RES!T$95,$E75,0)</f>
        <v>14.869208770731849</v>
      </c>
      <c r="R75" s="138">
        <f ca="1">OFFSET(RES!U$95,$E75,0)</f>
        <v>15.407663683731334</v>
      </c>
      <c r="S75" s="138">
        <f ca="1">OFFSET(RES!V$95,$E75,0)</f>
        <v>15.970409816783551</v>
      </c>
      <c r="T75" s="217">
        <f ca="1">OFFSET(RES!W$95,$E75,0)</f>
        <v>16.574237492185933</v>
      </c>
      <c r="U75" s="138">
        <f ca="1">OFFSET(RES!X$95,$E75,0)</f>
        <v>17.097157076810078</v>
      </c>
      <c r="V75" s="138">
        <f ca="1">OFFSET(RES!Y$95,$E75,0)</f>
        <v>17.65969700522718</v>
      </c>
      <c r="W75" s="138">
        <f ca="1">OFFSET(RES!Z$95,$E75,0)</f>
        <v>18.223019903735306</v>
      </c>
      <c r="X75" s="138">
        <f ca="1">OFFSET(RES!AA$95,$E75,0)</f>
        <v>18.786818501673299</v>
      </c>
      <c r="Y75" s="219">
        <f ca="1">OFFSET(RES!AB$95,$E75,0)</f>
        <v>19.38982200713912</v>
      </c>
      <c r="Z75" s="138">
        <f ca="1">OFFSET(RES!AC$95,$E75,0)</f>
        <v>19.804652933543213</v>
      </c>
      <c r="AA75" s="138">
        <f ca="1">OFFSET(RES!AD$95,$E75,0)</f>
        <v>20.225050651806072</v>
      </c>
      <c r="AB75" s="138">
        <f ca="1">OFFSET(RES!AE$95,$E75,0)</f>
        <v>20.634845859249733</v>
      </c>
      <c r="AC75" s="138">
        <f ca="1">OFFSET(RES!AF$95,$E75,0)</f>
        <v>21.038959079345108</v>
      </c>
      <c r="AD75" s="138">
        <f ca="1">OFFSET(RES!AG$95,$E75,0)</f>
        <v>21.447622391851063</v>
      </c>
      <c r="AE75" s="138">
        <f ca="1">OFFSET(RES!AH$95,$E75,0)</f>
        <v>21.762160452492836</v>
      </c>
      <c r="AF75" s="138">
        <f ca="1">OFFSET(RES!AI$95,$E75,0)</f>
        <v>22.066441741180743</v>
      </c>
      <c r="AG75" s="138">
        <f ca="1">OFFSET(RES!AJ$95,$E75,0)</f>
        <v>22.397416938812267</v>
      </c>
      <c r="AH75" s="138">
        <f ca="1">OFFSET(RES!AK$95,$E75,0)</f>
        <v>22.704480848438081</v>
      </c>
      <c r="AI75" s="138">
        <f ca="1">OFFSET(RES!AL$95,$E75,0)</f>
        <v>23.010516726117064</v>
      </c>
      <c r="AJ75" s="138">
        <f ca="1">OFFSET(RES!AM$95,$E75,0)</f>
        <v>24.724439878488376</v>
      </c>
      <c r="AK75" s="138">
        <f ca="1">OFFSET(RES!AN$95,$E75,0)</f>
        <v>25.95149880564685</v>
      </c>
      <c r="AL75" s="138">
        <f ca="1">OFFSET(RES!AO$95,$E75,0)</f>
        <v>25.95149880564685</v>
      </c>
      <c r="AM75" s="138">
        <f ca="1">OFFSET(RES!AP$95,$E75,0)</f>
        <v>25.95149880564685</v>
      </c>
    </row>
    <row r="76" spans="1:39">
      <c r="A76" s="36" t="s">
        <v>375</v>
      </c>
      <c r="B76">
        <v>5.0035172999329998</v>
      </c>
      <c r="E76" s="141">
        <f>MATCH(F76,RES!$D$96:$D$134,0)</f>
        <v>14</v>
      </c>
      <c r="F76" s="4" t="str">
        <f t="shared" si="1"/>
        <v>RMEK</v>
      </c>
      <c r="G76" s="138">
        <f ca="1">OFFSET(RES!J$95,$E76,0)</f>
        <v>9.0451133406280029</v>
      </c>
      <c r="H76" s="138">
        <f ca="1">OFFSET(RES!K$95,$E76,0)</f>
        <v>8.9402016286214678</v>
      </c>
      <c r="I76" s="138">
        <f ca="1">OFFSET(RES!L$95,$E76,0)</f>
        <v>8.8352899166149328</v>
      </c>
      <c r="J76" s="138">
        <f ca="1">OFFSET(RES!M$95,$E76,0)</f>
        <v>8.7303782046083978</v>
      </c>
      <c r="K76" s="138">
        <f ca="1">OFFSET(RES!N$95,$E76,0)</f>
        <v>8.6254664926018627</v>
      </c>
      <c r="L76" s="138">
        <f ca="1">OFFSET(RES!O$95,$E76,0)</f>
        <v>8.5205547805953277</v>
      </c>
      <c r="M76" s="138">
        <f ca="1">OFFSET(RES!P$95,$E76,0)</f>
        <v>8.8384577229168322</v>
      </c>
      <c r="N76" s="138">
        <f ca="1">OFFSET(RES!Q$95,$E76,0)</f>
        <v>9.1572366007751764</v>
      </c>
      <c r="O76" s="217">
        <f ca="1">OFFSET(RES!R$95,$E76,0)</f>
        <v>9.7417537719434257</v>
      </c>
      <c r="P76" s="138">
        <f ca="1">OFFSET(RES!S$95,$E76,0)</f>
        <v>9.4901765886462286</v>
      </c>
      <c r="Q76" s="138">
        <f ca="1">OFFSET(RES!T$95,$E76,0)</f>
        <v>9.8813222766071629</v>
      </c>
      <c r="R76" s="138">
        <f ca="1">OFFSET(RES!U$95,$E76,0)</f>
        <v>10.239152111994464</v>
      </c>
      <c r="S76" s="138">
        <f ca="1">OFFSET(RES!V$95,$E76,0)</f>
        <v>10.613124660658176</v>
      </c>
      <c r="T76" s="217">
        <f ca="1">OFFSET(RES!W$95,$E76,0)</f>
        <v>11.014397919523841</v>
      </c>
      <c r="U76" s="138">
        <f ca="1">OFFSET(RES!X$95,$E76,0)</f>
        <v>11.361903763317734</v>
      </c>
      <c r="V76" s="138">
        <f ca="1">OFFSET(RES!Y$95,$E76,0)</f>
        <v>11.735739278835572</v>
      </c>
      <c r="W76" s="138">
        <f ca="1">OFFSET(RES!Z$95,$E76,0)</f>
        <v>12.110095116579135</v>
      </c>
      <c r="X76" s="138">
        <f ca="1">OFFSET(RES!AA$95,$E76,0)</f>
        <v>12.484767080045714</v>
      </c>
      <c r="Y76" s="219">
        <f ca="1">OFFSET(RES!AB$95,$E76,0)</f>
        <v>12.885492637357151</v>
      </c>
      <c r="Z76" s="138">
        <f ca="1">OFFSET(RES!AC$95,$E76,0)</f>
        <v>13.161168239018679</v>
      </c>
      <c r="AA76" s="138">
        <f ca="1">OFFSET(RES!AD$95,$E76,0)</f>
        <v>13.440543248311869</v>
      </c>
      <c r="AB76" s="138">
        <f ca="1">OFFSET(RES!AE$95,$E76,0)</f>
        <v>13.712872366464442</v>
      </c>
      <c r="AC76" s="138">
        <f ca="1">OFFSET(RES!AF$95,$E76,0)</f>
        <v>13.981425523903454</v>
      </c>
      <c r="AD76" s="138">
        <f ca="1">OFFSET(RES!AG$95,$E76,0)</f>
        <v>14.253002442067769</v>
      </c>
      <c r="AE76" s="138">
        <f ca="1">OFFSET(RES!AH$95,$E76,0)</f>
        <v>14.462028490015806</v>
      </c>
      <c r="AF76" s="138">
        <f ca="1">OFFSET(RES!AI$95,$E76,0)</f>
        <v>14.664238407344079</v>
      </c>
      <c r="AG76" s="138">
        <f ca="1">OFFSET(RES!AJ$95,$E76,0)</f>
        <v>14.884187743168749</v>
      </c>
      <c r="AH76" s="138">
        <f ca="1">OFFSET(RES!AK$95,$E76,0)</f>
        <v>15.088246849292814</v>
      </c>
      <c r="AI76" s="138">
        <f ca="1">OFFSET(RES!AL$95,$E76,0)</f>
        <v>15.291622777506479</v>
      </c>
      <c r="AJ76" s="138">
        <f ca="1">OFFSET(RES!AM$95,$E76,0)</f>
        <v>16.430609208260982</v>
      </c>
      <c r="AK76" s="138">
        <f ca="1">OFFSET(RES!AN$95,$E76,0)</f>
        <v>17.246050359071049</v>
      </c>
      <c r="AL76" s="138">
        <f ca="1">OFFSET(RES!AO$95,$E76,0)</f>
        <v>17.246050359071049</v>
      </c>
      <c r="AM76" s="138">
        <f ca="1">OFFSET(RES!AP$95,$E76,0)</f>
        <v>17.246050359071049</v>
      </c>
    </row>
    <row r="77" spans="1:39">
      <c r="A77" s="36" t="s">
        <v>376</v>
      </c>
      <c r="B77">
        <v>15.793352715539999</v>
      </c>
      <c r="E77" s="141">
        <f>MATCH(F77,RES!$D$96:$D$134,0)</f>
        <v>12</v>
      </c>
      <c r="F77" s="4" t="str">
        <f t="shared" si="1"/>
        <v>RMEL</v>
      </c>
      <c r="G77" s="138">
        <f ca="1">OFFSET(RES!J$95,$E77,0)</f>
        <v>16.048248534198041</v>
      </c>
      <c r="H77" s="138">
        <f ca="1">OFFSET(RES!K$95,$E77,0)</f>
        <v>17.585213087537426</v>
      </c>
      <c r="I77" s="138">
        <f ca="1">OFFSET(RES!L$95,$E77,0)</f>
        <v>19.12217764087681</v>
      </c>
      <c r="J77" s="138">
        <f ca="1">OFFSET(RES!M$95,$E77,0)</f>
        <v>20.659142194216194</v>
      </c>
      <c r="K77" s="138">
        <f ca="1">OFFSET(RES!N$95,$E77,0)</f>
        <v>22.196106747555582</v>
      </c>
      <c r="L77" s="138">
        <f ca="1">OFFSET(RES!O$95,$E77,0)</f>
        <v>23.733071300894967</v>
      </c>
      <c r="M77" s="138">
        <f ca="1">OFFSET(RES!P$95,$E77,0)</f>
        <v>24.618555097567821</v>
      </c>
      <c r="N77" s="138">
        <f ca="1">OFFSET(RES!Q$95,$E77,0)</f>
        <v>25.506478716656712</v>
      </c>
      <c r="O77" s="217">
        <f ca="1">OFFSET(RES!R$95,$E77,0)</f>
        <v>27.134587220991008</v>
      </c>
      <c r="P77" s="138">
        <f ca="1">OFFSET(RES!S$95,$E77,0)</f>
        <v>26.433846555316475</v>
      </c>
      <c r="Q77" s="138">
        <f ca="1">OFFSET(RES!T$95,$E77,0)</f>
        <v>27.523339990949999</v>
      </c>
      <c r="R77" s="138">
        <f ca="1">OFFSET(RES!U$95,$E77,0)</f>
        <v>28.52003577139083</v>
      </c>
      <c r="S77" s="138">
        <f ca="1">OFFSET(RES!V$95,$E77,0)</f>
        <v>29.561695310066217</v>
      </c>
      <c r="T77" s="217">
        <f ca="1">OFFSET(RES!W$95,$E77,0)</f>
        <v>30.679397984250055</v>
      </c>
      <c r="U77" s="138">
        <f ca="1">OFFSET(RES!X$95,$E77,0)</f>
        <v>31.647337417844295</v>
      </c>
      <c r="V77" s="138">
        <f ca="1">OFFSET(RES!Y$95,$E77,0)</f>
        <v>32.6886152657137</v>
      </c>
      <c r="W77" s="138">
        <f ca="1">OFFSET(RES!Z$95,$E77,0)</f>
        <v>33.731342414104091</v>
      </c>
      <c r="X77" s="138">
        <f ca="1">OFFSET(RES!AA$95,$E77,0)</f>
        <v>34.7749500960416</v>
      </c>
      <c r="Y77" s="219">
        <f ca="1">OFFSET(RES!AB$95,$E77,0)</f>
        <v>35.891127207586294</v>
      </c>
      <c r="Z77" s="138">
        <f ca="1">OFFSET(RES!AC$95,$E77,0)</f>
        <v>36.658991375897294</v>
      </c>
      <c r="AA77" s="138">
        <f ca="1">OFFSET(RES!AD$95,$E77,0)</f>
        <v>37.437159838629739</v>
      </c>
      <c r="AB77" s="138">
        <f ca="1">OFFSET(RES!AE$95,$E77,0)</f>
        <v>38.195702743974842</v>
      </c>
      <c r="AC77" s="138">
        <f ca="1">OFFSET(RES!AF$95,$E77,0)</f>
        <v>38.943728124680774</v>
      </c>
      <c r="AD77" s="138">
        <f ca="1">OFFSET(RES!AG$95,$E77,0)</f>
        <v>39.700175859416269</v>
      </c>
      <c r="AE77" s="138">
        <f ca="1">OFFSET(RES!AH$95,$E77,0)</f>
        <v>40.282395002117262</v>
      </c>
      <c r="AF77" s="138">
        <f ca="1">OFFSET(RES!AI$95,$E77,0)</f>
        <v>40.84562856017493</v>
      </c>
      <c r="AG77" s="138">
        <f ca="1">OFFSET(RES!AJ$95,$E77,0)</f>
        <v>41.45827332382337</v>
      </c>
      <c r="AH77" s="138">
        <f ca="1">OFFSET(RES!AK$95,$E77,0)</f>
        <v>42.0266575945599</v>
      </c>
      <c r="AI77" s="138">
        <f ca="1">OFFSET(RES!AL$95,$E77,0)</f>
        <v>42.593138948118352</v>
      </c>
      <c r="AJ77" s="138">
        <f ca="1">OFFSET(RES!AM$95,$E77,0)</f>
        <v>45.76566079298815</v>
      </c>
      <c r="AK77" s="138">
        <f ca="1">OFFSET(RES!AN$95,$E77,0)</f>
        <v>48.036982728260888</v>
      </c>
      <c r="AL77" s="138">
        <f ca="1">OFFSET(RES!AO$95,$E77,0)</f>
        <v>48.036982728260888</v>
      </c>
      <c r="AM77" s="138">
        <f ca="1">OFFSET(RES!AP$95,$E77,0)</f>
        <v>48.036982728260888</v>
      </c>
    </row>
    <row r="78" spans="1:39">
      <c r="A78" s="36" t="s">
        <v>377</v>
      </c>
      <c r="B78">
        <v>8.1991938940679994</v>
      </c>
      <c r="E78" s="141">
        <f>MATCH(F78,RES!$D$96:$D$134,0)</f>
        <v>19</v>
      </c>
      <c r="F78" s="4" t="str">
        <f t="shared" si="1"/>
        <v>RMEO</v>
      </c>
      <c r="G78" s="138">
        <f ca="1">OFFSET(RES!J$95,$E78,0)</f>
        <v>5.8181446629629967</v>
      </c>
      <c r="H78" s="138">
        <f ca="1">OFFSET(RES!K$95,$E78,0)</f>
        <v>6.4084282360981142</v>
      </c>
      <c r="I78" s="138">
        <f ca="1">OFFSET(RES!L$95,$E78,0)</f>
        <v>6.9987118092332326</v>
      </c>
      <c r="J78" s="138">
        <f ca="1">OFFSET(RES!M$95,$E78,0)</f>
        <v>7.58899538236835</v>
      </c>
      <c r="K78" s="138">
        <f ca="1">OFFSET(RES!N$95,$E78,0)</f>
        <v>8.1792789555034684</v>
      </c>
      <c r="L78" s="138">
        <f ca="1">OFFSET(RES!O$95,$E78,0)</f>
        <v>8.7695625286385859</v>
      </c>
      <c r="M78" s="138">
        <f ca="1">OFFSET(RES!P$95,$E78,0)</f>
        <v>9.0967559805339615</v>
      </c>
      <c r="N78" s="138">
        <f ca="1">OFFSET(RES!Q$95,$E78,0)</f>
        <v>9.4248509666203795</v>
      </c>
      <c r="O78" s="217">
        <f ca="1">OFFSET(RES!R$95,$E78,0)</f>
        <v>10.02645027718367</v>
      </c>
      <c r="P78" s="138">
        <f ca="1">OFFSET(RES!S$95,$E78,0)</f>
        <v>9.767520912076133</v>
      </c>
      <c r="Q78" s="138">
        <f ca="1">OFFSET(RES!T$95,$E78,0)</f>
        <v>10.170097581871465</v>
      </c>
      <c r="R78" s="138">
        <f ca="1">OFFSET(RES!U$95,$E78,0)</f>
        <v>10.5383847646718</v>
      </c>
      <c r="S78" s="138">
        <f ca="1">OFFSET(RES!V$95,$E78,0)</f>
        <v>10.923286421189477</v>
      </c>
      <c r="T78" s="217">
        <f ca="1">OFFSET(RES!W$95,$E78,0)</f>
        <v>11.336286633653007</v>
      </c>
      <c r="U78" s="138">
        <f ca="1">OFFSET(RES!X$95,$E78,0)</f>
        <v>11.693948112827833</v>
      </c>
      <c r="V78" s="138">
        <f ca="1">OFFSET(RES!Y$95,$E78,0)</f>
        <v>12.078708731493847</v>
      </c>
      <c r="W78" s="138">
        <f ca="1">OFFSET(RES!Z$95,$E78,0)</f>
        <v>12.464004878468879</v>
      </c>
      <c r="X78" s="138">
        <f ca="1">OFFSET(RES!AA$95,$E78,0)</f>
        <v>12.849626389738406</v>
      </c>
      <c r="Y78" s="219">
        <f ca="1">OFFSET(RES!AB$95,$E78,0)</f>
        <v>13.262062894421105</v>
      </c>
      <c r="Z78" s="138">
        <f ca="1">OFFSET(RES!AC$95,$E78,0)</f>
        <v>13.545794938711994</v>
      </c>
      <c r="AA78" s="138">
        <f ca="1">OFFSET(RES!AD$95,$E78,0)</f>
        <v>13.833334503449636</v>
      </c>
      <c r="AB78" s="138">
        <f ca="1">OFFSET(RES!AE$95,$E78,0)</f>
        <v>14.11362226539759</v>
      </c>
      <c r="AC78" s="138">
        <f ca="1">OFFSET(RES!AF$95,$E78,0)</f>
        <v>14.390023716602178</v>
      </c>
      <c r="AD78" s="138">
        <f ca="1">OFFSET(RES!AG$95,$E78,0)</f>
        <v>14.669537295999708</v>
      </c>
      <c r="AE78" s="138">
        <f ca="1">OFFSET(RES!AH$95,$E78,0)</f>
        <v>14.884671996121481</v>
      </c>
      <c r="AF78" s="138">
        <f ca="1">OFFSET(RES!AI$95,$E78,0)</f>
        <v>15.092791368578265</v>
      </c>
      <c r="AG78" s="138">
        <f ca="1">OFFSET(RES!AJ$95,$E78,0)</f>
        <v>15.319168582658238</v>
      </c>
      <c r="AH78" s="138">
        <f ca="1">OFFSET(RES!AK$95,$E78,0)</f>
        <v>15.529191185267226</v>
      </c>
      <c r="AI78" s="138">
        <f ca="1">OFFSET(RES!AL$95,$E78,0)</f>
        <v>15.738510644529599</v>
      </c>
      <c r="AJ78" s="138">
        <f ca="1">OFFSET(RES!AM$95,$E78,0)</f>
        <v>16.910783223132118</v>
      </c>
      <c r="AK78" s="138">
        <f ca="1">OFFSET(RES!AN$95,$E78,0)</f>
        <v>17.750055118518517</v>
      </c>
      <c r="AL78" s="138">
        <f ca="1">OFFSET(RES!AO$95,$E78,0)</f>
        <v>17.750055118518517</v>
      </c>
      <c r="AM78" s="138">
        <f ca="1">OFFSET(RES!AP$95,$E78,0)</f>
        <v>17.750055118518517</v>
      </c>
    </row>
    <row r="79" spans="1:39">
      <c r="A79" s="36" t="s">
        <v>378</v>
      </c>
      <c r="B79">
        <v>3.5984677195130002</v>
      </c>
      <c r="E79" s="141">
        <f>MATCH(F79,RES!$D$96:$D$134,0)</f>
        <v>18</v>
      </c>
      <c r="F79" s="4" t="str">
        <f t="shared" si="1"/>
        <v>RMER</v>
      </c>
      <c r="G79" s="138">
        <f ca="1">OFFSET(RES!J$95,$E79,0)</f>
        <v>3.2557540936677181</v>
      </c>
      <c r="H79" s="138">
        <f ca="1">OFFSET(RES!K$95,$E79,0)</f>
        <v>3.5369252230832862</v>
      </c>
      <c r="I79" s="138">
        <f ca="1">OFFSET(RES!L$95,$E79,0)</f>
        <v>3.8180963524988547</v>
      </c>
      <c r="J79" s="138">
        <f ca="1">OFFSET(RES!M$95,$E79,0)</f>
        <v>4.0992674819144233</v>
      </c>
      <c r="K79" s="138">
        <f ca="1">OFFSET(RES!N$95,$E79,0)</f>
        <v>4.3804386113299909</v>
      </c>
      <c r="L79" s="138">
        <f ca="1">OFFSET(RES!O$95,$E79,0)</f>
        <v>4.6616097407455594</v>
      </c>
      <c r="M79" s="138">
        <f ca="1">OFFSET(RES!P$95,$E79,0)</f>
        <v>4.8355349710501123</v>
      </c>
      <c r="N79" s="138">
        <f ca="1">OFFSET(RES!Q$95,$E79,0)</f>
        <v>5.0099394271487521</v>
      </c>
      <c r="O79" s="217">
        <f ca="1">OFFSET(RES!R$95,$E79,0)</f>
        <v>5.3297297470181082</v>
      </c>
      <c r="P79" s="138">
        <f ca="1">OFFSET(RES!S$95,$E79,0)</f>
        <v>5.1920914501693671</v>
      </c>
      <c r="Q79" s="138">
        <f ca="1">OFFSET(RES!T$95,$E79,0)</f>
        <v>5.4060879088508891</v>
      </c>
      <c r="R79" s="138">
        <f ca="1">OFFSET(RES!U$95,$E79,0)</f>
        <v>5.6018572089872674</v>
      </c>
      <c r="S79" s="138">
        <f ca="1">OFFSET(RES!V$95,$E79,0)</f>
        <v>5.8064582144983659</v>
      </c>
      <c r="T79" s="217">
        <f ca="1">OFFSET(RES!W$95,$E79,0)</f>
        <v>6.0259954841241585</v>
      </c>
      <c r="U79" s="138">
        <f ca="1">OFFSET(RES!X$95,$E79,0)</f>
        <v>6.2161165112296768</v>
      </c>
      <c r="V79" s="138">
        <f ca="1">OFFSET(RES!Y$95,$E79,0)</f>
        <v>6.4206425456779677</v>
      </c>
      <c r="W79" s="138">
        <f ca="1">OFFSET(RES!Z$95,$E79,0)</f>
        <v>6.6254532492843392</v>
      </c>
      <c r="X79" s="138">
        <f ca="1">OFFSET(RES!AA$95,$E79,0)</f>
        <v>6.830436905801367</v>
      </c>
      <c r="Y79" s="219">
        <f ca="1">OFFSET(RES!AB$95,$E79,0)</f>
        <v>7.0496745269927619</v>
      </c>
      <c r="Z79" s="138">
        <f ca="1">OFFSET(RES!AC$95,$E79,0)</f>
        <v>7.200497108747407</v>
      </c>
      <c r="AA79" s="138">
        <f ca="1">OFFSET(RES!AD$95,$E79,0)</f>
        <v>7.353343642591418</v>
      </c>
      <c r="AB79" s="138">
        <f ca="1">OFFSET(RES!AE$95,$E79,0)</f>
        <v>7.502335357633239</v>
      </c>
      <c r="AC79" s="138">
        <f ca="1">OFFSET(RES!AF$95,$E79,0)</f>
        <v>7.649261238266825</v>
      </c>
      <c r="AD79" s="138">
        <f ca="1">OFFSET(RES!AG$95,$E79,0)</f>
        <v>7.7978414234396949</v>
      </c>
      <c r="AE79" s="138">
        <f ca="1">OFFSET(RES!AH$95,$E79,0)</f>
        <v>7.9121999231236835</v>
      </c>
      <c r="AF79" s="138">
        <f ca="1">OFFSET(RES!AI$95,$E79,0)</f>
        <v>8.0228293063698963</v>
      </c>
      <c r="AG79" s="138">
        <f ca="1">OFFSET(RES!AJ$95,$E79,0)</f>
        <v>8.1431639550814872</v>
      </c>
      <c r="AH79" s="138">
        <f ca="1">OFFSET(RES!AK$95,$E79,0)</f>
        <v>8.254805032604061</v>
      </c>
      <c r="AI79" s="138">
        <f ca="1">OFFSET(RES!AL$95,$E79,0)</f>
        <v>8.3660723423516714</v>
      </c>
      <c r="AJ79" s="138">
        <f ca="1">OFFSET(RES!AM$95,$E79,0)</f>
        <v>8.9892137195157584</v>
      </c>
      <c r="AK79" s="138">
        <f ca="1">OFFSET(RES!AN$95,$E79,0)</f>
        <v>9.435342934045071</v>
      </c>
      <c r="AL79" s="138">
        <f ca="1">OFFSET(RES!AO$95,$E79,0)</f>
        <v>9.435342934045071</v>
      </c>
      <c r="AM79" s="138">
        <f ca="1">OFFSET(RES!AP$95,$E79,0)</f>
        <v>9.435342934045071</v>
      </c>
    </row>
    <row r="80" spans="1:39">
      <c r="A80" s="36" t="s">
        <v>379</v>
      </c>
      <c r="B80">
        <v>16.347656033450001</v>
      </c>
      <c r="E80" s="141">
        <f>MATCH(F80,RES!$D$96:$D$134,0)</f>
        <v>17</v>
      </c>
      <c r="F80" s="4" t="str">
        <f t="shared" si="1"/>
        <v>RMEW</v>
      </c>
      <c r="G80" s="138">
        <f ca="1">OFFSET(RES!J$95,$E80,0)</f>
        <v>6.0852758810873713</v>
      </c>
      <c r="H80" s="138">
        <f ca="1">OFFSET(RES!K$95,$E80,0)</f>
        <v>5.8917973817997336</v>
      </c>
      <c r="I80" s="138">
        <f ca="1">OFFSET(RES!L$95,$E80,0)</f>
        <v>5.6983188825120958</v>
      </c>
      <c r="J80" s="138">
        <f ca="1">OFFSET(RES!M$95,$E80,0)</f>
        <v>5.5048403832244572</v>
      </c>
      <c r="K80" s="138">
        <f ca="1">OFFSET(RES!N$95,$E80,0)</f>
        <v>5.3113618839368195</v>
      </c>
      <c r="L80" s="138">
        <f ca="1">OFFSET(RES!O$95,$E80,0)</f>
        <v>5.1178833846491818</v>
      </c>
      <c r="M80" s="138">
        <f ca="1">OFFSET(RES!P$95,$E80,0)</f>
        <v>5.3088322404846746</v>
      </c>
      <c r="N80" s="138">
        <f ca="1">OFFSET(RES!Q$95,$E80,0)</f>
        <v>5.5003072282500067</v>
      </c>
      <c r="O80" s="217">
        <f ca="1">OFFSET(RES!R$95,$E80,0)</f>
        <v>5.8513983010023267</v>
      </c>
      <c r="P80" s="138">
        <f ca="1">OFFSET(RES!S$95,$E80,0)</f>
        <v>5.7002881069471449</v>
      </c>
      <c r="Q80" s="138">
        <f ca="1">OFFSET(RES!T$95,$E80,0)</f>
        <v>5.9352303224413063</v>
      </c>
      <c r="R80" s="138">
        <f ca="1">OFFSET(RES!U$95,$E80,0)</f>
        <v>6.1501613235576986</v>
      </c>
      <c r="S80" s="138">
        <f ca="1">OFFSET(RES!V$95,$E80,0)</f>
        <v>6.3747884684332572</v>
      </c>
      <c r="T80" s="217">
        <f ca="1">OFFSET(RES!W$95,$E80,0)</f>
        <v>6.6158138238396482</v>
      </c>
      <c r="U80" s="138">
        <f ca="1">OFFSET(RES!X$95,$E80,0)</f>
        <v>6.8245437046769375</v>
      </c>
      <c r="V80" s="138">
        <f ca="1">OFFSET(RES!Y$95,$E80,0)</f>
        <v>7.0490885403979311</v>
      </c>
      <c r="W80" s="138">
        <f ca="1">OFFSET(RES!Z$95,$E80,0)</f>
        <v>7.2739459084061142</v>
      </c>
      <c r="X80" s="138">
        <f ca="1">OFFSET(RES!AA$95,$E80,0)</f>
        <v>7.4989931577808218</v>
      </c>
      <c r="Y80" s="219">
        <f ca="1">OFFSET(RES!AB$95,$E80,0)</f>
        <v>7.7396895354672983</v>
      </c>
      <c r="Z80" s="138">
        <f ca="1">OFFSET(RES!AC$95,$E80,0)</f>
        <v>7.9052744788925571</v>
      </c>
      <c r="AA80" s="138">
        <f ca="1">OFFSET(RES!AD$95,$E80,0)</f>
        <v>8.0730814767894632</v>
      </c>
      <c r="AB80" s="138">
        <f ca="1">OFFSET(RES!AE$95,$E80,0)</f>
        <v>8.2366563501208727</v>
      </c>
      <c r="AC80" s="138">
        <f ca="1">OFFSET(RES!AF$95,$E80,0)</f>
        <v>8.3979631872627802</v>
      </c>
      <c r="AD80" s="138">
        <f ca="1">OFFSET(RES!AG$95,$E80,0)</f>
        <v>8.561086250598132</v>
      </c>
      <c r="AE80" s="138">
        <f ca="1">OFFSET(RES!AH$95,$E80,0)</f>
        <v>8.6866380445010858</v>
      </c>
      <c r="AF80" s="138">
        <f ca="1">OFFSET(RES!AI$95,$E80,0)</f>
        <v>8.8080957198231786</v>
      </c>
      <c r="AG80" s="138">
        <f ca="1">OFFSET(RES!AJ$95,$E80,0)</f>
        <v>8.9402086021727296</v>
      </c>
      <c r="AH80" s="138">
        <f ca="1">OFFSET(RES!AK$95,$E80,0)</f>
        <v>9.0627769953831248</v>
      </c>
      <c r="AI80" s="138">
        <f ca="1">OFFSET(RES!AL$95,$E80,0)</f>
        <v>9.1849350368069942</v>
      </c>
      <c r="AJ80" s="138">
        <f ca="1">OFFSET(RES!AM$95,$E80,0)</f>
        <v>9.8690688613526376</v>
      </c>
      <c r="AK80" s="138">
        <f ca="1">OFFSET(RES!AN$95,$E80,0)</f>
        <v>10.358864751920043</v>
      </c>
      <c r="AL80" s="138">
        <f ca="1">OFFSET(RES!AO$95,$E80,0)</f>
        <v>10.358864751920043</v>
      </c>
      <c r="AM80" s="138">
        <f ca="1">OFFSET(RES!AP$95,$E80,0)</f>
        <v>10.358864751920043</v>
      </c>
    </row>
    <row r="81" spans="1:39" s="199" customFormat="1">
      <c r="A81" s="36" t="s">
        <v>545</v>
      </c>
      <c r="B81" s="199">
        <v>17.347656033450001</v>
      </c>
      <c r="E81" s="141">
        <f>MATCH(F81,RES!$D$96:$D$134,0)</f>
        <v>16</v>
      </c>
      <c r="F81" s="199" t="str">
        <f>A81</f>
        <v>RMEWG</v>
      </c>
      <c r="G81" s="138">
        <f ca="1">OFFSET(RES!J$95,$E81,0)</f>
        <v>8.7188154069192709</v>
      </c>
      <c r="H81" s="138">
        <f ca="1">OFFSET(RES!K$95,$E81,0)</f>
        <v>9.2405614732838561</v>
      </c>
      <c r="I81" s="138">
        <f ca="1">OFFSET(RES!L$95,$E81,0)</f>
        <v>9.7623075396484413</v>
      </c>
      <c r="J81" s="138">
        <f ca="1">OFFSET(RES!M$95,$E81,0)</f>
        <v>10.284053606013025</v>
      </c>
      <c r="K81" s="138">
        <f ca="1">OFFSET(RES!N$95,$E81,0)</f>
        <v>10.80579967237761</v>
      </c>
      <c r="L81" s="138">
        <f ca="1">OFFSET(RES!O$95,$E81,0)</f>
        <v>11.327545738742195</v>
      </c>
      <c r="M81" s="138">
        <f ca="1">OFFSET(RES!P$95,$E81,0)</f>
        <v>11.750177857466273</v>
      </c>
      <c r="N81" s="138">
        <f ca="1">OFFSET(RES!Q$95,$E81,0)</f>
        <v>12.173974477811809</v>
      </c>
      <c r="O81" s="217">
        <f ca="1">OFFSET(RES!R$95,$E81,0)</f>
        <v>12.951053572070732</v>
      </c>
      <c r="P81" s="138">
        <f ca="1">OFFSET(RES!S$95,$E81,0)</f>
        <v>12.616597410000988</v>
      </c>
      <c r="Q81" s="138">
        <f ca="1">OFFSET(RES!T$95,$E81,0)</f>
        <v>13.136601187334803</v>
      </c>
      <c r="R81" s="138">
        <f ca="1">OFFSET(RES!U$95,$E81,0)</f>
        <v>13.612313618204595</v>
      </c>
      <c r="S81" s="138">
        <f ca="1">OFFSET(RES!V$95,$E81,0)</f>
        <v>14.109486778767998</v>
      </c>
      <c r="T81" s="217">
        <f ca="1">OFFSET(RES!W$95,$E81,0)</f>
        <v>14.642954529469714</v>
      </c>
      <c r="U81" s="138">
        <f ca="1">OFFSET(RES!X$95,$E81,0)</f>
        <v>15.104941857926335</v>
      </c>
      <c r="V81" s="138">
        <f ca="1">OFFSET(RES!Y$95,$E81,0)</f>
        <v>15.60193284147573</v>
      </c>
      <c r="W81" s="138">
        <f ca="1">OFFSET(RES!Z$95,$E81,0)</f>
        <v>16.099615560946383</v>
      </c>
      <c r="X81" s="138">
        <f ca="1">OFFSET(RES!AA$95,$E81,0)</f>
        <v>16.597718549833626</v>
      </c>
      <c r="Y81" s="219">
        <f ca="1">OFFSET(RES!AB$95,$E81,0)</f>
        <v>17.130458165505825</v>
      </c>
      <c r="Z81" s="138">
        <f ca="1">OFFSET(RES!AC$95,$E81,0)</f>
        <v>17.496951670598698</v>
      </c>
      <c r="AA81" s="138">
        <f ca="1">OFFSET(RES!AD$95,$E81,0)</f>
        <v>17.868363307225607</v>
      </c>
      <c r="AB81" s="138">
        <f ca="1">OFFSET(RES!AE$95,$E81,0)</f>
        <v>18.230407871376517</v>
      </c>
      <c r="AC81" s="138">
        <f ca="1">OFFSET(RES!AF$95,$E81,0)</f>
        <v>18.587432531449355</v>
      </c>
      <c r="AD81" s="138">
        <f ca="1">OFFSET(RES!AG$95,$E81,0)</f>
        <v>18.948477092667233</v>
      </c>
      <c r="AE81" s="138">
        <f ca="1">OFFSET(RES!AH$95,$E81,0)</f>
        <v>19.226364176277354</v>
      </c>
      <c r="AF81" s="138">
        <f ca="1">OFFSET(RES!AI$95,$E81,0)</f>
        <v>19.495189639682597</v>
      </c>
      <c r="AG81" s="138">
        <f ca="1">OFFSET(RES!AJ$95,$E81,0)</f>
        <v>19.787598552707134</v>
      </c>
      <c r="AH81" s="138">
        <f ca="1">OFFSET(RES!AK$95,$E81,0)</f>
        <v>20.058882397192399</v>
      </c>
      <c r="AI81" s="138">
        <f ca="1">OFFSET(RES!AL$95,$E81,0)</f>
        <v>20.32925799928887</v>
      </c>
      <c r="AJ81" s="138">
        <f ca="1">OFFSET(RES!AM$95,$E81,0)</f>
        <v>21.843469364910405</v>
      </c>
      <c r="AK81" s="138">
        <f ca="1">OFFSET(RES!AN$95,$E81,0)</f>
        <v>22.927547476125625</v>
      </c>
      <c r="AL81" s="138">
        <f ca="1">OFFSET(RES!AO$95,$E81,0)</f>
        <v>22.927547476125625</v>
      </c>
      <c r="AM81" s="138">
        <f ca="1">OFFSET(RES!AP$95,$E81,0)</f>
        <v>22.927547476125625</v>
      </c>
    </row>
    <row r="82" spans="1:39">
      <c r="A82" s="36" t="s">
        <v>380</v>
      </c>
      <c r="B82">
        <v>0.2282739655271</v>
      </c>
      <c r="E82" s="141">
        <f>MATCH(F82,RES!$D$96:$D$134,0)</f>
        <v>13</v>
      </c>
      <c r="F82" s="4" t="str">
        <f t="shared" si="1"/>
        <v>RMNL</v>
      </c>
      <c r="G82" s="138">
        <f ca="1">OFFSET(RES!J$95,$E82,0)</f>
        <v>3.3422499241462768E-2</v>
      </c>
      <c r="H82" s="138">
        <f ca="1">OFFSET(RES!K$95,$E82,0)</f>
        <v>4.0702012494378374E-2</v>
      </c>
      <c r="I82" s="138">
        <f ca="1">OFFSET(RES!L$95,$E82,0)</f>
        <v>4.7981525747293988E-2</v>
      </c>
      <c r="J82" s="138">
        <f ca="1">OFFSET(RES!M$95,$E82,0)</f>
        <v>5.5261039000209594E-2</v>
      </c>
      <c r="K82" s="138">
        <f ca="1">OFFSET(RES!N$95,$E82,0)</f>
        <v>6.2540552253125201E-2</v>
      </c>
      <c r="L82" s="138">
        <f ca="1">OFFSET(RES!O$95,$E82,0)</f>
        <v>6.9820065506040807E-2</v>
      </c>
      <c r="M82" s="138">
        <f ca="1">OFFSET(RES!P$95,$E82,0)</f>
        <v>6.0956383597451078E-2</v>
      </c>
      <c r="N82" s="138">
        <f ca="1">OFFSET(RES!Q$95,$E82,0)</f>
        <v>6.3154912817216968E-2</v>
      </c>
      <c r="O82" s="217">
        <f ca="1">OFFSET(RES!R$95,$E82,0)</f>
        <v>6.7186165103760728E-2</v>
      </c>
      <c r="P82" s="138">
        <f ca="1">OFFSET(RES!S$95,$E82,0)</f>
        <v>6.5451107272384998E-2</v>
      </c>
      <c r="Q82" s="138">
        <f ca="1">OFFSET(RES!T$95,$E82,0)</f>
        <v>6.814873024522726E-2</v>
      </c>
      <c r="R82" s="138">
        <f ca="1">OFFSET(RES!U$95,$E82,0)</f>
        <v>7.0616583053067894E-2</v>
      </c>
      <c r="S82" s="138">
        <f ca="1">OFFSET(RES!V$95,$E82,0)</f>
        <v>7.3195767662635566E-2</v>
      </c>
      <c r="T82" s="217">
        <f ca="1">OFFSET(RES!W$95,$E82,0)</f>
        <v>7.5963237673992073E-2</v>
      </c>
      <c r="U82" s="138">
        <f ca="1">OFFSET(RES!X$95,$E82,0)</f>
        <v>7.8359888784483078E-2</v>
      </c>
      <c r="V82" s="138">
        <f ca="1">OFFSET(RES!Y$95,$E82,0)</f>
        <v>8.0938128314573393E-2</v>
      </c>
      <c r="W82" s="138">
        <f ca="1">OFFSET(RES!Z$95,$E82,0)</f>
        <v>8.3519956362273898E-2</v>
      </c>
      <c r="X82" s="138">
        <f ca="1">OFFSET(RES!AA$95,$E82,0)</f>
        <v>8.6103964641123465E-2</v>
      </c>
      <c r="Y82" s="219">
        <f ca="1">OFFSET(RES!AB$95,$E82,0)</f>
        <v>8.8867657307259457E-2</v>
      </c>
      <c r="Z82" s="138">
        <f ca="1">OFFSET(RES!AC$95,$E82,0)</f>
        <v>9.0768915224663682E-2</v>
      </c>
      <c r="AA82" s="138">
        <f ca="1">OFFSET(RES!AD$95,$E82,0)</f>
        <v>9.2695686927136353E-2</v>
      </c>
      <c r="AB82" s="138">
        <f ca="1">OFFSET(RES!AE$95,$E82,0)</f>
        <v>9.4573865078944663E-2</v>
      </c>
      <c r="AC82" s="138">
        <f ca="1">OFFSET(RES!AF$95,$E82,0)</f>
        <v>9.6426001480379719E-2</v>
      </c>
      <c r="AD82" s="138">
        <f ca="1">OFFSET(RES!AG$95,$E82,0)</f>
        <v>9.8298991918170084E-2</v>
      </c>
      <c r="AE82" s="138">
        <f ca="1">OFFSET(RES!AH$95,$E82,0)</f>
        <v>9.9740586408976206E-2</v>
      </c>
      <c r="AF82" s="138">
        <f ca="1">OFFSET(RES!AI$95,$E82,0)</f>
        <v>0.10113517194349901</v>
      </c>
      <c r="AG82" s="138">
        <f ca="1">OFFSET(RES!AJ$95,$E82,0)</f>
        <v>0.10265210131136485</v>
      </c>
      <c r="AH82" s="138">
        <f ca="1">OFFSET(RES!AK$95,$E82,0)</f>
        <v>0.10405944018647195</v>
      </c>
      <c r="AI82" s="138">
        <f ca="1">OFFSET(RES!AL$95,$E82,0)</f>
        <v>0.10546206737362657</v>
      </c>
      <c r="AJ82" s="138">
        <f ca="1">OFFSET(RES!AM$95,$E82,0)</f>
        <v>0.11331733986142103</v>
      </c>
      <c r="AK82" s="138">
        <f ca="1">OFFSET(RES!AN$95,$E82,0)</f>
        <v>0.11894121058052218</v>
      </c>
      <c r="AL82" s="138">
        <f ca="1">OFFSET(RES!AO$95,$E82,0)</f>
        <v>0.11894121058052218</v>
      </c>
      <c r="AM82" s="138">
        <f ca="1">OFFSET(RES!AP$95,$E82,0)</f>
        <v>0.11894121058052218</v>
      </c>
    </row>
    <row r="83" spans="1:39">
      <c r="A83" s="36" t="s">
        <v>134</v>
      </c>
      <c r="B83">
        <v>0.46620130319999997</v>
      </c>
      <c r="E83" s="143">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609</v>
      </c>
      <c r="B84">
        <f>[2]EB_2006!$AI$69/1000</f>
        <v>35.178032837499991</v>
      </c>
      <c r="E84" s="140">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67.09923009787201</v>
      </c>
      <c r="Q84" s="24">
        <f ca="1">OFFSET(OtherTRA!T$46,$E84,0)</f>
        <v>69.86311383695184</v>
      </c>
      <c r="R84" s="24">
        <f ca="1">OFFSET(OtherTRA!U$46,$E84,0)</f>
        <v>72.62699757603167</v>
      </c>
      <c r="S84" s="24">
        <f ca="1">OFFSET(OtherTRA!V$46,$E84,0)</f>
        <v>75.3908813151115</v>
      </c>
      <c r="T84" s="24">
        <f ca="1">OFFSET(OtherTRA!W$46,$E84,0)</f>
        <v>78.15476505419133</v>
      </c>
      <c r="U84" s="24">
        <f ca="1">OFFSET(OtherTRA!X$46,$E84,0)</f>
        <v>80.91864879327116</v>
      </c>
      <c r="V84" s="24">
        <f ca="1">OFFSET(OtherTRA!Y$46,$E84,0)</f>
        <v>83.68253253235099</v>
      </c>
      <c r="W84" s="24">
        <f ca="1">OFFSET(OtherTRA!Z$46,$E84,0)</f>
        <v>86.44641627143082</v>
      </c>
      <c r="X84" s="24">
        <f ca="1">OFFSET(OtherTRA!AA$46,$E84,0)</f>
        <v>89.21030001051065</v>
      </c>
      <c r="Y84" s="24">
        <f ca="1">OFFSET(OtherTRA!AB$46,$E84,0)</f>
        <v>91.974183749590509</v>
      </c>
      <c r="Z84" s="24">
        <f ca="1">OFFSET(OtherTRA!AC$46,$E84,0)</f>
        <v>95.804284811084898</v>
      </c>
      <c r="AA84" s="24">
        <f ca="1">OFFSET(OtherTRA!AD$46,$E84,0)</f>
        <v>99.634385872579287</v>
      </c>
      <c r="AB84" s="24">
        <f ca="1">OFFSET(OtherTRA!AE$46,$E84,0)</f>
        <v>103.46448693407368</v>
      </c>
      <c r="AC84" s="24">
        <f ca="1">OFFSET(OtherTRA!AF$46,$E84,0)</f>
        <v>107.29458799556807</v>
      </c>
      <c r="AD84" s="24">
        <f ca="1">OFFSET(OtherTRA!AG$46,$E84,0)</f>
        <v>111.12468905706245</v>
      </c>
      <c r="AE84" s="24">
        <f ca="1">OFFSET(OtherTRA!AH$46,$E84,0)</f>
        <v>114.95479011855684</v>
      </c>
      <c r="AF84" s="24">
        <f ca="1">OFFSET(OtherTRA!AI$46,$E84,0)</f>
        <v>118.78489118005123</v>
      </c>
      <c r="AG84" s="24">
        <f ca="1">OFFSET(OtherTRA!AJ$46,$E84,0)</f>
        <v>122.61499224154562</v>
      </c>
      <c r="AH84" s="24">
        <f ca="1">OFFSET(OtherTRA!AK$46,$E84,0)</f>
        <v>126.44509330304001</v>
      </c>
      <c r="AI84" s="24">
        <f ca="1">OFFSET(OtherTRA!AL$46,$E84,0)</f>
        <v>130.27519436453437</v>
      </c>
      <c r="AJ84" s="24">
        <f ca="1">OFFSET(OtherTRA!AM$46,$E84,0)</f>
        <v>162.10643967743232</v>
      </c>
      <c r="AK84" s="24">
        <f ca="1">OFFSET(OtherTRA!AN$46,$E84,0)</f>
        <v>193.93768499033027</v>
      </c>
      <c r="AL84" s="24">
        <f ca="1">OFFSET(OtherTRA!AO$46,$E84,0)</f>
        <v>193.93768499033027</v>
      </c>
      <c r="AM84" s="24">
        <f ca="1">OFFSET(OtherTRA!AP$46,$E84,0)</f>
        <v>193.93768499033027</v>
      </c>
    </row>
    <row r="85" spans="1:39" s="199" customFormat="1">
      <c r="A85" s="36" t="s">
        <v>610</v>
      </c>
      <c r="B85" s="199">
        <f>[2]EB_2006!$AI$70/1000</f>
        <v>42.764908764899999</v>
      </c>
      <c r="E85" s="140">
        <f>MATCH(F85,OtherTRA!$D$47:$D$51,0)</f>
        <v>3</v>
      </c>
      <c r="F85" s="199"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22.366780533717844</v>
      </c>
      <c r="Q85" s="24">
        <f ca="1">OFFSET(OtherTRA!T$46,$E85,0)</f>
        <v>23.288090374718099</v>
      </c>
      <c r="R85" s="24">
        <f ca="1">OFFSET(OtherTRA!U$46,$E85,0)</f>
        <v>24.209400215718354</v>
      </c>
      <c r="S85" s="24">
        <f ca="1">OFFSET(OtherTRA!V$46,$E85,0)</f>
        <v>25.130710056718609</v>
      </c>
      <c r="T85" s="24">
        <f ca="1">OFFSET(OtherTRA!W$46,$E85,0)</f>
        <v>26.052019897718864</v>
      </c>
      <c r="U85" s="24">
        <f ca="1">OFFSET(OtherTRA!X$46,$E85,0)</f>
        <v>26.973329738719119</v>
      </c>
      <c r="V85" s="24">
        <f ca="1">OFFSET(OtherTRA!Y$46,$E85,0)</f>
        <v>27.894639579719374</v>
      </c>
      <c r="W85" s="24">
        <f ca="1">OFFSET(OtherTRA!Z$46,$E85,0)</f>
        <v>28.81594942071963</v>
      </c>
      <c r="X85" s="24">
        <f ca="1">OFFSET(OtherTRA!AA$46,$E85,0)</f>
        <v>29.737259261719885</v>
      </c>
      <c r="Y85" s="24">
        <f ca="1">OFFSET(OtherTRA!AB$46,$E85,0)</f>
        <v>30.658569102720154</v>
      </c>
      <c r="Z85" s="24">
        <f ca="1">OFFSET(OtherTRA!AC$46,$E85,0)</f>
        <v>31.935290605179265</v>
      </c>
      <c r="AA85" s="24">
        <f ca="1">OFFSET(OtherTRA!AD$46,$E85,0)</f>
        <v>33.212012107638373</v>
      </c>
      <c r="AB85" s="24">
        <f ca="1">OFFSET(OtherTRA!AE$46,$E85,0)</f>
        <v>34.488733610097484</v>
      </c>
      <c r="AC85" s="24">
        <f ca="1">OFFSET(OtherTRA!AF$46,$E85,0)</f>
        <v>35.765455112556594</v>
      </c>
      <c r="AD85" s="24">
        <f ca="1">OFFSET(OtherTRA!AG$46,$E85,0)</f>
        <v>37.042176615015705</v>
      </c>
      <c r="AE85" s="24">
        <f ca="1">OFFSET(OtherTRA!AH$46,$E85,0)</f>
        <v>38.318898117474816</v>
      </c>
      <c r="AF85" s="24">
        <f ca="1">OFFSET(OtherTRA!AI$46,$E85,0)</f>
        <v>39.595619619933927</v>
      </c>
      <c r="AG85" s="24">
        <f ca="1">OFFSET(OtherTRA!AJ$46,$E85,0)</f>
        <v>40.872341122393038</v>
      </c>
      <c r="AH85" s="24">
        <f ca="1">OFFSET(OtherTRA!AK$46,$E85,0)</f>
        <v>42.149062624852149</v>
      </c>
      <c r="AI85" s="24">
        <f ca="1">OFFSET(OtherTRA!AL$46,$E85,0)</f>
        <v>43.425784127311253</v>
      </c>
      <c r="AJ85" s="24">
        <f ca="1">OFFSET(OtherTRA!AM$46,$E85,0)</f>
        <v>54.036374993853883</v>
      </c>
      <c r="AK85" s="24">
        <f ca="1">OFFSET(OtherTRA!AN$46,$E85,0)</f>
        <v>64.64696586039652</v>
      </c>
      <c r="AL85" s="24">
        <f ca="1">OFFSET(OtherTRA!AO$46,$E85,0)</f>
        <v>64.64696586039652</v>
      </c>
      <c r="AM85" s="24">
        <f ca="1">OFFSET(OtherTRA!AP$46,$E85,0)</f>
        <v>64.64696586039652</v>
      </c>
    </row>
    <row r="86" spans="1:39">
      <c r="A86" s="36" t="s">
        <v>381</v>
      </c>
      <c r="B86" s="24">
        <f>[2]EB_2006!$AG$68/1000</f>
        <v>0.74474625240000003</v>
      </c>
      <c r="E86" s="142">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1.1894542331977971</v>
      </c>
      <c r="Q86" s="24">
        <f ca="1">OFFSET(OtherTRA!T$46,$E86,0)</f>
        <v>1.2384490310325835</v>
      </c>
      <c r="R86" s="24">
        <f ca="1">OFFSET(OtherTRA!U$46,$E86,0)</f>
        <v>1.28744382886737</v>
      </c>
      <c r="S86" s="24">
        <f ca="1">OFFSET(OtherTRA!V$46,$E86,0)</f>
        <v>1.3364386267021564</v>
      </c>
      <c r="T86" s="24">
        <f ca="1">OFFSET(OtherTRA!W$46,$E86,0)</f>
        <v>1.3854334245369428</v>
      </c>
      <c r="U86" s="24">
        <f ca="1">OFFSET(OtherTRA!X$46,$E86,0)</f>
        <v>1.4344282223717293</v>
      </c>
      <c r="V86" s="24">
        <f ca="1">OFFSET(OtherTRA!Y$46,$E86,0)</f>
        <v>1.4834230202065157</v>
      </c>
      <c r="W86" s="24">
        <f ca="1">OFFSET(OtherTRA!Z$46,$E86,0)</f>
        <v>1.5324178180413022</v>
      </c>
      <c r="X86" s="24">
        <f ca="1">OFFSET(OtherTRA!AA$46,$E86,0)</f>
        <v>1.5814126158760886</v>
      </c>
      <c r="Y86" s="24">
        <f ca="1">OFFSET(OtherTRA!AB$46,$E86,0)</f>
        <v>1.6304074137108759</v>
      </c>
      <c r="Z86" s="24">
        <f ca="1">OFFSET(OtherTRA!AC$46,$E86,0)</f>
        <v>1.6983028264380386</v>
      </c>
      <c r="AA86" s="24">
        <f ca="1">OFFSET(OtherTRA!AD$46,$E86,0)</f>
        <v>1.7661982391652014</v>
      </c>
      <c r="AB86" s="24">
        <f ca="1">OFFSET(OtherTRA!AE$46,$E86,0)</f>
        <v>1.8340936518923641</v>
      </c>
      <c r="AC86" s="24">
        <f ca="1">OFFSET(OtherTRA!AF$46,$E86,0)</f>
        <v>1.9019890646195268</v>
      </c>
      <c r="AD86" s="24">
        <f ca="1">OFFSET(OtherTRA!AG$46,$E86,0)</f>
        <v>1.9698844773466895</v>
      </c>
      <c r="AE86" s="24">
        <f ca="1">OFFSET(OtherTRA!AH$46,$E86,0)</f>
        <v>2.037779890073852</v>
      </c>
      <c r="AF86" s="24">
        <f ca="1">OFFSET(OtherTRA!AI$46,$E86,0)</f>
        <v>2.1056753028010147</v>
      </c>
      <c r="AG86" s="24">
        <f ca="1">OFFSET(OtherTRA!AJ$46,$E86,0)</f>
        <v>2.1735707155281774</v>
      </c>
      <c r="AH86" s="24">
        <f ca="1">OFFSET(OtherTRA!AK$46,$E86,0)</f>
        <v>2.2414661282553401</v>
      </c>
      <c r="AI86" s="24">
        <f ca="1">OFFSET(OtherTRA!AL$46,$E86,0)</f>
        <v>2.3093615409825023</v>
      </c>
      <c r="AJ86" s="24">
        <f ca="1">OFFSET(OtherTRA!AM$46,$E86,0)</f>
        <v>2.873627471160213</v>
      </c>
      <c r="AK86" s="24">
        <f ca="1">OFFSET(OtherTRA!AN$46,$E86,0)</f>
        <v>3.4378934013379241</v>
      </c>
      <c r="AL86" s="24">
        <f ca="1">OFFSET(OtherTRA!AO$46,$E86,0)</f>
        <v>3.4378934013379241</v>
      </c>
      <c r="AM86" s="24">
        <f ca="1">OFFSET(OtherTRA!AP$46,$E86,0)</f>
        <v>3.4378934013379241</v>
      </c>
    </row>
    <row r="87" spans="1:39">
      <c r="A87" s="36" t="s">
        <v>151</v>
      </c>
      <c r="B87" s="24">
        <v>52.28615900487997</v>
      </c>
      <c r="E87" s="141">
        <f>MATCH(F87,FTRA!$D$132:$D$144,0)</f>
        <v>1</v>
      </c>
      <c r="F87" s="4" t="str">
        <f>A87</f>
        <v>TFLCV</v>
      </c>
      <c r="G87" s="24">
        <f ca="1">OFFSET(FTRA!J$131,$E87,0)</f>
        <v>43.11250375056882</v>
      </c>
      <c r="H87" s="24">
        <f ca="1">OFFSET(FTRA!K$131,$E87,0)</f>
        <v>43.541669167045889</v>
      </c>
      <c r="I87" s="24">
        <f ca="1">OFFSET(FTRA!L$131,$E87,0)</f>
        <v>43.970834583522958</v>
      </c>
      <c r="J87" s="24">
        <f ca="1">OFFSET(FTRA!M$131,$E87,0)</f>
        <v>44.4</v>
      </c>
      <c r="K87" s="24">
        <f ca="1">OFFSET(FTRA!N$131,$E87,0)</f>
        <v>44.871410582810697</v>
      </c>
      <c r="L87" s="24">
        <f ca="1">OFFSET(FTRA!O$131,$E87,0)</f>
        <v>45.342821165621402</v>
      </c>
      <c r="M87" s="24">
        <f ca="1">OFFSET(FTRA!P$131,$E87,0)</f>
        <v>44.791910090242503</v>
      </c>
      <c r="N87" s="24">
        <f ca="1">OFFSET(FTRA!Q$131,$E87,0)</f>
        <v>44.240999014863604</v>
      </c>
      <c r="O87" s="24">
        <f ca="1">OFFSET(FTRA!R$131,$E87,0)</f>
        <v>43.690087939484705</v>
      </c>
      <c r="P87" s="24">
        <f ca="1">OFFSET(FTRA!S$131,$E87,0)</f>
        <v>45.345468160465344</v>
      </c>
      <c r="Q87" s="24">
        <f ca="1">OFFSET(FTRA!T$131,$E87,0)</f>
        <v>47.000848381445984</v>
      </c>
      <c r="R87" s="24">
        <f ca="1">OFFSET(FTRA!U$131,$E87,0)</f>
        <v>48.656228602426623</v>
      </c>
      <c r="S87" s="24">
        <f ca="1">OFFSET(FTRA!V$131,$E87,0)</f>
        <v>50.311608823407262</v>
      </c>
      <c r="T87" s="24">
        <f ca="1">OFFSET(FTRA!W$131,$E87,0)</f>
        <v>51.966989044387901</v>
      </c>
      <c r="U87" s="24">
        <f ca="1">OFFSET(FTRA!X$131,$E87,0)</f>
        <v>53.62236926536854</v>
      </c>
      <c r="V87" s="24">
        <f ca="1">OFFSET(FTRA!Y$131,$E87,0)</f>
        <v>55.27774948634918</v>
      </c>
      <c r="W87" s="24">
        <f ca="1">OFFSET(FTRA!Z$131,$E87,0)</f>
        <v>56.933129707329819</v>
      </c>
      <c r="X87" s="24">
        <f ca="1">OFFSET(FTRA!AA$131,$E87,0)</f>
        <v>58.588509928310458</v>
      </c>
      <c r="Y87" s="24">
        <f ca="1">OFFSET(FTRA!AB$131,$E87,0)</f>
        <v>60.243890149291104</v>
      </c>
      <c r="Z87" s="24">
        <f ca="1">OFFSET(FTRA!AC$131,$E87,0)</f>
        <v>62.904097080226194</v>
      </c>
      <c r="AA87" s="24">
        <f ca="1">OFFSET(FTRA!AD$131,$E87,0)</f>
        <v>65.564304011161283</v>
      </c>
      <c r="AB87" s="24">
        <f ca="1">OFFSET(FTRA!AE$131,$E87,0)</f>
        <v>68.224510942096373</v>
      </c>
      <c r="AC87" s="24">
        <f ca="1">OFFSET(FTRA!AF$131,$E87,0)</f>
        <v>70.884717873031462</v>
      </c>
      <c r="AD87" s="24">
        <f ca="1">OFFSET(FTRA!AG$131,$E87,0)</f>
        <v>73.544924803966552</v>
      </c>
      <c r="AE87" s="24">
        <f ca="1">OFFSET(FTRA!AH$131,$E87,0)</f>
        <v>76.205131734901641</v>
      </c>
      <c r="AF87" s="24">
        <f ca="1">OFFSET(FTRA!AI$131,$E87,0)</f>
        <v>78.865338665836731</v>
      </c>
      <c r="AG87" s="24">
        <f ca="1">OFFSET(FTRA!AJ$131,$E87,0)</f>
        <v>81.525545596771821</v>
      </c>
      <c r="AH87" s="24">
        <f ca="1">OFFSET(FTRA!AK$131,$E87,0)</f>
        <v>84.18575252770691</v>
      </c>
      <c r="AI87" s="24">
        <f ca="1">OFFSET(FTRA!AL$131,$E87,0)</f>
        <v>86.845959458642014</v>
      </c>
      <c r="AJ87" s="24">
        <f ca="1">OFFSET(FTRA!AM$131,$E87,0)</f>
        <v>108.36881410727158</v>
      </c>
      <c r="AK87" s="24">
        <f ca="1">OFFSET(FTRA!AN$131,$E87,0)</f>
        <v>129.89166875590118</v>
      </c>
      <c r="AL87" s="24">
        <f ca="1">OFFSET(FTRA!AO$131,$E87,0)</f>
        <v>129.89166875590118</v>
      </c>
      <c r="AM87" s="24">
        <f ca="1">OFFSET(FTRA!AP$131,$E87,0)</f>
        <v>129.89166875590118</v>
      </c>
    </row>
    <row r="88" spans="1:39">
      <c r="A88" s="36" t="s">
        <v>412</v>
      </c>
      <c r="B88" s="24">
        <v>4.134278411680218</v>
      </c>
      <c r="E88" s="140">
        <f>MATCH(F88,FTRA!$D$132:$D$144,0)</f>
        <v>2</v>
      </c>
      <c r="F88" s="4" t="str">
        <f>A88</f>
        <v>TFHCV1</v>
      </c>
      <c r="G88" s="24">
        <f ca="1">OFFSET(FTRA!J$131,$E88,0)</f>
        <v>3.310563752317667</v>
      </c>
      <c r="H88" s="24">
        <f ca="1">OFFSET(FTRA!K$131,$E88,0)</f>
        <v>3.3405637523176668</v>
      </c>
      <c r="I88" s="24">
        <f ca="1">OFFSET(FTRA!L$131,$E88,0)</f>
        <v>3.3705637523176666</v>
      </c>
      <c r="J88" s="24">
        <f ca="1">OFFSET(FTRA!M$131,$E88,0)</f>
        <v>3.4</v>
      </c>
      <c r="K88" s="24">
        <f ca="1">OFFSET(FTRA!N$131,$E88,0)</f>
        <v>3.4249999999999998</v>
      </c>
      <c r="L88" s="24">
        <f ca="1">OFFSET(FTRA!O$131,$E88,0)</f>
        <v>3.45</v>
      </c>
      <c r="M88" s="24">
        <f ca="1">OFFSET(FTRA!P$131,$E88,0)</f>
        <v>3.3622091007947792</v>
      </c>
      <c r="N88" s="24">
        <f ca="1">OFFSET(FTRA!Q$131,$E88,0)</f>
        <v>3.2744182015895582</v>
      </c>
      <c r="O88" s="24">
        <f ca="1">OFFSET(FTRA!R$131,$E88,0)</f>
        <v>3.1866273023843372</v>
      </c>
      <c r="P88" s="24">
        <f ca="1">OFFSET(FTRA!S$131,$E88,0)</f>
        <v>3.2853958305736843</v>
      </c>
      <c r="Q88" s="24">
        <f ca="1">OFFSET(FTRA!T$131,$E88,0)</f>
        <v>3.3841643587630315</v>
      </c>
      <c r="R88" s="24">
        <f ca="1">OFFSET(FTRA!U$131,$E88,0)</f>
        <v>3.4829328869523786</v>
      </c>
      <c r="S88" s="24">
        <f ca="1">OFFSET(FTRA!V$131,$E88,0)</f>
        <v>3.5817014151417257</v>
      </c>
      <c r="T88" s="24">
        <f ca="1">OFFSET(FTRA!W$131,$E88,0)</f>
        <v>3.6804699433310728</v>
      </c>
      <c r="U88" s="24">
        <f ca="1">OFFSET(FTRA!X$131,$E88,0)</f>
        <v>3.7792384715204199</v>
      </c>
      <c r="V88" s="24">
        <f ca="1">OFFSET(FTRA!Y$131,$E88,0)</f>
        <v>3.878006999709767</v>
      </c>
      <c r="W88" s="24">
        <f ca="1">OFFSET(FTRA!Z$131,$E88,0)</f>
        <v>3.9767755278991141</v>
      </c>
      <c r="X88" s="24">
        <f ca="1">OFFSET(FTRA!AA$131,$E88,0)</f>
        <v>4.0755440560884617</v>
      </c>
      <c r="Y88" s="24">
        <f ca="1">OFFSET(FTRA!AB$131,$E88,0)</f>
        <v>4.1743125842778097</v>
      </c>
      <c r="Z88" s="24">
        <f ca="1">OFFSET(FTRA!AC$131,$E88,0)</f>
        <v>4.3285510363141828</v>
      </c>
      <c r="AA88" s="24">
        <f ca="1">OFFSET(FTRA!AD$131,$E88,0)</f>
        <v>4.4827894883505559</v>
      </c>
      <c r="AB88" s="24">
        <f ca="1">OFFSET(FTRA!AE$131,$E88,0)</f>
        <v>4.637027940386929</v>
      </c>
      <c r="AC88" s="24">
        <f ca="1">OFFSET(FTRA!AF$131,$E88,0)</f>
        <v>4.7912663924233021</v>
      </c>
      <c r="AD88" s="24">
        <f ca="1">OFFSET(FTRA!AG$131,$E88,0)</f>
        <v>4.9455048444596752</v>
      </c>
      <c r="AE88" s="24">
        <f ca="1">OFFSET(FTRA!AH$131,$E88,0)</f>
        <v>5.0997432964960483</v>
      </c>
      <c r="AF88" s="24">
        <f ca="1">OFFSET(FTRA!AI$131,$E88,0)</f>
        <v>5.2539817485324214</v>
      </c>
      <c r="AG88" s="24">
        <f ca="1">OFFSET(FTRA!AJ$131,$E88,0)</f>
        <v>5.4082202005687945</v>
      </c>
      <c r="AH88" s="24">
        <f ca="1">OFFSET(FTRA!AK$131,$E88,0)</f>
        <v>5.5624586526051676</v>
      </c>
      <c r="AI88" s="24">
        <f ca="1">OFFSET(FTRA!AL$131,$E88,0)</f>
        <v>5.7166971046415389</v>
      </c>
      <c r="AJ88" s="24">
        <f ca="1">OFFSET(FTRA!AM$131,$E88,0)</f>
        <v>6.9196990443673263</v>
      </c>
      <c r="AK88" s="24">
        <f ca="1">OFFSET(FTRA!AN$131,$E88,0)</f>
        <v>8.1227009840931128</v>
      </c>
      <c r="AL88" s="24">
        <f ca="1">OFFSET(FTRA!AO$131,$E88,0)</f>
        <v>8.1227009840931128</v>
      </c>
      <c r="AM88" s="24">
        <f ca="1">OFFSET(FTRA!AP$131,$E88,0)</f>
        <v>8.1227009840931128</v>
      </c>
    </row>
    <row r="89" spans="1:39" s="4" customFormat="1">
      <c r="A89" s="36" t="s">
        <v>413</v>
      </c>
      <c r="B89" s="24">
        <v>0.80954708483781546</v>
      </c>
      <c r="E89" s="140">
        <f>MATCH(F89,FTRA!$D$132:$D$144,0)</f>
        <v>3</v>
      </c>
      <c r="F89" s="4" t="str">
        <f t="shared" ref="F89:F96" si="3">A89</f>
        <v>TFHCV2</v>
      </c>
      <c r="G89" s="24">
        <f ca="1">OFFSET(FTRA!J$131,$E89,0)</f>
        <v>0.6547839540708813</v>
      </c>
      <c r="H89" s="24">
        <f ca="1">OFFSET(FTRA!K$131,$E89,0)</f>
        <v>0.67123078144835724</v>
      </c>
      <c r="I89" s="24">
        <f ca="1">OFFSET(FTRA!L$131,$E89,0)</f>
        <v>0.68767760882583318</v>
      </c>
      <c r="J89" s="24">
        <f ca="1">OFFSET(FTRA!M$131,$E89,0)</f>
        <v>0.704124436203308</v>
      </c>
      <c r="K89" s="24">
        <f ca="1">OFFSET(FTRA!N$131,$E89,0)</f>
        <v>0.72006693722491655</v>
      </c>
      <c r="L89" s="24">
        <f ca="1">OFFSET(FTRA!O$131,$E89,0)</f>
        <v>0.73600943824652509</v>
      </c>
      <c r="M89" s="24">
        <f ca="1">OFFSET(FTRA!P$131,$E89,0)</f>
        <v>0.7118583539871558</v>
      </c>
      <c r="N89" s="24">
        <f ca="1">OFFSET(FTRA!Q$131,$E89,0)</f>
        <v>0.68770726972778651</v>
      </c>
      <c r="O89" s="24">
        <f ca="1">OFFSET(FTRA!R$131,$E89,0)</f>
        <v>0.66355618546841733</v>
      </c>
      <c r="P89" s="24">
        <f ca="1">OFFSET(FTRA!S$131,$E89,0)</f>
        <v>0.68137798840116348</v>
      </c>
      <c r="Q89" s="24">
        <f ca="1">OFFSET(FTRA!T$131,$E89,0)</f>
        <v>0.69919979133390964</v>
      </c>
      <c r="R89" s="24">
        <f ca="1">OFFSET(FTRA!U$131,$E89,0)</f>
        <v>0.71702159426665579</v>
      </c>
      <c r="S89" s="24">
        <f ca="1">OFFSET(FTRA!V$131,$E89,0)</f>
        <v>0.73484339719940195</v>
      </c>
      <c r="T89" s="24">
        <f ca="1">OFFSET(FTRA!W$131,$E89,0)</f>
        <v>0.7526652001321481</v>
      </c>
      <c r="U89" s="24">
        <f ca="1">OFFSET(FTRA!X$131,$E89,0)</f>
        <v>0.77048700306489426</v>
      </c>
      <c r="V89" s="24">
        <f ca="1">OFFSET(FTRA!Y$131,$E89,0)</f>
        <v>0.78830880599764042</v>
      </c>
      <c r="W89" s="24">
        <f ca="1">OFFSET(FTRA!Z$131,$E89,0)</f>
        <v>0.80613060893038657</v>
      </c>
      <c r="X89" s="24">
        <f ca="1">OFFSET(FTRA!AA$131,$E89,0)</f>
        <v>0.82395241186313273</v>
      </c>
      <c r="Y89" s="24">
        <f ca="1">OFFSET(FTRA!AB$131,$E89,0)</f>
        <v>0.84177421479587833</v>
      </c>
      <c r="Z89" s="24">
        <f ca="1">OFFSET(FTRA!AC$131,$E89,0)</f>
        <v>0.87045033067884836</v>
      </c>
      <c r="AA89" s="24">
        <f ca="1">OFFSET(FTRA!AD$131,$E89,0)</f>
        <v>0.89912644656181839</v>
      </c>
      <c r="AB89" s="24">
        <f ca="1">OFFSET(FTRA!AE$131,$E89,0)</f>
        <v>0.92780256244478843</v>
      </c>
      <c r="AC89" s="24">
        <f ca="1">OFFSET(FTRA!AF$131,$E89,0)</f>
        <v>0.95647867832775846</v>
      </c>
      <c r="AD89" s="24">
        <f ca="1">OFFSET(FTRA!AG$131,$E89,0)</f>
        <v>0.98515479421072849</v>
      </c>
      <c r="AE89" s="24">
        <f ca="1">OFFSET(FTRA!AH$131,$E89,0)</f>
        <v>1.0138309100936984</v>
      </c>
      <c r="AF89" s="24">
        <f ca="1">OFFSET(FTRA!AI$131,$E89,0)</f>
        <v>1.0425070259766684</v>
      </c>
      <c r="AG89" s="24">
        <f ca="1">OFFSET(FTRA!AJ$131,$E89,0)</f>
        <v>1.0711831418596385</v>
      </c>
      <c r="AH89" s="24">
        <f ca="1">OFFSET(FTRA!AK$131,$E89,0)</f>
        <v>1.0998592577426085</v>
      </c>
      <c r="AI89" s="24">
        <f ca="1">OFFSET(FTRA!AL$131,$E89,0)</f>
        <v>1.1285353736255785</v>
      </c>
      <c r="AJ89" s="24">
        <f ca="1">OFFSET(FTRA!AM$131,$E89,0)</f>
        <v>1.3491414436056546</v>
      </c>
      <c r="AK89" s="24">
        <f ca="1">OFFSET(FTRA!AN$131,$E89,0)</f>
        <v>1.5697475135857306</v>
      </c>
      <c r="AL89" s="24">
        <f ca="1">OFFSET(FTRA!AO$131,$E89,0)</f>
        <v>1.5697475135857306</v>
      </c>
      <c r="AM89" s="24">
        <f ca="1">OFFSET(FTRA!AP$131,$E89,0)</f>
        <v>1.5697475135857306</v>
      </c>
    </row>
    <row r="90" spans="1:39" s="4" customFormat="1">
      <c r="A90" s="36" t="s">
        <v>414</v>
      </c>
      <c r="B90" s="24">
        <v>2.7195831056144888</v>
      </c>
      <c r="E90" s="140">
        <f>MATCH(F90,FTRA!$D$132:$D$144,0)</f>
        <v>4</v>
      </c>
      <c r="F90" s="4" t="str">
        <f t="shared" si="3"/>
        <v>TFHCV3</v>
      </c>
      <c r="G90" s="24">
        <f ca="1">OFFSET(FTRA!J$131,$E90,0)</f>
        <v>2.7114063478211388</v>
      </c>
      <c r="H90" s="24">
        <f ca="1">OFFSET(FTRA!K$131,$E90,0)</f>
        <v>2.7742708985474289</v>
      </c>
      <c r="I90" s="24">
        <f ca="1">OFFSET(FTRA!L$131,$E90,0)</f>
        <v>2.8371354492737191</v>
      </c>
      <c r="J90" s="24">
        <f ca="1">OFFSET(FTRA!M$131,$E90,0)</f>
        <v>2.9</v>
      </c>
      <c r="K90" s="24">
        <f ca="1">OFFSET(FTRA!N$131,$E90,0)</f>
        <v>2.9652984627095749</v>
      </c>
      <c r="L90" s="24">
        <f ca="1">OFFSET(FTRA!O$131,$E90,0)</f>
        <v>3.0305969254191498</v>
      </c>
      <c r="M90" s="24">
        <f ca="1">OFFSET(FTRA!P$131,$E90,0)</f>
        <v>2.9363084284503151</v>
      </c>
      <c r="N90" s="24">
        <f ca="1">OFFSET(FTRA!Q$131,$E90,0)</f>
        <v>2.8420199314814805</v>
      </c>
      <c r="O90" s="24">
        <f ca="1">OFFSET(FTRA!R$131,$E90,0)</f>
        <v>2.7477314345126453</v>
      </c>
      <c r="P90" s="24">
        <f ca="1">OFFSET(FTRA!S$131,$E90,0)</f>
        <v>2.8215300505310124</v>
      </c>
      <c r="Q90" s="24">
        <f ca="1">OFFSET(FTRA!T$131,$E90,0)</f>
        <v>2.8953286665493794</v>
      </c>
      <c r="R90" s="24">
        <f ca="1">OFFSET(FTRA!U$131,$E90,0)</f>
        <v>2.9691272825677464</v>
      </c>
      <c r="S90" s="24">
        <f ca="1">OFFSET(FTRA!V$131,$E90,0)</f>
        <v>3.0429258985861134</v>
      </c>
      <c r="T90" s="24">
        <f ca="1">OFFSET(FTRA!W$131,$E90,0)</f>
        <v>3.1167245146044804</v>
      </c>
      <c r="U90" s="24">
        <f ca="1">OFFSET(FTRA!X$131,$E90,0)</f>
        <v>3.1905231306228474</v>
      </c>
      <c r="V90" s="24">
        <f ca="1">OFFSET(FTRA!Y$131,$E90,0)</f>
        <v>3.2643217466412144</v>
      </c>
      <c r="W90" s="24">
        <f ca="1">OFFSET(FTRA!Z$131,$E90,0)</f>
        <v>3.3381203626595815</v>
      </c>
      <c r="X90" s="24">
        <f ca="1">OFFSET(FTRA!AA$131,$E90,0)</f>
        <v>3.4119189786779485</v>
      </c>
      <c r="Y90" s="24">
        <f ca="1">OFFSET(FTRA!AB$131,$E90,0)</f>
        <v>3.4857175946963159</v>
      </c>
      <c r="Z90" s="24">
        <f ca="1">OFFSET(FTRA!AC$131,$E90,0)</f>
        <v>3.6044630253876773</v>
      </c>
      <c r="AA90" s="24">
        <f ca="1">OFFSET(FTRA!AD$131,$E90,0)</f>
        <v>3.7232084560790386</v>
      </c>
      <c r="AB90" s="24">
        <f ca="1">OFFSET(FTRA!AE$131,$E90,0)</f>
        <v>3.8419538867704</v>
      </c>
      <c r="AC90" s="24">
        <f ca="1">OFFSET(FTRA!AF$131,$E90,0)</f>
        <v>3.9606993174617613</v>
      </c>
      <c r="AD90" s="24">
        <f ca="1">OFFSET(FTRA!AG$131,$E90,0)</f>
        <v>4.0794447481531231</v>
      </c>
      <c r="AE90" s="24">
        <f ca="1">OFFSET(FTRA!AH$131,$E90,0)</f>
        <v>4.1981901788444844</v>
      </c>
      <c r="AF90" s="24">
        <f ca="1">OFFSET(FTRA!AI$131,$E90,0)</f>
        <v>4.3169356095358458</v>
      </c>
      <c r="AG90" s="24">
        <f ca="1">OFFSET(FTRA!AJ$131,$E90,0)</f>
        <v>4.4356810402272071</v>
      </c>
      <c r="AH90" s="24">
        <f ca="1">OFFSET(FTRA!AK$131,$E90,0)</f>
        <v>4.5544264709185684</v>
      </c>
      <c r="AI90" s="24">
        <f ca="1">OFFSET(FTRA!AL$131,$E90,0)</f>
        <v>4.6731719016099298</v>
      </c>
      <c r="AJ90" s="24">
        <f ca="1">OFFSET(FTRA!AM$131,$E90,0)</f>
        <v>5.5866834420089511</v>
      </c>
      <c r="AK90" s="24">
        <f ca="1">OFFSET(FTRA!AN$131,$E90,0)</f>
        <v>6.5001949824079679</v>
      </c>
      <c r="AL90" s="24">
        <f ca="1">OFFSET(FTRA!AO$131,$E90,0)</f>
        <v>6.5001949824079679</v>
      </c>
      <c r="AM90" s="24">
        <f ca="1">OFFSET(FTRA!AP$131,$E90,0)</f>
        <v>6.5001949824079679</v>
      </c>
    </row>
    <row r="91" spans="1:39" s="4" customFormat="1">
      <c r="A91" s="36" t="s">
        <v>415</v>
      </c>
      <c r="B91" s="24">
        <v>0.66594475210557558</v>
      </c>
      <c r="E91" s="140">
        <f>MATCH(F91,FTRA!$D$132:$D$144,0)</f>
        <v>5</v>
      </c>
      <c r="F91" s="4" t="str">
        <f t="shared" si="3"/>
        <v>TFHCV4</v>
      </c>
      <c r="G91" s="24">
        <f ca="1">OFFSET(FTRA!J$131,$E91,0)</f>
        <v>0.57023972229676956</v>
      </c>
      <c r="H91" s="24">
        <f ca="1">OFFSET(FTRA!K$131,$E91,0)</f>
        <v>0.55900373411704862</v>
      </c>
      <c r="I91" s="24">
        <f ca="1">OFFSET(FTRA!L$131,$E91,0)</f>
        <v>0.54776774593732769</v>
      </c>
      <c r="J91" s="24">
        <f ca="1">OFFSET(FTRA!M$131,$E91,0)</f>
        <v>0.53653175775760331</v>
      </c>
      <c r="K91" s="24">
        <f ca="1">OFFSET(FTRA!N$131,$E91,0)</f>
        <v>0.54016937887880168</v>
      </c>
      <c r="L91" s="24">
        <f ca="1">OFFSET(FTRA!O$131,$E91,0)</f>
        <v>0.54380700000000004</v>
      </c>
      <c r="M91" s="24">
        <f ca="1">OFFSET(FTRA!P$131,$E91,0)</f>
        <v>0.55516443430062401</v>
      </c>
      <c r="N91" s="24">
        <f ca="1">OFFSET(FTRA!Q$131,$E91,0)</f>
        <v>0.56652186860124798</v>
      </c>
      <c r="O91" s="24">
        <f ca="1">OFFSET(FTRA!R$131,$E91,0)</f>
        <v>0.57787930290187206</v>
      </c>
      <c r="P91" s="24">
        <f ca="1">OFFSET(FTRA!S$131,$E91,0)</f>
        <v>0.59339999471481886</v>
      </c>
      <c r="Q91" s="24">
        <f ca="1">OFFSET(FTRA!T$131,$E91,0)</f>
        <v>0.60892068652776565</v>
      </c>
      <c r="R91" s="24">
        <f ca="1">OFFSET(FTRA!U$131,$E91,0)</f>
        <v>0.62444137834071245</v>
      </c>
      <c r="S91" s="24">
        <f ca="1">OFFSET(FTRA!V$131,$E91,0)</f>
        <v>0.63996207015365925</v>
      </c>
      <c r="T91" s="24">
        <f ca="1">OFFSET(FTRA!W$131,$E91,0)</f>
        <v>0.65548276196660604</v>
      </c>
      <c r="U91" s="24">
        <f ca="1">OFFSET(FTRA!X$131,$E91,0)</f>
        <v>0.67100345377955284</v>
      </c>
      <c r="V91" s="24">
        <f ca="1">OFFSET(FTRA!Y$131,$E91,0)</f>
        <v>0.68652414559249963</v>
      </c>
      <c r="W91" s="24">
        <f ca="1">OFFSET(FTRA!Z$131,$E91,0)</f>
        <v>0.70204483740544643</v>
      </c>
      <c r="X91" s="24">
        <f ca="1">OFFSET(FTRA!AA$131,$E91,0)</f>
        <v>0.71756552921839323</v>
      </c>
      <c r="Y91" s="24">
        <f ca="1">OFFSET(FTRA!AB$131,$E91,0)</f>
        <v>0.73308622103133991</v>
      </c>
      <c r="Z91" s="24">
        <f ca="1">OFFSET(FTRA!AC$131,$E91,0)</f>
        <v>0.75805974131385523</v>
      </c>
      <c r="AA91" s="24">
        <f ca="1">OFFSET(FTRA!AD$131,$E91,0)</f>
        <v>0.78303326159637054</v>
      </c>
      <c r="AB91" s="24">
        <f ca="1">OFFSET(FTRA!AE$131,$E91,0)</f>
        <v>0.80800678187888586</v>
      </c>
      <c r="AC91" s="24">
        <f ca="1">OFFSET(FTRA!AF$131,$E91,0)</f>
        <v>0.83298030216140118</v>
      </c>
      <c r="AD91" s="24">
        <f ca="1">OFFSET(FTRA!AG$131,$E91,0)</f>
        <v>0.85795382244391649</v>
      </c>
      <c r="AE91" s="24">
        <f ca="1">OFFSET(FTRA!AH$131,$E91,0)</f>
        <v>0.88292734272643181</v>
      </c>
      <c r="AF91" s="24">
        <f ca="1">OFFSET(FTRA!AI$131,$E91,0)</f>
        <v>0.90790086300894712</v>
      </c>
      <c r="AG91" s="24">
        <f ca="1">OFFSET(FTRA!AJ$131,$E91,0)</f>
        <v>0.93287438329146244</v>
      </c>
      <c r="AH91" s="24">
        <f ca="1">OFFSET(FTRA!AK$131,$E91,0)</f>
        <v>0.95784790357397775</v>
      </c>
      <c r="AI91" s="24">
        <f ca="1">OFFSET(FTRA!AL$131,$E91,0)</f>
        <v>0.98282142385649318</v>
      </c>
      <c r="AJ91" s="24">
        <f ca="1">OFFSET(FTRA!AM$131,$E91,0)</f>
        <v>1.1749433341450917</v>
      </c>
      <c r="AK91" s="24">
        <f ca="1">OFFSET(FTRA!AN$131,$E91,0)</f>
        <v>1.3670652444336904</v>
      </c>
      <c r="AL91" s="24">
        <f ca="1">OFFSET(FTRA!AO$131,$E91,0)</f>
        <v>1.3670652444336904</v>
      </c>
      <c r="AM91" s="24">
        <f ca="1">OFFSET(FTRA!AP$131,$E91,0)</f>
        <v>1.3670652444336904</v>
      </c>
    </row>
    <row r="92" spans="1:39" s="4" customFormat="1">
      <c r="A92" s="36" t="s">
        <v>416</v>
      </c>
      <c r="B92" s="24">
        <v>0.33457448391316724</v>
      </c>
      <c r="E92" s="140">
        <f>MATCH(F92,FTRA!$D$132:$D$144,0)</f>
        <v>6</v>
      </c>
      <c r="F92" s="4" t="str">
        <f t="shared" si="3"/>
        <v>TFHCV5</v>
      </c>
      <c r="G92" s="24">
        <f ca="1">OFFSET(FTRA!J$131,$E92,0)</f>
        <v>0.27326501935541331</v>
      </c>
      <c r="H92" s="24">
        <f ca="1">OFFSET(FTRA!K$131,$E92,0)</f>
        <v>0.27740453823694228</v>
      </c>
      <c r="I92" s="24">
        <f ca="1">OFFSET(FTRA!L$131,$E92,0)</f>
        <v>0.28154405711847125</v>
      </c>
      <c r="J92" s="24">
        <f ca="1">OFFSET(FTRA!M$131,$E92,0)</f>
        <v>0.28568357599999999</v>
      </c>
      <c r="K92" s="24">
        <f ca="1">OFFSET(FTRA!N$131,$E92,0)</f>
        <v>0.2876204765</v>
      </c>
      <c r="L92" s="24">
        <f ca="1">OFFSET(FTRA!O$131,$E92,0)</f>
        <v>0.289557377</v>
      </c>
      <c r="M92" s="24">
        <f ca="1">OFFSET(FTRA!P$131,$E92,0)</f>
        <v>0.28534691423305703</v>
      </c>
      <c r="N92" s="24">
        <f ca="1">OFFSET(FTRA!Q$131,$E92,0)</f>
        <v>0.28113645146611405</v>
      </c>
      <c r="O92" s="24">
        <f ca="1">OFFSET(FTRA!R$131,$E92,0)</f>
        <v>0.27692598869917107</v>
      </c>
      <c r="P92" s="24">
        <f ca="1">OFFSET(FTRA!S$131,$E92,0)</f>
        <v>0.28436367145405123</v>
      </c>
      <c r="Q92" s="24">
        <f ca="1">OFFSET(FTRA!T$131,$E92,0)</f>
        <v>0.29180135420893138</v>
      </c>
      <c r="R92" s="24">
        <f ca="1">OFFSET(FTRA!U$131,$E92,0)</f>
        <v>0.29923903696381154</v>
      </c>
      <c r="S92" s="24">
        <f ca="1">OFFSET(FTRA!V$131,$E92,0)</f>
        <v>0.3066767197186917</v>
      </c>
      <c r="T92" s="24">
        <f ca="1">OFFSET(FTRA!W$131,$E92,0)</f>
        <v>0.31411440247357186</v>
      </c>
      <c r="U92" s="24">
        <f ca="1">OFFSET(FTRA!X$131,$E92,0)</f>
        <v>0.32155208522845202</v>
      </c>
      <c r="V92" s="24">
        <f ca="1">OFFSET(FTRA!Y$131,$E92,0)</f>
        <v>0.32898976798333218</v>
      </c>
      <c r="W92" s="24">
        <f ca="1">OFFSET(FTRA!Z$131,$E92,0)</f>
        <v>0.33642745073821234</v>
      </c>
      <c r="X92" s="24">
        <f ca="1">OFFSET(FTRA!AA$131,$E92,0)</f>
        <v>0.3438651334930925</v>
      </c>
      <c r="Y92" s="24">
        <f ca="1">OFFSET(FTRA!AB$131,$E92,0)</f>
        <v>0.35130281624797255</v>
      </c>
      <c r="Z92" s="24">
        <f ca="1">OFFSET(FTRA!AC$131,$E92,0)</f>
        <v>0.36327039626131785</v>
      </c>
      <c r="AA92" s="24">
        <f ca="1">OFFSET(FTRA!AD$131,$E92,0)</f>
        <v>0.37523797627466315</v>
      </c>
      <c r="AB92" s="24">
        <f ca="1">OFFSET(FTRA!AE$131,$E92,0)</f>
        <v>0.38720555628800846</v>
      </c>
      <c r="AC92" s="24">
        <f ca="1">OFFSET(FTRA!AF$131,$E92,0)</f>
        <v>0.39917313630135376</v>
      </c>
      <c r="AD92" s="24">
        <f ca="1">OFFSET(FTRA!AG$131,$E92,0)</f>
        <v>0.41114071631469906</v>
      </c>
      <c r="AE92" s="24">
        <f ca="1">OFFSET(FTRA!AH$131,$E92,0)</f>
        <v>0.42310829632804436</v>
      </c>
      <c r="AF92" s="24">
        <f ca="1">OFFSET(FTRA!AI$131,$E92,0)</f>
        <v>0.43507587634138967</v>
      </c>
      <c r="AG92" s="24">
        <f ca="1">OFFSET(FTRA!AJ$131,$E92,0)</f>
        <v>0.44704345635473497</v>
      </c>
      <c r="AH92" s="24">
        <f ca="1">OFFSET(FTRA!AK$131,$E92,0)</f>
        <v>0.45901103636808027</v>
      </c>
      <c r="AI92" s="24">
        <f ca="1">OFFSET(FTRA!AL$131,$E92,0)</f>
        <v>0.47097861638142557</v>
      </c>
      <c r="AJ92" s="24">
        <f ca="1">OFFSET(FTRA!AM$131,$E92,0)</f>
        <v>0.56304550593825387</v>
      </c>
      <c r="AK92" s="24">
        <f ca="1">OFFSET(FTRA!AN$131,$E92,0)</f>
        <v>0.65511239549508204</v>
      </c>
      <c r="AL92" s="24">
        <f ca="1">OFFSET(FTRA!AO$131,$E92,0)</f>
        <v>0.65511239549508204</v>
      </c>
      <c r="AM92" s="24">
        <f ca="1">OFFSET(FTRA!AP$131,$E92,0)</f>
        <v>0.65511239549508204</v>
      </c>
    </row>
    <row r="93" spans="1:39" s="4" customFormat="1">
      <c r="A93" s="36" t="s">
        <v>417</v>
      </c>
      <c r="B93" s="24">
        <v>4.2080971938397562</v>
      </c>
      <c r="E93" s="140">
        <f>MATCH(F93,FTRA!$D$132:$D$144,0)</f>
        <v>7</v>
      </c>
      <c r="F93" s="4" t="str">
        <f t="shared" si="3"/>
        <v>TFHCV6</v>
      </c>
      <c r="G93" s="24">
        <f ca="1">OFFSET(FTRA!J$131,$E93,0)</f>
        <v>5.0361375113209643</v>
      </c>
      <c r="H93" s="24">
        <f ca="1">OFFSET(FTRA!K$131,$E93,0)</f>
        <v>5.3607583408806443</v>
      </c>
      <c r="I93" s="24">
        <f ca="1">OFFSET(FTRA!L$131,$E93,0)</f>
        <v>5.6853791704403243</v>
      </c>
      <c r="J93" s="24">
        <f ca="1">OFFSET(FTRA!M$131,$E93,0)</f>
        <v>6.01</v>
      </c>
      <c r="K93" s="24">
        <f ca="1">OFFSET(FTRA!N$131,$E93,0)</f>
        <v>6.3253919226144593</v>
      </c>
      <c r="L93" s="24">
        <f ca="1">OFFSET(FTRA!O$131,$E93,0)</f>
        <v>6.6407838452289196</v>
      </c>
      <c r="M93" s="24">
        <f ca="1">OFFSET(FTRA!P$131,$E93,0)</f>
        <v>6.1283916780391108</v>
      </c>
      <c r="N93" s="24">
        <f ca="1">OFFSET(FTRA!Q$131,$E93,0)</f>
        <v>5.6159995108493019</v>
      </c>
      <c r="O93" s="24">
        <f ca="1">OFFSET(FTRA!R$131,$E93,0)</f>
        <v>5.1036073436594931</v>
      </c>
      <c r="P93" s="24">
        <f ca="1">OFFSET(FTRA!S$131,$E93,0)</f>
        <v>5.2406801135570538</v>
      </c>
      <c r="Q93" s="24">
        <f ca="1">OFFSET(FTRA!T$131,$E93,0)</f>
        <v>5.3777528834546144</v>
      </c>
      <c r="R93" s="24">
        <f ca="1">OFFSET(FTRA!U$131,$E93,0)</f>
        <v>5.5148256533521751</v>
      </c>
      <c r="S93" s="24">
        <f ca="1">OFFSET(FTRA!V$131,$E93,0)</f>
        <v>5.6518984232497358</v>
      </c>
      <c r="T93" s="24">
        <f ca="1">OFFSET(FTRA!W$131,$E93,0)</f>
        <v>5.7889711931472965</v>
      </c>
      <c r="U93" s="24">
        <f ca="1">OFFSET(FTRA!X$131,$E93,0)</f>
        <v>5.9260439630448571</v>
      </c>
      <c r="V93" s="24">
        <f ca="1">OFFSET(FTRA!Y$131,$E93,0)</f>
        <v>6.0631167329424178</v>
      </c>
      <c r="W93" s="24">
        <f ca="1">OFFSET(FTRA!Z$131,$E93,0)</f>
        <v>6.2001895028399785</v>
      </c>
      <c r="X93" s="24">
        <f ca="1">OFFSET(FTRA!AA$131,$E93,0)</f>
        <v>6.3372622727375392</v>
      </c>
      <c r="Y93" s="24">
        <f ca="1">OFFSET(FTRA!AB$131,$E93,0)</f>
        <v>6.4743350426350972</v>
      </c>
      <c r="Z93" s="24">
        <f ca="1">OFFSET(FTRA!AC$131,$E93,0)</f>
        <v>6.6948915513573297</v>
      </c>
      <c r="AA93" s="24">
        <f ca="1">OFFSET(FTRA!AD$131,$E93,0)</f>
        <v>6.9154480600795623</v>
      </c>
      <c r="AB93" s="24">
        <f ca="1">OFFSET(FTRA!AE$131,$E93,0)</f>
        <v>7.1360045688017948</v>
      </c>
      <c r="AC93" s="24">
        <f ca="1">OFFSET(FTRA!AF$131,$E93,0)</f>
        <v>7.3565610775240273</v>
      </c>
      <c r="AD93" s="24">
        <f ca="1">OFFSET(FTRA!AG$131,$E93,0)</f>
        <v>7.5771175862462599</v>
      </c>
      <c r="AE93" s="24">
        <f ca="1">OFFSET(FTRA!AH$131,$E93,0)</f>
        <v>7.7976740949684924</v>
      </c>
      <c r="AF93" s="24">
        <f ca="1">OFFSET(FTRA!AI$131,$E93,0)</f>
        <v>8.0182306036907249</v>
      </c>
      <c r="AG93" s="24">
        <f ca="1">OFFSET(FTRA!AJ$131,$E93,0)</f>
        <v>8.2387871124129575</v>
      </c>
      <c r="AH93" s="24">
        <f ca="1">OFFSET(FTRA!AK$131,$E93,0)</f>
        <v>8.45934362113519</v>
      </c>
      <c r="AI93" s="24">
        <f ca="1">OFFSET(FTRA!AL$131,$E93,0)</f>
        <v>8.6799001298574261</v>
      </c>
      <c r="AJ93" s="24">
        <f ca="1">OFFSET(FTRA!AM$131,$E93,0)</f>
        <v>10.376646816065152</v>
      </c>
      <c r="AK93" s="24">
        <f ca="1">OFFSET(FTRA!AN$131,$E93,0)</f>
        <v>12.073393502272875</v>
      </c>
      <c r="AL93" s="24">
        <f ca="1">OFFSET(FTRA!AO$131,$E93,0)</f>
        <v>12.073393502272875</v>
      </c>
      <c r="AM93" s="24">
        <f ca="1">OFFSET(FTRA!AP$131,$E93,0)</f>
        <v>12.073393502272875</v>
      </c>
    </row>
    <row r="94" spans="1:39" s="4" customFormat="1">
      <c r="A94" s="36" t="s">
        <v>418</v>
      </c>
      <c r="B94" s="24">
        <v>1.4910262867673953</v>
      </c>
      <c r="E94" s="140">
        <f>MATCH(F94,FTRA!$D$132:$D$144,0)</f>
        <v>8</v>
      </c>
      <c r="F94" s="4" t="str">
        <f t="shared" si="3"/>
        <v>TFHCV7</v>
      </c>
      <c r="G94" s="24">
        <f ca="1">OFFSET(FTRA!J$131,$E94,0)</f>
        <v>1.5653068685251963</v>
      </c>
      <c r="H94" s="24">
        <f ca="1">OFFSET(FTRA!K$131,$E94,0)</f>
        <v>1.6102045790167996</v>
      </c>
      <c r="I94" s="24">
        <f ca="1">OFFSET(FTRA!L$131,$E94,0)</f>
        <v>1.6551022895084029</v>
      </c>
      <c r="J94" s="24">
        <f ca="1">OFFSET(FTRA!M$131,$E94,0)</f>
        <v>1.7</v>
      </c>
      <c r="K94" s="24">
        <f ca="1">OFFSET(FTRA!N$131,$E94,0)</f>
        <v>1.74</v>
      </c>
      <c r="L94" s="24">
        <f ca="1">OFFSET(FTRA!O$131,$E94,0)</f>
        <v>1.78</v>
      </c>
      <c r="M94" s="24">
        <f ca="1">OFFSET(FTRA!P$131,$E94,0)</f>
        <v>1.7154258338741823</v>
      </c>
      <c r="N94" s="24">
        <f ca="1">OFFSET(FTRA!Q$131,$E94,0)</f>
        <v>1.6508516677483647</v>
      </c>
      <c r="O94" s="24">
        <f ca="1">OFFSET(FTRA!R$131,$E94,0)</f>
        <v>1.5862775016225472</v>
      </c>
      <c r="P94" s="24">
        <f ca="1">OFFSET(FTRA!S$131,$E94,0)</f>
        <v>1.6288817688265509</v>
      </c>
      <c r="Q94" s="24">
        <f ca="1">OFFSET(FTRA!T$131,$E94,0)</f>
        <v>1.6714860360305546</v>
      </c>
      <c r="R94" s="24">
        <f ca="1">OFFSET(FTRA!U$131,$E94,0)</f>
        <v>1.7140903032345582</v>
      </c>
      <c r="S94" s="24">
        <f ca="1">OFFSET(FTRA!V$131,$E94,0)</f>
        <v>1.7566945704385619</v>
      </c>
      <c r="T94" s="24">
        <f ca="1">OFFSET(FTRA!W$131,$E94,0)</f>
        <v>1.7992988376425656</v>
      </c>
      <c r="U94" s="24">
        <f ca="1">OFFSET(FTRA!X$131,$E94,0)</f>
        <v>1.8419031048465693</v>
      </c>
      <c r="V94" s="24">
        <f ca="1">OFFSET(FTRA!Y$131,$E94,0)</f>
        <v>1.8845073720505729</v>
      </c>
      <c r="W94" s="24">
        <f ca="1">OFFSET(FTRA!Z$131,$E94,0)</f>
        <v>1.9271116392545766</v>
      </c>
      <c r="X94" s="24">
        <f ca="1">OFFSET(FTRA!AA$131,$E94,0)</f>
        <v>1.9697159064585803</v>
      </c>
      <c r="Y94" s="24">
        <f ca="1">OFFSET(FTRA!AB$131,$E94,0)</f>
        <v>2.0123201736625842</v>
      </c>
      <c r="Z94" s="24">
        <f ca="1">OFFSET(FTRA!AC$131,$E94,0)</f>
        <v>2.0808724356341388</v>
      </c>
      <c r="AA94" s="24">
        <f ca="1">OFFSET(FTRA!AD$131,$E94,0)</f>
        <v>2.1494246976056934</v>
      </c>
      <c r="AB94" s="24">
        <f ca="1">OFFSET(FTRA!AE$131,$E94,0)</f>
        <v>2.2179769595772481</v>
      </c>
      <c r="AC94" s="24">
        <f ca="1">OFFSET(FTRA!AF$131,$E94,0)</f>
        <v>2.2865292215488027</v>
      </c>
      <c r="AD94" s="24">
        <f ca="1">OFFSET(FTRA!AG$131,$E94,0)</f>
        <v>2.3550814835203573</v>
      </c>
      <c r="AE94" s="24">
        <f ca="1">OFFSET(FTRA!AH$131,$E94,0)</f>
        <v>2.4236337454919119</v>
      </c>
      <c r="AF94" s="24">
        <f ca="1">OFFSET(FTRA!AI$131,$E94,0)</f>
        <v>2.4921860074634665</v>
      </c>
      <c r="AG94" s="24">
        <f ca="1">OFFSET(FTRA!AJ$131,$E94,0)</f>
        <v>2.5607382694350211</v>
      </c>
      <c r="AH94" s="24">
        <f ca="1">OFFSET(FTRA!AK$131,$E94,0)</f>
        <v>2.6292905314065758</v>
      </c>
      <c r="AI94" s="24">
        <f ca="1">OFFSET(FTRA!AL$131,$E94,0)</f>
        <v>2.697842793378129</v>
      </c>
      <c r="AJ94" s="24">
        <f ca="1">OFFSET(FTRA!AM$131,$E94,0)</f>
        <v>3.2252170432070759</v>
      </c>
      <c r="AK94" s="24">
        <f ca="1">OFFSET(FTRA!AN$131,$E94,0)</f>
        <v>3.7525912930360215</v>
      </c>
      <c r="AL94" s="24">
        <f ca="1">OFFSET(FTRA!AO$131,$E94,0)</f>
        <v>3.7525912930360215</v>
      </c>
      <c r="AM94" s="24">
        <f ca="1">OFFSET(FTRA!AP$131,$E94,0)</f>
        <v>3.7525912930360215</v>
      </c>
    </row>
    <row r="95" spans="1:39" s="4" customFormat="1">
      <c r="A95" s="36" t="s">
        <v>419</v>
      </c>
      <c r="B95" s="24">
        <v>0</v>
      </c>
      <c r="E95" s="140">
        <f>MATCH(F95,FTRA!$D$132:$D$144,0)</f>
        <v>9</v>
      </c>
      <c r="F95" s="4" t="str">
        <f t="shared" si="3"/>
        <v>TFHCV8</v>
      </c>
      <c r="G95" s="24">
        <f ca="1">OFFSET(FTRA!J$131,$E95,0)</f>
        <v>5.8486156921973939E-2</v>
      </c>
      <c r="H95" s="24">
        <f ca="1">OFFSET(FTRA!K$131,$E95,0)</f>
        <v>6.5622085483256903E-2</v>
      </c>
      <c r="I95" s="24">
        <f ca="1">OFFSET(FTRA!L$131,$E95,0)</f>
        <v>7.2758014044539868E-2</v>
      </c>
      <c r="J95" s="24">
        <f ca="1">OFFSET(FTRA!M$131,$E95,0)</f>
        <v>7.9893942605822804E-2</v>
      </c>
      <c r="K95" s="24">
        <f ca="1">OFFSET(FTRA!N$131,$E95,0)</f>
        <v>9.0970063028559395E-2</v>
      </c>
      <c r="L95" s="24">
        <f ca="1">OFFSET(FTRA!O$131,$E95,0)</f>
        <v>0.102046183451296</v>
      </c>
      <c r="M95" s="24">
        <f ca="1">OFFSET(FTRA!P$131,$E95,0)</f>
        <v>8.7787356992028123E-2</v>
      </c>
      <c r="N95" s="24">
        <f ca="1">OFFSET(FTRA!Q$131,$E95,0)</f>
        <v>7.3528530532760247E-2</v>
      </c>
      <c r="O95" s="24">
        <f ca="1">OFFSET(FTRA!R$131,$E95,0)</f>
        <v>5.9269704073492357E-2</v>
      </c>
      <c r="P95" s="24">
        <f ca="1">OFFSET(FTRA!S$131,$E95,0)</f>
        <v>6.0861570759407284E-2</v>
      </c>
      <c r="Q95" s="24">
        <f ca="1">OFFSET(FTRA!T$131,$E95,0)</f>
        <v>6.245343744532221E-2</v>
      </c>
      <c r="R95" s="24">
        <f ca="1">OFFSET(FTRA!U$131,$E95,0)</f>
        <v>6.404530413123713E-2</v>
      </c>
      <c r="S95" s="24">
        <f ca="1">OFFSET(FTRA!V$131,$E95,0)</f>
        <v>6.5637170817152049E-2</v>
      </c>
      <c r="T95" s="24">
        <f ca="1">OFFSET(FTRA!W$131,$E95,0)</f>
        <v>6.7229037503066968E-2</v>
      </c>
      <c r="U95" s="24">
        <f ca="1">OFFSET(FTRA!X$131,$E95,0)</f>
        <v>6.8820904188981888E-2</v>
      </c>
      <c r="V95" s="24">
        <f ca="1">OFFSET(FTRA!Y$131,$E95,0)</f>
        <v>7.0412770874896807E-2</v>
      </c>
      <c r="W95" s="24">
        <f ca="1">OFFSET(FTRA!Z$131,$E95,0)</f>
        <v>7.2004637560811727E-2</v>
      </c>
      <c r="X95" s="24">
        <f ca="1">OFFSET(FTRA!AA$131,$E95,0)</f>
        <v>7.3596504246726646E-2</v>
      </c>
      <c r="Y95" s="24">
        <f ca="1">OFFSET(FTRA!AB$131,$E95,0)</f>
        <v>7.5188370932641607E-2</v>
      </c>
      <c r="Z95" s="24">
        <f ca="1">OFFSET(FTRA!AC$131,$E95,0)</f>
        <v>7.7749759010368596E-2</v>
      </c>
      <c r="AA95" s="24">
        <f ca="1">OFFSET(FTRA!AD$131,$E95,0)</f>
        <v>8.0311147088095586E-2</v>
      </c>
      <c r="AB95" s="24">
        <f ca="1">OFFSET(FTRA!AE$131,$E95,0)</f>
        <v>8.2872535165822575E-2</v>
      </c>
      <c r="AC95" s="24">
        <f ca="1">OFFSET(FTRA!AF$131,$E95,0)</f>
        <v>8.5433923243549564E-2</v>
      </c>
      <c r="AD95" s="24">
        <f ca="1">OFFSET(FTRA!AG$131,$E95,0)</f>
        <v>8.7995311321276554E-2</v>
      </c>
      <c r="AE95" s="24">
        <f ca="1">OFFSET(FTRA!AH$131,$E95,0)</f>
        <v>9.0556699399003543E-2</v>
      </c>
      <c r="AF95" s="24">
        <f ca="1">OFFSET(FTRA!AI$131,$E95,0)</f>
        <v>9.3118087476730532E-2</v>
      </c>
      <c r="AG95" s="24">
        <f ca="1">OFFSET(FTRA!AJ$131,$E95,0)</f>
        <v>9.5679475554457522E-2</v>
      </c>
      <c r="AH95" s="24">
        <f ca="1">OFFSET(FTRA!AK$131,$E95,0)</f>
        <v>9.8240863632184511E-2</v>
      </c>
      <c r="AI95" s="24">
        <f ca="1">OFFSET(FTRA!AL$131,$E95,0)</f>
        <v>0.10080225170991157</v>
      </c>
      <c r="AJ95" s="24">
        <f ca="1">OFFSET(FTRA!AM$131,$E95,0)</f>
        <v>0.1205070736539722</v>
      </c>
      <c r="AK95" s="24">
        <f ca="1">OFFSET(FTRA!AN$131,$E95,0)</f>
        <v>0.14021189559803288</v>
      </c>
      <c r="AL95" s="24">
        <f ca="1">OFFSET(FTRA!AO$131,$E95,0)</f>
        <v>0.14021189559803288</v>
      </c>
      <c r="AM95" s="24">
        <f ca="1">OFFSET(FTRA!AP$131,$E95,0)</f>
        <v>0.14021189559803288</v>
      </c>
    </row>
    <row r="96" spans="1:39">
      <c r="A96" s="36" t="s">
        <v>420</v>
      </c>
      <c r="B96" s="24">
        <v>4.2946824044977329E-2</v>
      </c>
      <c r="E96" s="140">
        <f>MATCH(F96,FTRA!$D$132:$D$144,0)</f>
        <v>10</v>
      </c>
      <c r="F96" s="4" t="str">
        <f t="shared" si="3"/>
        <v>TFHCV9</v>
      </c>
      <c r="G96" s="24">
        <f ca="1">OFFSET(FTRA!J$131,$E96,0)</f>
        <v>3.9969372950314989E-2</v>
      </c>
      <c r="H96" s="24">
        <f ca="1">OFFSET(FTRA!K$131,$E96,0)</f>
        <v>3.4102559292729893E-2</v>
      </c>
      <c r="I96" s="24">
        <f ca="1">OFFSET(FTRA!L$131,$E96,0)</f>
        <v>2.8235745635144794E-2</v>
      </c>
      <c r="J96" s="24">
        <f ca="1">OFFSET(FTRA!M$131,$E96,0)</f>
        <v>2.2368931977559604E-2</v>
      </c>
      <c r="K96" s="24">
        <f ca="1">OFFSET(FTRA!N$131,$E96,0)</f>
        <v>2.2519965988779801E-2</v>
      </c>
      <c r="L96" s="24">
        <f ca="1">OFFSET(FTRA!O$131,$E96,0)</f>
        <v>2.2670999999999997E-2</v>
      </c>
      <c r="M96" s="24">
        <f ca="1">OFFSET(FTRA!P$131,$E96,0)</f>
        <v>2.8615616060068419E-2</v>
      </c>
      <c r="N96" s="24">
        <f ca="1">OFFSET(FTRA!Q$131,$E96,0)</f>
        <v>3.4560232120136841E-2</v>
      </c>
      <c r="O96" s="24">
        <f ca="1">OFFSET(FTRA!R$131,$E96,0)</f>
        <v>4.0504848180205263E-2</v>
      </c>
      <c r="P96" s="24">
        <f ca="1">OFFSET(FTRA!S$131,$E96,0)</f>
        <v>4.159272805819756E-2</v>
      </c>
      <c r="Q96" s="24">
        <f ca="1">OFFSET(FTRA!T$131,$E96,0)</f>
        <v>4.2680607936189857E-2</v>
      </c>
      <c r="R96" s="24">
        <f ca="1">OFFSET(FTRA!U$131,$E96,0)</f>
        <v>4.3768487814182154E-2</v>
      </c>
      <c r="S96" s="24">
        <f ca="1">OFFSET(FTRA!V$131,$E96,0)</f>
        <v>4.4856367692174451E-2</v>
      </c>
      <c r="T96" s="24">
        <f ca="1">OFFSET(FTRA!W$131,$E96,0)</f>
        <v>4.5944247570166748E-2</v>
      </c>
      <c r="U96" s="24">
        <f ca="1">OFFSET(FTRA!X$131,$E96,0)</f>
        <v>4.7032127448159045E-2</v>
      </c>
      <c r="V96" s="24">
        <f ca="1">OFFSET(FTRA!Y$131,$E96,0)</f>
        <v>4.8120007326151341E-2</v>
      </c>
      <c r="W96" s="24">
        <f ca="1">OFFSET(FTRA!Z$131,$E96,0)</f>
        <v>4.9207887204143638E-2</v>
      </c>
      <c r="X96" s="24">
        <f ca="1">OFFSET(FTRA!AA$131,$E96,0)</f>
        <v>5.0295767082135935E-2</v>
      </c>
      <c r="Y96" s="24">
        <f ca="1">OFFSET(FTRA!AB$131,$E96,0)</f>
        <v>5.138364696012826E-2</v>
      </c>
      <c r="Z96" s="24">
        <f ca="1">OFFSET(FTRA!AC$131,$E96,0)</f>
        <v>5.3134096651766251E-2</v>
      </c>
      <c r="AA96" s="24">
        <f ca="1">OFFSET(FTRA!AD$131,$E96,0)</f>
        <v>5.4884546343404242E-2</v>
      </c>
      <c r="AB96" s="24">
        <f ca="1">OFFSET(FTRA!AE$131,$E96,0)</f>
        <v>5.6634996035042233E-2</v>
      </c>
      <c r="AC96" s="24">
        <f ca="1">OFFSET(FTRA!AF$131,$E96,0)</f>
        <v>5.8385445726680224E-2</v>
      </c>
      <c r="AD96" s="24">
        <f ca="1">OFFSET(FTRA!AG$131,$E96,0)</f>
        <v>6.0135895418318215E-2</v>
      </c>
      <c r="AE96" s="24">
        <f ca="1">OFFSET(FTRA!AH$131,$E96,0)</f>
        <v>6.1886345109956206E-2</v>
      </c>
      <c r="AF96" s="24">
        <f ca="1">OFFSET(FTRA!AI$131,$E96,0)</f>
        <v>6.3636794801594204E-2</v>
      </c>
      <c r="AG96" s="24">
        <f ca="1">OFFSET(FTRA!AJ$131,$E96,0)</f>
        <v>6.5387244493232202E-2</v>
      </c>
      <c r="AH96" s="24">
        <f ca="1">OFFSET(FTRA!AK$131,$E96,0)</f>
        <v>6.71376941848702E-2</v>
      </c>
      <c r="AI96" s="24">
        <f ca="1">OFFSET(FTRA!AL$131,$E96,0)</f>
        <v>6.8888143876508184E-2</v>
      </c>
      <c r="AJ96" s="24">
        <f ca="1">OFFSET(FTRA!AM$131,$E96,0)</f>
        <v>8.2354396724210716E-2</v>
      </c>
      <c r="AK96" s="24">
        <f ca="1">OFFSET(FTRA!AN$131,$E96,0)</f>
        <v>9.5820649571913288E-2</v>
      </c>
      <c r="AL96" s="24">
        <f ca="1">OFFSET(FTRA!AO$131,$E96,0)</f>
        <v>9.5820649571913288E-2</v>
      </c>
      <c r="AM96" s="24">
        <f ca="1">OFFSET(FTRA!AP$131,$E96,0)</f>
        <v>9.5820649571913288E-2</v>
      </c>
    </row>
    <row r="97" spans="1:39">
      <c r="A97" s="36" t="s">
        <v>382</v>
      </c>
      <c r="B97">
        <v>28</v>
      </c>
      <c r="E97" s="140">
        <f>MATCH(F97,FTRA!$D$132:$D$144,0)</f>
        <v>11</v>
      </c>
      <c r="F97" s="4" t="str">
        <f t="shared" si="1"/>
        <v>TFRCO</v>
      </c>
      <c r="G97" s="24">
        <f ca="1">OFFSET(FTRA!J$131,$E97,0)</f>
        <v>22</v>
      </c>
      <c r="H97" s="24">
        <f ca="1">OFFSET(FTRA!K$131,$E97,0)</f>
        <v>22.352445526032646</v>
      </c>
      <c r="I97" s="24">
        <f ca="1">OFFSET(FTRA!L$131,$E97,0)</f>
        <v>22.704891052065292</v>
      </c>
      <c r="J97" s="24">
        <f ca="1">OFFSET(FTRA!M$131,$E97,0)</f>
        <v>23.057336578097942</v>
      </c>
      <c r="K97" s="24">
        <f ca="1">OFFSET(FTRA!N$131,$E97,0)</f>
        <v>23.249070137552067</v>
      </c>
      <c r="L97" s="24">
        <f ca="1">OFFSET(FTRA!O$131,$E97,0)</f>
        <v>23.440803697006192</v>
      </c>
      <c r="M97" s="24">
        <f ca="1">OFFSET(FTRA!P$131,$E97,0)</f>
        <v>23.058781481202871</v>
      </c>
      <c r="N97" s="24">
        <f ca="1">OFFSET(FTRA!Q$131,$E97,0)</f>
        <v>22.67675926539955</v>
      </c>
      <c r="O97" s="24">
        <f ca="1">OFFSET(FTRA!R$131,$E97,0)</f>
        <v>22.294737049596232</v>
      </c>
      <c r="P97" s="24">
        <f ca="1">OFFSET(FTRA!S$131,$E97,0)</f>
        <v>24.827138909995355</v>
      </c>
      <c r="Q97" s="24">
        <f ca="1">OFFSET(FTRA!T$131,$E97,0)</f>
        <v>27.359540770394482</v>
      </c>
      <c r="R97" s="24">
        <f ca="1">OFFSET(FTRA!U$131,$E97,0)</f>
        <v>29.891942630793608</v>
      </c>
      <c r="S97" s="24">
        <f ca="1">OFFSET(FTRA!V$131,$E97,0)</f>
        <v>32.424344491192734</v>
      </c>
      <c r="T97" s="24">
        <f ca="1">OFFSET(FTRA!W$131,$E97,0)</f>
        <v>34.95674635159186</v>
      </c>
      <c r="U97" s="24">
        <f ca="1">OFFSET(FTRA!X$131,$E97,0)</f>
        <v>37.489148211990987</v>
      </c>
      <c r="V97" s="24">
        <f ca="1">OFFSET(FTRA!Y$131,$E97,0)</f>
        <v>40.021550072390113</v>
      </c>
      <c r="W97" s="24">
        <f ca="1">OFFSET(FTRA!Z$131,$E97,0)</f>
        <v>42.553951932789239</v>
      </c>
      <c r="X97" s="24">
        <f ca="1">OFFSET(FTRA!AA$131,$E97,0)</f>
        <v>45.086353793188366</v>
      </c>
      <c r="Y97" s="24">
        <f ca="1">OFFSET(FTRA!AB$131,$E97,0)</f>
        <v>47.618755653587478</v>
      </c>
      <c r="Z97" s="24">
        <f ca="1">OFFSET(FTRA!AC$131,$E97,0)</f>
        <v>51.679958610526427</v>
      </c>
      <c r="AA97" s="24">
        <f ca="1">OFFSET(FTRA!AD$131,$E97,0)</f>
        <v>55.741161567465369</v>
      </c>
      <c r="AB97" s="24">
        <f ca="1">OFFSET(FTRA!AE$131,$E97,0)</f>
        <v>59.802364524404311</v>
      </c>
      <c r="AC97" s="24">
        <f ca="1">OFFSET(FTRA!AF$131,$E97,0)</f>
        <v>63.863567481343253</v>
      </c>
      <c r="AD97" s="24">
        <f ca="1">OFFSET(FTRA!AG$131,$E97,0)</f>
        <v>67.924770438282195</v>
      </c>
      <c r="AE97" s="24">
        <f ca="1">OFFSET(FTRA!AH$131,$E97,0)</f>
        <v>71.985973395221137</v>
      </c>
      <c r="AF97" s="24">
        <f ca="1">OFFSET(FTRA!AI$131,$E97,0)</f>
        <v>76.047176352160079</v>
      </c>
      <c r="AG97" s="24">
        <f ca="1">OFFSET(FTRA!AJ$131,$E97,0)</f>
        <v>80.108379309099021</v>
      </c>
      <c r="AH97" s="24">
        <f ca="1">OFFSET(FTRA!AK$131,$E97,0)</f>
        <v>84.169582266037963</v>
      </c>
      <c r="AI97" s="24">
        <f ca="1">OFFSET(FTRA!AL$131,$E97,0)</f>
        <v>88.230785222976934</v>
      </c>
      <c r="AJ97" s="24">
        <f ca="1">OFFSET(FTRA!AM$131,$E97,0)</f>
        <v>123.71772856379623</v>
      </c>
      <c r="AK97" s="24">
        <f ca="1">OFFSET(FTRA!AN$131,$E97,0)</f>
        <v>159.20467190461548</v>
      </c>
      <c r="AL97" s="24">
        <f ca="1">OFFSET(FTRA!AO$131,$E97,0)</f>
        <v>159.20467190461548</v>
      </c>
      <c r="AM97" s="24">
        <f ca="1">OFFSET(FTRA!AP$131,$E97,0)</f>
        <v>159.20467190461548</v>
      </c>
    </row>
    <row r="98" spans="1:39">
      <c r="A98" s="36" t="s">
        <v>384</v>
      </c>
      <c r="B98">
        <v>26</v>
      </c>
      <c r="E98" s="142">
        <f>MATCH(F98,FTRA!$D$132:$D$144,0)</f>
        <v>12</v>
      </c>
      <c r="F98" s="4" t="str">
        <f>A98</f>
        <v>TFROT</v>
      </c>
      <c r="G98" s="24">
        <f ca="1">OFFSET(FTRA!J$131,$E98,0)</f>
        <v>25.1</v>
      </c>
      <c r="H98" s="24">
        <f ca="1">OFFSET(FTRA!K$131,$E98,0)</f>
        <v>25.502108304700894</v>
      </c>
      <c r="I98" s="24">
        <f ca="1">OFFSET(FTRA!L$131,$E98,0)</f>
        <v>25.904216609401786</v>
      </c>
      <c r="J98" s="24">
        <f ca="1">OFFSET(FTRA!M$131,$E98,0)</f>
        <v>26.306324914102674</v>
      </c>
      <c r="K98" s="24">
        <f ca="1">OFFSET(FTRA!N$131,$E98,0)</f>
        <v>26.655927661818367</v>
      </c>
      <c r="L98" s="24">
        <f ca="1">OFFSET(FTRA!O$131,$E98,0)</f>
        <v>27.00553040953406</v>
      </c>
      <c r="M98" s="24">
        <f ca="1">OFFSET(FTRA!P$131,$E98,0)</f>
        <v>26.565412711380571</v>
      </c>
      <c r="N98" s="24">
        <f ca="1">OFFSET(FTRA!Q$131,$E98,0)</f>
        <v>26.125295013227081</v>
      </c>
      <c r="O98" s="24">
        <f ca="1">OFFSET(FTRA!R$131,$E98,0)</f>
        <v>25.685177315073595</v>
      </c>
      <c r="P98" s="24">
        <f ca="1">OFFSET(FTRA!S$131,$E98,0)</f>
        <v>26.690972582655952</v>
      </c>
      <c r="Q98" s="24">
        <f ca="1">OFFSET(FTRA!T$131,$E98,0)</f>
        <v>27.696767850238309</v>
      </c>
      <c r="R98" s="24">
        <f ca="1">OFFSET(FTRA!U$131,$E98,0)</f>
        <v>28.702563117820667</v>
      </c>
      <c r="S98" s="24">
        <f ca="1">OFFSET(FTRA!V$131,$E98,0)</f>
        <v>29.708358385403024</v>
      </c>
      <c r="T98" s="24">
        <f ca="1">OFFSET(FTRA!W$131,$E98,0)</f>
        <v>30.714153652985381</v>
      </c>
      <c r="U98" s="24">
        <f ca="1">OFFSET(FTRA!X$131,$E98,0)</f>
        <v>31.719948920567738</v>
      </c>
      <c r="V98" s="24">
        <f ca="1">OFFSET(FTRA!Y$131,$E98,0)</f>
        <v>32.725744188150095</v>
      </c>
      <c r="W98" s="24">
        <f ca="1">OFFSET(FTRA!Z$131,$E98,0)</f>
        <v>33.731539455732452</v>
      </c>
      <c r="X98" s="24">
        <f ca="1">OFFSET(FTRA!AA$131,$E98,0)</f>
        <v>34.73733472331481</v>
      </c>
      <c r="Y98" s="24">
        <f ca="1">OFFSET(FTRA!AB$131,$E98,0)</f>
        <v>35.743129990897167</v>
      </c>
      <c r="Z98" s="24">
        <f ca="1">OFFSET(FTRA!AC$131,$E98,0)</f>
        <v>37.366103171087573</v>
      </c>
      <c r="AA98" s="24">
        <f ca="1">OFFSET(FTRA!AD$131,$E98,0)</f>
        <v>38.98907635127798</v>
      </c>
      <c r="AB98" s="24">
        <f ca="1">OFFSET(FTRA!AE$131,$E98,0)</f>
        <v>40.612049531468386</v>
      </c>
      <c r="AC98" s="24">
        <f ca="1">OFFSET(FTRA!AF$131,$E98,0)</f>
        <v>42.235022711658793</v>
      </c>
      <c r="AD98" s="24">
        <f ca="1">OFFSET(FTRA!AG$131,$E98,0)</f>
        <v>43.8579958918492</v>
      </c>
      <c r="AE98" s="24">
        <f ca="1">OFFSET(FTRA!AH$131,$E98,0)</f>
        <v>45.480969072039606</v>
      </c>
      <c r="AF98" s="24">
        <f ca="1">OFFSET(FTRA!AI$131,$E98,0)</f>
        <v>47.103942252230013</v>
      </c>
      <c r="AG98" s="24">
        <f ca="1">OFFSET(FTRA!AJ$131,$E98,0)</f>
        <v>48.726915432420419</v>
      </c>
      <c r="AH98" s="24">
        <f ca="1">OFFSET(FTRA!AK$131,$E98,0)</f>
        <v>50.349888612610826</v>
      </c>
      <c r="AI98" s="24">
        <f ca="1">OFFSET(FTRA!AL$131,$E98,0)</f>
        <v>51.972861792801233</v>
      </c>
      <c r="AJ98" s="24">
        <f ca="1">OFFSET(FTRA!AM$131,$E98,0)</f>
        <v>65.170422943406763</v>
      </c>
      <c r="AK98" s="24">
        <f ca="1">OFFSET(FTRA!AN$131,$E98,0)</f>
        <v>78.367984094012272</v>
      </c>
      <c r="AL98" s="24">
        <f ca="1">OFFSET(FTRA!AO$131,$E98,0)</f>
        <v>78.367984094012272</v>
      </c>
      <c r="AM98" s="24">
        <f ca="1">OFFSET(FTRA!AP$131,$E98,0)</f>
        <v>78.367984094012272</v>
      </c>
    </row>
    <row r="99" spans="1:39">
      <c r="A99" s="36" t="s">
        <v>383</v>
      </c>
      <c r="B99">
        <v>67</v>
      </c>
      <c r="E99" s="141">
        <f>MATCH(F99,FTRA!$D$132:$D$144,0)</f>
        <v>13</v>
      </c>
      <c r="F99" s="4" t="str">
        <f t="shared" si="1"/>
        <v>TFREX</v>
      </c>
      <c r="G99" s="24">
        <f ca="1">OFFSET(FTRA!J$131,$E99,0)</f>
        <v>82</v>
      </c>
      <c r="H99" s="24">
        <f ca="1">OFFSET(FTRA!K$131,$E99,0)</f>
        <v>82</v>
      </c>
      <c r="I99" s="24">
        <f ca="1">OFFSET(FTRA!L$131,$E99,0)</f>
        <v>82</v>
      </c>
      <c r="J99" s="24">
        <f ca="1">OFFSET(FTRA!M$131,$E99,0)</f>
        <v>82</v>
      </c>
      <c r="K99" s="24">
        <f ca="1">OFFSET(FTRA!N$131,$E99,0)</f>
        <v>82</v>
      </c>
      <c r="L99" s="24">
        <f ca="1">OFFSET(FTRA!O$131,$E99,0)</f>
        <v>82</v>
      </c>
      <c r="M99" s="24">
        <f ca="1">OFFSET(FTRA!P$131,$E99,0)</f>
        <v>79.765410049200213</v>
      </c>
      <c r="N99" s="24">
        <f ca="1">OFFSET(FTRA!Q$131,$E99,0)</f>
        <v>77.530820098400426</v>
      </c>
      <c r="O99" s="24">
        <f ca="1">OFFSET(FTRA!R$131,$E99,0)</f>
        <v>75.296230147600639</v>
      </c>
      <c r="P99" s="24">
        <f ca="1">OFFSET(FTRA!S$131,$E99,0)</f>
        <v>77.385088910650026</v>
      </c>
      <c r="Q99" s="24">
        <f ca="1">OFFSET(FTRA!T$131,$E99,0)</f>
        <v>79.473947673699413</v>
      </c>
      <c r="R99" s="24">
        <f ca="1">OFFSET(FTRA!U$131,$E99,0)</f>
        <v>81.562806436748801</v>
      </c>
      <c r="S99" s="24">
        <f ca="1">OFFSET(FTRA!V$131,$E99,0)</f>
        <v>83.651665199798188</v>
      </c>
      <c r="T99" s="24">
        <f ca="1">OFFSET(FTRA!W$131,$E99,0)</f>
        <v>85.740523962847575</v>
      </c>
      <c r="U99" s="24">
        <f ca="1">OFFSET(FTRA!X$131,$E99,0)</f>
        <v>87.829382725896963</v>
      </c>
      <c r="V99" s="24">
        <f ca="1">OFFSET(FTRA!Y$131,$E99,0)</f>
        <v>89.91824148894635</v>
      </c>
      <c r="W99" s="24">
        <f ca="1">OFFSET(FTRA!Z$131,$E99,0)</f>
        <v>92.007100251995737</v>
      </c>
      <c r="X99" s="24">
        <f ca="1">OFFSET(FTRA!AA$131,$E99,0)</f>
        <v>94.095959015045125</v>
      </c>
      <c r="Y99" s="24">
        <f ca="1">OFFSET(FTRA!AB$131,$E99,0)</f>
        <v>96.184817778094512</v>
      </c>
      <c r="Z99" s="24">
        <f ca="1">OFFSET(FTRA!AC$131,$E99,0)</f>
        <v>99.447523086599105</v>
      </c>
      <c r="AA99" s="24">
        <f ca="1">OFFSET(FTRA!AD$131,$E99,0)</f>
        <v>102.7102283951037</v>
      </c>
      <c r="AB99" s="24">
        <f ca="1">OFFSET(FTRA!AE$131,$E99,0)</f>
        <v>105.97293370360829</v>
      </c>
      <c r="AC99" s="24">
        <f ca="1">OFFSET(FTRA!AF$131,$E99,0)</f>
        <v>109.23563901211288</v>
      </c>
      <c r="AD99" s="24">
        <f ca="1">OFFSET(FTRA!AG$131,$E99,0)</f>
        <v>112.49834432061748</v>
      </c>
      <c r="AE99" s="24">
        <f ca="1">OFFSET(FTRA!AH$131,$E99,0)</f>
        <v>115.76104962912207</v>
      </c>
      <c r="AF99" s="24">
        <f ca="1">OFFSET(FTRA!AI$131,$E99,0)</f>
        <v>119.02375493762666</v>
      </c>
      <c r="AG99" s="24">
        <f ca="1">OFFSET(FTRA!AJ$131,$E99,0)</f>
        <v>122.28646024613126</v>
      </c>
      <c r="AH99" s="24">
        <f ca="1">OFFSET(FTRA!AK$131,$E99,0)</f>
        <v>125.54916555463585</v>
      </c>
      <c r="AI99" s="24">
        <f ca="1">OFFSET(FTRA!AL$131,$E99,0)</f>
        <v>128.81187086314046</v>
      </c>
      <c r="AJ99" s="24">
        <f ca="1">OFFSET(FTRA!AM$131,$E99,0)</f>
        <v>157.88701031374791</v>
      </c>
      <c r="AK99" s="24">
        <f ca="1">OFFSET(FTRA!AN$131,$E99,0)</f>
        <v>186.96214976435544</v>
      </c>
      <c r="AL99" s="24">
        <f ca="1">OFFSET(FTRA!AO$131,$E99,0)</f>
        <v>186.96214976435544</v>
      </c>
      <c r="AM99" s="24">
        <f ca="1">OFFSET(FTRA!AP$131,$E99,0)</f>
        <v>186.96214976435544</v>
      </c>
    </row>
    <row r="100" spans="1:39">
      <c r="A100" s="36" t="s">
        <v>128</v>
      </c>
      <c r="B100">
        <v>73.203613436309993</v>
      </c>
      <c r="E100" s="140">
        <f>MATCH(F100,PTRA!$D$214:$D$221,0)</f>
        <v>1</v>
      </c>
      <c r="F100" s="4" t="str">
        <f t="shared" si="1"/>
        <v>TPPRCAR</v>
      </c>
      <c r="G100" s="24">
        <f ca="1">OFFSET(PTRA!J$213,$E100,0)</f>
        <v>81.009438001127293</v>
      </c>
      <c r="H100" s="24">
        <f ca="1">OFFSET(PTRA!K$213,$E100,0)</f>
        <v>83.52813729379011</v>
      </c>
      <c r="I100" s="24">
        <f ca="1">OFFSET(PTRA!L$213,$E100,0)</f>
        <v>86.046836586452926</v>
      </c>
      <c r="J100" s="24">
        <f ca="1">OFFSET(PTRA!M$213,$E100,0)</f>
        <v>88.565535879115743</v>
      </c>
      <c r="K100" s="24">
        <f ca="1">OFFSET(PTRA!N$213,$E100,0)</f>
        <v>90.686795310603856</v>
      </c>
      <c r="L100" s="24">
        <f ca="1">OFFSET(PTRA!O$213,$E100,0)</f>
        <v>92.808054742091983</v>
      </c>
      <c r="M100" s="24">
        <f ca="1">OFFSET(PTRA!P$213,$E100,0)</f>
        <v>93.443648036302946</v>
      </c>
      <c r="N100" s="24">
        <f ca="1">OFFSET(PTRA!Q$213,$E100,0)</f>
        <v>94.079241330513909</v>
      </c>
      <c r="O100" s="24">
        <f ca="1">OFFSET(PTRA!R$213,$E100,0)</f>
        <v>94.714834624724887</v>
      </c>
      <c r="P100" s="24">
        <f ca="1">OFFSET(PTRA!S$213,$E100,0)</f>
        <v>98.857872371786286</v>
      </c>
      <c r="Q100" s="24">
        <f ca="1">OFFSET(PTRA!T$213,$E100,0)</f>
        <v>103.00091011884768</v>
      </c>
      <c r="R100" s="24">
        <f ca="1">OFFSET(PTRA!U$213,$E100,0)</f>
        <v>107.14394786590908</v>
      </c>
      <c r="S100" s="24">
        <f ca="1">OFFSET(PTRA!V$213,$E100,0)</f>
        <v>111.28698561297048</v>
      </c>
      <c r="T100" s="24">
        <f ca="1">OFFSET(PTRA!W$213,$E100,0)</f>
        <v>115.43002336003188</v>
      </c>
      <c r="U100" s="24">
        <f ca="1">OFFSET(PTRA!X$213,$E100,0)</f>
        <v>119.57306110709328</v>
      </c>
      <c r="V100" s="24">
        <f ca="1">OFFSET(PTRA!Y$213,$E100,0)</f>
        <v>123.71609885415468</v>
      </c>
      <c r="W100" s="24">
        <f ca="1">OFFSET(PTRA!Z$213,$E100,0)</f>
        <v>127.85913660121608</v>
      </c>
      <c r="X100" s="24">
        <f ca="1">OFFSET(PTRA!AA$213,$E100,0)</f>
        <v>132.00217434827749</v>
      </c>
      <c r="Y100" s="24">
        <f ca="1">OFFSET(PTRA!AB$213,$E100,0)</f>
        <v>136.14521209533891</v>
      </c>
      <c r="Z100" s="24">
        <f ca="1">OFFSET(PTRA!AC$213,$E100,0)</f>
        <v>140.79346919249522</v>
      </c>
      <c r="AA100" s="24">
        <f ca="1">OFFSET(PTRA!AD$213,$E100,0)</f>
        <v>145.44172628965154</v>
      </c>
      <c r="AB100" s="24">
        <f ca="1">OFFSET(PTRA!AE$213,$E100,0)</f>
        <v>150.08998338680786</v>
      </c>
      <c r="AC100" s="24">
        <f ca="1">OFFSET(PTRA!AF$213,$E100,0)</f>
        <v>154.73824048396418</v>
      </c>
      <c r="AD100" s="24">
        <f ca="1">OFFSET(PTRA!AG$213,$E100,0)</f>
        <v>159.38649758112049</v>
      </c>
      <c r="AE100" s="24">
        <f ca="1">OFFSET(PTRA!AH$213,$E100,0)</f>
        <v>164.03475467827681</v>
      </c>
      <c r="AF100" s="24">
        <f ca="1">OFFSET(PTRA!AI$213,$E100,0)</f>
        <v>168.68301177543313</v>
      </c>
      <c r="AG100" s="24">
        <f ca="1">OFFSET(PTRA!AJ$213,$E100,0)</f>
        <v>173.33126887258945</v>
      </c>
      <c r="AH100" s="24">
        <f ca="1">OFFSET(PTRA!AK$213,$E100,0)</f>
        <v>177.97952596974577</v>
      </c>
      <c r="AI100" s="24">
        <f ca="1">OFFSET(PTRA!AL$213,$E100,0)</f>
        <v>182.62778306690217</v>
      </c>
      <c r="AJ100" s="24">
        <f ca="1">OFFSET(PTRA!AM$213,$E100,0)</f>
        <v>202.1515280550031</v>
      </c>
      <c r="AK100" s="24">
        <f ca="1">OFFSET(PTRA!AN$213,$E100,0)</f>
        <v>221.67527304310403</v>
      </c>
      <c r="AL100" s="24">
        <f ca="1">OFFSET(PTRA!AO$213,$E100,0)</f>
        <v>221.67527304310403</v>
      </c>
      <c r="AM100" s="24">
        <f ca="1">OFFSET(PTRA!AP$213,$E100,0)</f>
        <v>221.67527304310403</v>
      </c>
    </row>
    <row r="101" spans="1:39">
      <c r="A101" s="36" t="s">
        <v>183</v>
      </c>
      <c r="B101">
        <v>2.2210937076119999</v>
      </c>
      <c r="E101" s="141">
        <f>MATCH(F101,PTRA!$D$214:$D$221,0)</f>
        <v>3</v>
      </c>
      <c r="F101" s="4" t="str">
        <f t="shared" si="1"/>
        <v>TPPRMOT</v>
      </c>
      <c r="G101" s="24">
        <f ca="1">OFFSET(PTRA!J$213,$E101,0)</f>
        <v>3.1707811479382442</v>
      </c>
      <c r="H101" s="24">
        <f ca="1">OFFSET(PTRA!K$213,$E101,0)</f>
        <v>2.9655315533815689</v>
      </c>
      <c r="I101" s="24">
        <f ca="1">OFFSET(PTRA!L$213,$E101,0)</f>
        <v>2.7602819588248937</v>
      </c>
      <c r="J101" s="24">
        <f ca="1">OFFSET(PTRA!M$213,$E101,0)</f>
        <v>2.555032364268218</v>
      </c>
      <c r="K101" s="24">
        <f ca="1">OFFSET(PTRA!N$213,$E101,0)</f>
        <v>2.6162287026256017</v>
      </c>
      <c r="L101" s="24">
        <f ca="1">OFFSET(PTRA!O$213,$E101,0)</f>
        <v>2.6774250409829849</v>
      </c>
      <c r="M101" s="24">
        <f ca="1">OFFSET(PTRA!P$213,$E101,0)</f>
        <v>2.6869960713669889</v>
      </c>
      <c r="N101" s="24">
        <f ca="1">OFFSET(PTRA!Q$213,$E101,0)</f>
        <v>2.6965671017509929</v>
      </c>
      <c r="O101" s="24">
        <f ca="1">OFFSET(PTRA!R$213,$E101,0)</f>
        <v>2.7061381321349973</v>
      </c>
      <c r="P101" s="24">
        <f ca="1">OFFSET(PTRA!S$213,$E101,0)</f>
        <v>2.8520582716223806</v>
      </c>
      <c r="Q101" s="24">
        <f ca="1">OFFSET(PTRA!T$213,$E101,0)</f>
        <v>2.9979784111097638</v>
      </c>
      <c r="R101" s="24">
        <f ca="1">OFFSET(PTRA!U$213,$E101,0)</f>
        <v>3.1438985505971471</v>
      </c>
      <c r="S101" s="24">
        <f ca="1">OFFSET(PTRA!V$213,$E101,0)</f>
        <v>3.2898186900845303</v>
      </c>
      <c r="T101" s="24">
        <f ca="1">OFFSET(PTRA!W$213,$E101,0)</f>
        <v>3.4357388295719136</v>
      </c>
      <c r="U101" s="24">
        <f ca="1">OFFSET(PTRA!X$213,$E101,0)</f>
        <v>3.5816589690592968</v>
      </c>
      <c r="V101" s="24">
        <f ca="1">OFFSET(PTRA!Y$213,$E101,0)</f>
        <v>3.7275791085466801</v>
      </c>
      <c r="W101" s="24">
        <f ca="1">OFFSET(PTRA!Z$213,$E101,0)</f>
        <v>3.8734992480340633</v>
      </c>
      <c r="X101" s="24">
        <f ca="1">OFFSET(PTRA!AA$213,$E101,0)</f>
        <v>4.0194193875214461</v>
      </c>
      <c r="Y101" s="24">
        <f ca="1">OFFSET(PTRA!AB$213,$E101,0)</f>
        <v>4.1653395270088289</v>
      </c>
      <c r="Z101" s="24">
        <f ca="1">OFFSET(PTRA!AC$213,$E101,0)</f>
        <v>4.3505326660954555</v>
      </c>
      <c r="AA101" s="24">
        <f ca="1">OFFSET(PTRA!AD$213,$E101,0)</f>
        <v>4.5357258051820821</v>
      </c>
      <c r="AB101" s="24">
        <f ca="1">OFFSET(PTRA!AE$213,$E101,0)</f>
        <v>4.7209189442687087</v>
      </c>
      <c r="AC101" s="24">
        <f ca="1">OFFSET(PTRA!AF$213,$E101,0)</f>
        <v>4.9061120833553353</v>
      </c>
      <c r="AD101" s="24">
        <f ca="1">OFFSET(PTRA!AG$213,$E101,0)</f>
        <v>5.0913052224419619</v>
      </c>
      <c r="AE101" s="24">
        <f ca="1">OFFSET(PTRA!AH$213,$E101,0)</f>
        <v>5.2764983615285885</v>
      </c>
      <c r="AF101" s="24">
        <f ca="1">OFFSET(PTRA!AI$213,$E101,0)</f>
        <v>5.4616915006152151</v>
      </c>
      <c r="AG101" s="24">
        <f ca="1">OFFSET(PTRA!AJ$213,$E101,0)</f>
        <v>5.6468846397018417</v>
      </c>
      <c r="AH101" s="24">
        <f ca="1">OFFSET(PTRA!AK$213,$E101,0)</f>
        <v>5.8320777787884683</v>
      </c>
      <c r="AI101" s="24">
        <f ca="1">OFFSET(PTRA!AL$213,$E101,0)</f>
        <v>6.0172709178750976</v>
      </c>
      <c r="AJ101" s="24">
        <f ca="1">OFFSET(PTRA!AM$213,$E101,0)</f>
        <v>6.9648704593539996</v>
      </c>
      <c r="AK101" s="24">
        <f ca="1">OFFSET(PTRA!AN$213,$E101,0)</f>
        <v>7.9124700008329016</v>
      </c>
      <c r="AL101" s="24">
        <f ca="1">OFFSET(PTRA!AO$213,$E101,0)</f>
        <v>7.9124700008329016</v>
      </c>
      <c r="AM101" s="24">
        <f ca="1">OFFSET(PTRA!AP$213,$E101,0)</f>
        <v>7.9124700008329016</v>
      </c>
    </row>
    <row r="102" spans="1:39">
      <c r="A102" s="36" t="s">
        <v>127</v>
      </c>
      <c r="B102">
        <v>9.7306216335790001</v>
      </c>
      <c r="E102" s="141">
        <f>MATCH(F102,PTRA!$D$214:$D$221,0)</f>
        <v>2</v>
      </c>
      <c r="F102" s="4" t="str">
        <f t="shared" si="1"/>
        <v>TPPRSUV</v>
      </c>
      <c r="G102" s="24">
        <f ca="1">OFFSET(PTRA!J$213,$E102,0)</f>
        <v>9.3016229013555076</v>
      </c>
      <c r="H102" s="24">
        <f ca="1">OFFSET(PTRA!K$213,$E102,0)</f>
        <v>9.5908236611723368</v>
      </c>
      <c r="I102" s="24">
        <f ca="1">OFFSET(PTRA!L$213,$E102,0)</f>
        <v>9.8800244209891659</v>
      </c>
      <c r="J102" s="24">
        <f ca="1">OFFSET(PTRA!M$213,$E102,0)</f>
        <v>10.169225180805997</v>
      </c>
      <c r="K102" s="24">
        <f ca="1">OFFSET(PTRA!N$213,$E102,0)</f>
        <v>10.41279131080892</v>
      </c>
      <c r="L102" s="24">
        <f ca="1">OFFSET(PTRA!O$213,$E102,0)</f>
        <v>10.656357440811842</v>
      </c>
      <c r="M102" s="24">
        <f ca="1">OFFSET(PTRA!P$213,$E102,0)</f>
        <v>10.712422470054557</v>
      </c>
      <c r="N102" s="24">
        <f ca="1">OFFSET(PTRA!Q$213,$E102,0)</f>
        <v>10.768487499297272</v>
      </c>
      <c r="O102" s="24">
        <f ca="1">OFFSET(PTRA!R$213,$E102,0)</f>
        <v>10.824552528539989</v>
      </c>
      <c r="P102" s="24">
        <f ca="1">OFFSET(PTRA!S$213,$E102,0)</f>
        <v>11.289411944464236</v>
      </c>
      <c r="Q102" s="24">
        <f ca="1">OFFSET(PTRA!T$213,$E102,0)</f>
        <v>11.754271360388483</v>
      </c>
      <c r="R102" s="24">
        <f ca="1">OFFSET(PTRA!U$213,$E102,0)</f>
        <v>12.219130776312729</v>
      </c>
      <c r="S102" s="24">
        <f ca="1">OFFSET(PTRA!V$213,$E102,0)</f>
        <v>12.683990192236976</v>
      </c>
      <c r="T102" s="24">
        <f ca="1">OFFSET(PTRA!W$213,$E102,0)</f>
        <v>13.148849608161223</v>
      </c>
      <c r="U102" s="24">
        <f ca="1">OFFSET(PTRA!X$213,$E102,0)</f>
        <v>13.61370902408547</v>
      </c>
      <c r="V102" s="24">
        <f ca="1">OFFSET(PTRA!Y$213,$E102,0)</f>
        <v>14.078568440009716</v>
      </c>
      <c r="W102" s="24">
        <f ca="1">OFFSET(PTRA!Z$213,$E102,0)</f>
        <v>14.543427855933963</v>
      </c>
      <c r="X102" s="24">
        <f ca="1">OFFSET(PTRA!AA$213,$E102,0)</f>
        <v>15.00828727185821</v>
      </c>
      <c r="Y102" s="24">
        <f ca="1">OFFSET(PTRA!AB$213,$E102,0)</f>
        <v>15.47314668778245</v>
      </c>
      <c r="Z102" s="24">
        <f ca="1">OFFSET(PTRA!AC$213,$E102,0)</f>
        <v>16.001429414731817</v>
      </c>
      <c r="AA102" s="24">
        <f ca="1">OFFSET(PTRA!AD$213,$E102,0)</f>
        <v>16.529712141681184</v>
      </c>
      <c r="AB102" s="24">
        <f ca="1">OFFSET(PTRA!AE$213,$E102,0)</f>
        <v>17.057994868630551</v>
      </c>
      <c r="AC102" s="24">
        <f ca="1">OFFSET(PTRA!AF$213,$E102,0)</f>
        <v>17.586277595579919</v>
      </c>
      <c r="AD102" s="24">
        <f ca="1">OFFSET(PTRA!AG$213,$E102,0)</f>
        <v>18.114560322529286</v>
      </c>
      <c r="AE102" s="24">
        <f ca="1">OFFSET(PTRA!AH$213,$E102,0)</f>
        <v>18.642843049478653</v>
      </c>
      <c r="AF102" s="24">
        <f ca="1">OFFSET(PTRA!AI$213,$E102,0)</f>
        <v>19.171125776428021</v>
      </c>
      <c r="AG102" s="24">
        <f ca="1">OFFSET(PTRA!AJ$213,$E102,0)</f>
        <v>19.699408503377388</v>
      </c>
      <c r="AH102" s="24">
        <f ca="1">OFFSET(PTRA!AK$213,$E102,0)</f>
        <v>20.227691230326755</v>
      </c>
      <c r="AI102" s="24">
        <f ca="1">OFFSET(PTRA!AL$213,$E102,0)</f>
        <v>20.755973957276126</v>
      </c>
      <c r="AJ102" s="24">
        <f ca="1">OFFSET(PTRA!AM$213,$E102,0)</f>
        <v>22.974882470079315</v>
      </c>
      <c r="AK102" s="24">
        <f ca="1">OFFSET(PTRA!AN$213,$E102,0)</f>
        <v>25.193790982882504</v>
      </c>
      <c r="AL102" s="24">
        <f ca="1">OFFSET(PTRA!AO$213,$E102,0)</f>
        <v>25.193790982882504</v>
      </c>
      <c r="AM102" s="24">
        <f ca="1">OFFSET(PTRA!AP$213,$E102,0)</f>
        <v>25.193790982882504</v>
      </c>
    </row>
    <row r="103" spans="1:39">
      <c r="A103" s="36" t="s">
        <v>131</v>
      </c>
      <c r="B103" t="s">
        <v>386</v>
      </c>
      <c r="E103" s="141">
        <f>MATCH(F103,PTRA!$D$214:$D$221,0)</f>
        <v>6</v>
      </c>
      <c r="F103" s="4" t="str">
        <f t="shared" si="1"/>
        <v>TPPUBRT</v>
      </c>
      <c r="G103" s="24">
        <f ca="1">OFFSET(PTRA!J$213,$E103,0)</f>
        <v>0</v>
      </c>
      <c r="H103" s="24">
        <f ca="1">OFFSET(PTRA!K$213,$E103,0)</f>
        <v>2.1759818838773513E-2</v>
      </c>
      <c r="I103" s="24">
        <f ca="1">OFFSET(PTRA!L$213,$E103,0)</f>
        <v>2.2269527608859568E-2</v>
      </c>
      <c r="J103" s="24">
        <f ca="1">OFFSET(PTRA!M$213,$E103,0)</f>
        <v>2.2779236378945623E-2</v>
      </c>
      <c r="K103" s="24">
        <f ca="1">OFFSET(PTRA!N$213,$E103,0)</f>
        <v>2.3332554130568846E-2</v>
      </c>
      <c r="L103" s="24">
        <f ca="1">OFFSET(PTRA!O$213,$E103,0)</f>
        <v>2.3885871882192072E-2</v>
      </c>
      <c r="M103" s="24">
        <f ca="1">OFFSET(PTRA!P$213,$E103,0)</f>
        <v>9.1667042587128045E-2</v>
      </c>
      <c r="N103" s="24">
        <f ca="1">OFFSET(PTRA!Q$213,$E103,0)</f>
        <v>0.15944821329206402</v>
      </c>
      <c r="O103" s="24">
        <f ca="1">OFFSET(PTRA!R$213,$E103,0)</f>
        <v>0.22722938399699999</v>
      </c>
      <c r="P103" s="24">
        <f ca="1">OFFSET(PTRA!S$213,$E103,0)</f>
        <v>0.26599098859130993</v>
      </c>
      <c r="Q103" s="24">
        <f ca="1">OFFSET(PTRA!T$213,$E103,0)</f>
        <v>0.30475259318561987</v>
      </c>
      <c r="R103" s="24">
        <f ca="1">OFFSET(PTRA!U$213,$E103,0)</f>
        <v>0.34351419777992981</v>
      </c>
      <c r="S103" s="24">
        <f ca="1">OFFSET(PTRA!V$213,$E103,0)</f>
        <v>0.38227580237423975</v>
      </c>
      <c r="T103" s="24">
        <f ca="1">OFFSET(PTRA!W$213,$E103,0)</f>
        <v>0.42103740696854969</v>
      </c>
      <c r="U103" s="24">
        <f ca="1">OFFSET(PTRA!X$213,$E103,0)</f>
        <v>0.45979901156285963</v>
      </c>
      <c r="V103" s="24">
        <f ca="1">OFFSET(PTRA!Y$213,$E103,0)</f>
        <v>0.49856061615716957</v>
      </c>
      <c r="W103" s="24">
        <f ca="1">OFFSET(PTRA!Z$213,$E103,0)</f>
        <v>0.53732222075147951</v>
      </c>
      <c r="X103" s="24">
        <f ca="1">OFFSET(PTRA!AA$213,$E103,0)</f>
        <v>0.57608382534578939</v>
      </c>
      <c r="Y103" s="24">
        <f ca="1">OFFSET(PTRA!AB$213,$E103,0)</f>
        <v>0.61484542994009928</v>
      </c>
      <c r="Z103" s="24">
        <f ca="1">OFFSET(PTRA!AC$213,$E103,0)</f>
        <v>0.67260062497200301</v>
      </c>
      <c r="AA103" s="24">
        <f ca="1">OFFSET(PTRA!AD$213,$E103,0)</f>
        <v>0.73035582000390675</v>
      </c>
      <c r="AB103" s="24">
        <f ca="1">OFFSET(PTRA!AE$213,$E103,0)</f>
        <v>0.78811101503581049</v>
      </c>
      <c r="AC103" s="24">
        <f ca="1">OFFSET(PTRA!AF$213,$E103,0)</f>
        <v>0.84586621006771423</v>
      </c>
      <c r="AD103" s="24">
        <f ca="1">OFFSET(PTRA!AG$213,$E103,0)</f>
        <v>0.90362140509961797</v>
      </c>
      <c r="AE103" s="24">
        <f ca="1">OFFSET(PTRA!AH$213,$E103,0)</f>
        <v>0.96137660013152171</v>
      </c>
      <c r="AF103" s="24">
        <f ca="1">OFFSET(PTRA!AI$213,$E103,0)</f>
        <v>1.0191317951634253</v>
      </c>
      <c r="AG103" s="24">
        <f ca="1">OFFSET(PTRA!AJ$213,$E103,0)</f>
        <v>1.0768869901953291</v>
      </c>
      <c r="AH103" s="24">
        <f ca="1">OFFSET(PTRA!AK$213,$E103,0)</f>
        <v>1.1346421852272328</v>
      </c>
      <c r="AI103" s="24">
        <f ca="1">OFFSET(PTRA!AL$213,$E103,0)</f>
        <v>1.1923973802591366</v>
      </c>
      <c r="AJ103" s="24">
        <f ca="1">OFFSET(PTRA!AM$213,$E103,0)</f>
        <v>1.4810769586161905</v>
      </c>
      <c r="AK103" s="24">
        <f ca="1">OFFSET(PTRA!AN$213,$E103,0)</f>
        <v>1.7697565369732444</v>
      </c>
      <c r="AL103" s="24">
        <f ca="1">OFFSET(PTRA!AO$213,$E103,0)</f>
        <v>1.7697565369732444</v>
      </c>
      <c r="AM103" s="24">
        <f ca="1">OFFSET(PTRA!AP$213,$E103,0)</f>
        <v>1.7697565369732444</v>
      </c>
    </row>
    <row r="104" spans="1:39">
      <c r="A104" s="36" t="s">
        <v>129</v>
      </c>
      <c r="B104">
        <v>0.62801975359410001</v>
      </c>
      <c r="E104" s="141">
        <f>MATCH(F104,PTRA!$D$214:$D$221,0)</f>
        <v>4</v>
      </c>
      <c r="F104" s="4" t="str">
        <f t="shared" si="1"/>
        <v>TPPUBUS</v>
      </c>
      <c r="G104" s="24">
        <f ca="1">OFFSET(PTRA!J$213,$E104,0)</f>
        <v>1.4990333520535337</v>
      </c>
      <c r="H104" s="24">
        <f ca="1">OFFSET(PTRA!K$213,$E104,0)</f>
        <v>0.6286609931450593</v>
      </c>
      <c r="I104" s="24">
        <f ca="1">OFFSET(PTRA!L$213,$E104,0)</f>
        <v>0.63933049657252961</v>
      </c>
      <c r="J104" s="24">
        <f ca="1">OFFSET(PTRA!M$213,$E104,0)</f>
        <v>0.65</v>
      </c>
      <c r="K104" s="24">
        <f ca="1">OFFSET(PTRA!N$213,$E104,0)</f>
        <v>0.66077214814486951</v>
      </c>
      <c r="L104" s="24">
        <f ca="1">OFFSET(PTRA!O$213,$E104,0)</f>
        <v>0.671544296289739</v>
      </c>
      <c r="M104" s="24">
        <f ca="1">OFFSET(PTRA!P$213,$E104,0)</f>
        <v>0.87798396883399099</v>
      </c>
      <c r="N104" s="24">
        <f ca="1">OFFSET(PTRA!Q$213,$E104,0)</f>
        <v>1.0844236413782431</v>
      </c>
      <c r="O104" s="24">
        <f ca="1">OFFSET(PTRA!R$213,$E104,0)</f>
        <v>1.290863313922495</v>
      </c>
      <c r="P104" s="24">
        <f ca="1">OFFSET(PTRA!S$213,$E104,0)</f>
        <v>1.2506905520637515</v>
      </c>
      <c r="Q104" s="24">
        <f ca="1">OFFSET(PTRA!T$213,$E104,0)</f>
        <v>1.2105177902050079</v>
      </c>
      <c r="R104" s="24">
        <f ca="1">OFFSET(PTRA!U$213,$E104,0)</f>
        <v>1.1703450283462644</v>
      </c>
      <c r="S104" s="24">
        <f ca="1">OFFSET(PTRA!V$213,$E104,0)</f>
        <v>1.1301722664875209</v>
      </c>
      <c r="T104" s="24">
        <f ca="1">OFFSET(PTRA!W$213,$E104,0)</f>
        <v>1.0899995046287774</v>
      </c>
      <c r="U104" s="24">
        <f ca="1">OFFSET(PTRA!X$213,$E104,0)</f>
        <v>1.0498267427700338</v>
      </c>
      <c r="V104" s="24">
        <f ca="1">OFFSET(PTRA!Y$213,$E104,0)</f>
        <v>1.0096539809112903</v>
      </c>
      <c r="W104" s="24">
        <f ca="1">OFFSET(PTRA!Z$213,$E104,0)</f>
        <v>0.96948121905254669</v>
      </c>
      <c r="X104" s="24">
        <f ca="1">OFFSET(PTRA!AA$213,$E104,0)</f>
        <v>0.92930845719380306</v>
      </c>
      <c r="Y104" s="24">
        <f ca="1">OFFSET(PTRA!AB$213,$E104,0)</f>
        <v>0.88913569533505887</v>
      </c>
      <c r="Z104" s="24">
        <f ca="1">OFFSET(PTRA!AC$213,$E104,0)</f>
        <v>0.89261392158779485</v>
      </c>
      <c r="AA104" s="24">
        <f ca="1">OFFSET(PTRA!AD$213,$E104,0)</f>
        <v>0.89609214784053082</v>
      </c>
      <c r="AB104" s="24">
        <f ca="1">OFFSET(PTRA!AE$213,$E104,0)</f>
        <v>0.89957037409326679</v>
      </c>
      <c r="AC104" s="24">
        <f ca="1">OFFSET(PTRA!AF$213,$E104,0)</f>
        <v>0.90304860034600276</v>
      </c>
      <c r="AD104" s="24">
        <f ca="1">OFFSET(PTRA!AG$213,$E104,0)</f>
        <v>0.90652682659873873</v>
      </c>
      <c r="AE104" s="24">
        <f ca="1">OFFSET(PTRA!AH$213,$E104,0)</f>
        <v>0.91000505285147471</v>
      </c>
      <c r="AF104" s="24">
        <f ca="1">OFFSET(PTRA!AI$213,$E104,0)</f>
        <v>0.91348327910421068</v>
      </c>
      <c r="AG104" s="24">
        <f ca="1">OFFSET(PTRA!AJ$213,$E104,0)</f>
        <v>0.91696150535694665</v>
      </c>
      <c r="AH104" s="24">
        <f ca="1">OFFSET(PTRA!AK$213,$E104,0)</f>
        <v>0.92043973160968262</v>
      </c>
      <c r="AI104" s="24">
        <f ca="1">OFFSET(PTRA!AL$213,$E104,0)</f>
        <v>0.92391795786241804</v>
      </c>
      <c r="AJ104" s="24">
        <f ca="1">OFFSET(PTRA!AM$213,$E104,0)</f>
        <v>0.96713133450117295</v>
      </c>
      <c r="AK104" s="24">
        <f ca="1">OFFSET(PTRA!AN$213,$E104,0)</f>
        <v>1.0103447111399277</v>
      </c>
      <c r="AL104" s="24">
        <f ca="1">OFFSET(PTRA!AO$213,$E104,0)</f>
        <v>1.0103447111399277</v>
      </c>
      <c r="AM104" s="24">
        <f ca="1">OFFSET(PTRA!AP$213,$E104,0)</f>
        <v>1.0103447111399277</v>
      </c>
    </row>
    <row r="105" spans="1:39">
      <c r="A105" s="36" t="s">
        <v>133</v>
      </c>
      <c r="B105" t="s">
        <v>386</v>
      </c>
      <c r="E105" s="141">
        <f>MATCH(F105,PTRA!$D$214:$D$221,0)</f>
        <v>8</v>
      </c>
      <c r="F105" s="4" t="str">
        <f t="shared" si="1"/>
        <v>TPPUGAT</v>
      </c>
      <c r="G105" s="24">
        <f ca="1">OFFSET(PTRA!J$213,$E105,0)</f>
        <v>0</v>
      </c>
      <c r="H105" s="24">
        <f ca="1">OFFSET(PTRA!K$213,$E105,0)</f>
        <v>0.55248564192940541</v>
      </c>
      <c r="I105" s="24">
        <f ca="1">OFFSET(PTRA!L$213,$E105,0)</f>
        <v>0.57044550348095591</v>
      </c>
      <c r="J105" s="24">
        <f ca="1">OFFSET(PTRA!M$213,$E105,0)</f>
        <v>0.58840536503250629</v>
      </c>
      <c r="K105" s="24">
        <f ca="1">OFFSET(PTRA!N$213,$E105,0)</f>
        <v>0.60651580293507878</v>
      </c>
      <c r="L105" s="24">
        <f ca="1">OFFSET(PTRA!O$213,$E105,0)</f>
        <v>0.62462624083765128</v>
      </c>
      <c r="M105" s="24">
        <f ca="1">OFFSET(PTRA!P$213,$E105,0)</f>
        <v>0.62582282996645056</v>
      </c>
      <c r="N105" s="24">
        <f ca="1">OFFSET(PTRA!Q$213,$E105,0)</f>
        <v>0.62701941909524983</v>
      </c>
      <c r="O105" s="24">
        <f ca="1">OFFSET(PTRA!R$213,$E105,0)</f>
        <v>0.62821600822404911</v>
      </c>
      <c r="P105" s="24">
        <f ca="1">OFFSET(PTRA!S$213,$E105,0)</f>
        <v>0.6660006019130148</v>
      </c>
      <c r="Q105" s="24">
        <f ca="1">OFFSET(PTRA!T$213,$E105,0)</f>
        <v>0.7037851956019805</v>
      </c>
      <c r="R105" s="24">
        <f ca="1">OFFSET(PTRA!U$213,$E105,0)</f>
        <v>0.74156978929094619</v>
      </c>
      <c r="S105" s="24">
        <f ca="1">OFFSET(PTRA!V$213,$E105,0)</f>
        <v>0.77935438297991189</v>
      </c>
      <c r="T105" s="24">
        <f ca="1">OFFSET(PTRA!W$213,$E105,0)</f>
        <v>0.81713897666887758</v>
      </c>
      <c r="U105" s="24">
        <f ca="1">OFFSET(PTRA!X$213,$E105,0)</f>
        <v>0.85492357035784328</v>
      </c>
      <c r="V105" s="24">
        <f ca="1">OFFSET(PTRA!Y$213,$E105,0)</f>
        <v>0.89270816404680897</v>
      </c>
      <c r="W105" s="24">
        <f ca="1">OFFSET(PTRA!Z$213,$E105,0)</f>
        <v>0.93049275773577467</v>
      </c>
      <c r="X105" s="24">
        <f ca="1">OFFSET(PTRA!AA$213,$E105,0)</f>
        <v>0.96827735142474036</v>
      </c>
      <c r="Y105" s="24">
        <f ca="1">OFFSET(PTRA!AB$213,$E105,0)</f>
        <v>1.0060619451137058</v>
      </c>
      <c r="Z105" s="24">
        <f ca="1">OFFSET(PTRA!AC$213,$E105,0)</f>
        <v>1.0531236518525384</v>
      </c>
      <c r="AA105" s="24">
        <f ca="1">OFFSET(PTRA!AD$213,$E105,0)</f>
        <v>1.100185358591371</v>
      </c>
      <c r="AB105" s="24">
        <f ca="1">OFFSET(PTRA!AE$213,$E105,0)</f>
        <v>1.1472470653302036</v>
      </c>
      <c r="AC105" s="24">
        <f ca="1">OFFSET(PTRA!AF$213,$E105,0)</f>
        <v>1.1943087720690362</v>
      </c>
      <c r="AD105" s="24">
        <f ca="1">OFFSET(PTRA!AG$213,$E105,0)</f>
        <v>1.2413704788078688</v>
      </c>
      <c r="AE105" s="24">
        <f ca="1">OFFSET(PTRA!AH$213,$E105,0)</f>
        <v>1.2884321855467014</v>
      </c>
      <c r="AF105" s="24">
        <f ca="1">OFFSET(PTRA!AI$213,$E105,0)</f>
        <v>1.3354938922855339</v>
      </c>
      <c r="AG105" s="24">
        <f ca="1">OFFSET(PTRA!AJ$213,$E105,0)</f>
        <v>1.3825555990243665</v>
      </c>
      <c r="AH105" s="24">
        <f ca="1">OFFSET(PTRA!AK$213,$E105,0)</f>
        <v>1.4296173057631991</v>
      </c>
      <c r="AI105" s="24">
        <f ca="1">OFFSET(PTRA!AL$213,$E105,0)</f>
        <v>1.4766790125020326</v>
      </c>
      <c r="AJ105" s="24">
        <f ca="1">OFFSET(PTRA!AM$213,$E105,0)</f>
        <v>1.727821575750252</v>
      </c>
      <c r="AK105" s="24">
        <f ca="1">OFFSET(PTRA!AN$213,$E105,0)</f>
        <v>1.9789641389984713</v>
      </c>
      <c r="AL105" s="24">
        <f ca="1">OFFSET(PTRA!AO$213,$E105,0)</f>
        <v>1.9789641389984713</v>
      </c>
      <c r="AM105" s="24">
        <f ca="1">OFFSET(PTRA!AP$213,$E105,0)</f>
        <v>1.9789641389984713</v>
      </c>
    </row>
    <row r="106" spans="1:39">
      <c r="A106" s="36" t="s">
        <v>130</v>
      </c>
      <c r="B106">
        <v>8.3842691666009994</v>
      </c>
      <c r="E106" s="141">
        <f>MATCH(F106,PTRA!$D$214:$D$221,0)</f>
        <v>5</v>
      </c>
      <c r="F106" s="4" t="str">
        <f t="shared" si="1"/>
        <v>TPPUMBT</v>
      </c>
      <c r="G106" s="24">
        <f ca="1">OFFSET(PTRA!J$213,$E106,0)</f>
        <v>6.4978638621089795</v>
      </c>
      <c r="H106" s="24">
        <f ca="1">OFFSET(PTRA!K$213,$E106,0)</f>
        <v>6.2486015268855555</v>
      </c>
      <c r="I106" s="24">
        <f ca="1">OFFSET(PTRA!L$213,$E106,0)</f>
        <v>6.5743007634427784</v>
      </c>
      <c r="J106" s="24">
        <f ca="1">OFFSET(PTRA!M$213,$E106,0)</f>
        <v>6.9</v>
      </c>
      <c r="K106" s="24">
        <f ca="1">OFFSET(PTRA!N$213,$E106,0)</f>
        <v>7.0212765000000008</v>
      </c>
      <c r="L106" s="24">
        <f ca="1">OFFSET(PTRA!O$213,$E106,0)</f>
        <v>7.1425530000000004</v>
      </c>
      <c r="M106" s="24">
        <f ca="1">OFFSET(PTRA!P$213,$E106,0)</f>
        <v>7.1844490881851719</v>
      </c>
      <c r="N106" s="24">
        <f ca="1">OFFSET(PTRA!Q$213,$E106,0)</f>
        <v>7.2263451763703435</v>
      </c>
      <c r="O106" s="24">
        <f ca="1">OFFSET(PTRA!R$213,$E106,0)</f>
        <v>7.2682412645555159</v>
      </c>
      <c r="P106" s="24">
        <f ca="1">OFFSET(PTRA!S$213,$E106,0)</f>
        <v>7.3814186456377913</v>
      </c>
      <c r="Q106" s="24">
        <f ca="1">OFFSET(PTRA!T$213,$E106,0)</f>
        <v>7.4945960267200666</v>
      </c>
      <c r="R106" s="24">
        <f ca="1">OFFSET(PTRA!U$213,$E106,0)</f>
        <v>7.607773407802342</v>
      </c>
      <c r="S106" s="24">
        <f ca="1">OFFSET(PTRA!V$213,$E106,0)</f>
        <v>7.7209507888846174</v>
      </c>
      <c r="T106" s="24">
        <f ca="1">OFFSET(PTRA!W$213,$E106,0)</f>
        <v>7.8341281699668928</v>
      </c>
      <c r="U106" s="24">
        <f ca="1">OFFSET(PTRA!X$213,$E106,0)</f>
        <v>7.9473055510491681</v>
      </c>
      <c r="V106" s="24">
        <f ca="1">OFFSET(PTRA!Y$213,$E106,0)</f>
        <v>8.0604829321314444</v>
      </c>
      <c r="W106" s="24">
        <f ca="1">OFFSET(PTRA!Z$213,$E106,0)</f>
        <v>8.1736603132137198</v>
      </c>
      <c r="X106" s="24">
        <f ca="1">OFFSET(PTRA!AA$213,$E106,0)</f>
        <v>8.2868376942959951</v>
      </c>
      <c r="Y106" s="24">
        <f ca="1">OFFSET(PTRA!AB$213,$E106,0)</f>
        <v>8.4000150753782723</v>
      </c>
      <c r="Z106" s="24">
        <f ca="1">OFFSET(PTRA!AC$213,$E106,0)</f>
        <v>8.432875248591257</v>
      </c>
      <c r="AA106" s="24">
        <f ca="1">OFFSET(PTRA!AD$213,$E106,0)</f>
        <v>8.4657354218042418</v>
      </c>
      <c r="AB106" s="24">
        <f ca="1">OFFSET(PTRA!AE$213,$E106,0)</f>
        <v>8.4985955950172265</v>
      </c>
      <c r="AC106" s="24">
        <f ca="1">OFFSET(PTRA!AF$213,$E106,0)</f>
        <v>8.5314557682302112</v>
      </c>
      <c r="AD106" s="24">
        <f ca="1">OFFSET(PTRA!AG$213,$E106,0)</f>
        <v>8.564315941443196</v>
      </c>
      <c r="AE106" s="24">
        <f ca="1">OFFSET(PTRA!AH$213,$E106,0)</f>
        <v>8.5971761146561807</v>
      </c>
      <c r="AF106" s="24">
        <f ca="1">OFFSET(PTRA!AI$213,$E106,0)</f>
        <v>8.6300362878691654</v>
      </c>
      <c r="AG106" s="24">
        <f ca="1">OFFSET(PTRA!AJ$213,$E106,0)</f>
        <v>8.6628964610821502</v>
      </c>
      <c r="AH106" s="24">
        <f ca="1">OFFSET(PTRA!AK$213,$E106,0)</f>
        <v>8.6957566342951349</v>
      </c>
      <c r="AI106" s="24">
        <f ca="1">OFFSET(PTRA!AL$213,$E106,0)</f>
        <v>8.7286168075081232</v>
      </c>
      <c r="AJ106" s="24">
        <f ca="1">OFFSET(PTRA!AM$213,$E106,0)</f>
        <v>9.1368705950098743</v>
      </c>
      <c r="AK106" s="24">
        <f ca="1">OFFSET(PTRA!AN$213,$E106,0)</f>
        <v>9.5451243825116254</v>
      </c>
      <c r="AL106" s="24">
        <f ca="1">OFFSET(PTRA!AO$213,$E106,0)</f>
        <v>9.5451243825116254</v>
      </c>
      <c r="AM106" s="24">
        <f ca="1">OFFSET(PTRA!AP$213,$E106,0)</f>
        <v>9.5451243825116254</v>
      </c>
    </row>
    <row r="107" spans="1:39">
      <c r="A107" s="36" t="s">
        <v>132</v>
      </c>
      <c r="B107">
        <v>13.9</v>
      </c>
      <c r="E107" s="142">
        <f>MATCH(F107,PTRA!$D$214:$D$221,0)</f>
        <v>7</v>
      </c>
      <c r="F107" s="4" t="str">
        <f t="shared" si="1"/>
        <v>TPPUMER</v>
      </c>
      <c r="G107" s="24">
        <f ca="1">OFFSET(PTRA!J$213,$E107,0)</f>
        <v>15.8</v>
      </c>
      <c r="H107" s="24">
        <f ca="1">OFFSET(PTRA!K$213,$E107,0)</f>
        <v>13.650717462928288</v>
      </c>
      <c r="I107" s="24">
        <f ca="1">OFFSET(PTRA!L$213,$E107,0)</f>
        <v>12.899493276556735</v>
      </c>
      <c r="J107" s="24">
        <f ca="1">OFFSET(PTRA!M$213,$E107,0)</f>
        <v>12.148269090185179</v>
      </c>
      <c r="K107" s="24">
        <f ca="1">OFFSET(PTRA!N$213,$E107,0)</f>
        <v>10.936267314541286</v>
      </c>
      <c r="L107" s="24">
        <f ca="1">OFFSET(PTRA!O$213,$E107,0)</f>
        <v>9.7242655388973933</v>
      </c>
      <c r="M107" s="24">
        <f ca="1">OFFSET(PTRA!P$213,$E107,0)</f>
        <v>9.7939286471549849</v>
      </c>
      <c r="N107" s="24">
        <f ca="1">OFFSET(PTRA!Q$213,$E107,0)</f>
        <v>9.8635917554125765</v>
      </c>
      <c r="O107" s="24">
        <f ca="1">OFFSET(PTRA!R$213,$E107,0)</f>
        <v>9.9332548636701663</v>
      </c>
      <c r="P107" s="24">
        <f ca="1">OFFSET(PTRA!S$213,$E107,0)</f>
        <v>9.9762530762578621</v>
      </c>
      <c r="Q107" s="24">
        <f ca="1">OFFSET(PTRA!T$213,$E107,0)</f>
        <v>10.019251288845558</v>
      </c>
      <c r="R107" s="24">
        <f ca="1">OFFSET(PTRA!U$213,$E107,0)</f>
        <v>10.062249501433254</v>
      </c>
      <c r="S107" s="24">
        <f ca="1">OFFSET(PTRA!V$213,$E107,0)</f>
        <v>10.105247714020949</v>
      </c>
      <c r="T107" s="24">
        <f ca="1">OFFSET(PTRA!W$213,$E107,0)</f>
        <v>10.148245926608645</v>
      </c>
      <c r="U107" s="24">
        <f ca="1">OFFSET(PTRA!X$213,$E107,0)</f>
        <v>10.191244139196341</v>
      </c>
      <c r="V107" s="24">
        <f ca="1">OFFSET(PTRA!Y$213,$E107,0)</f>
        <v>10.234242351784037</v>
      </c>
      <c r="W107" s="24">
        <f ca="1">OFFSET(PTRA!Z$213,$E107,0)</f>
        <v>10.277240564371732</v>
      </c>
      <c r="X107" s="24">
        <f ca="1">OFFSET(PTRA!AA$213,$E107,0)</f>
        <v>10.320238776959428</v>
      </c>
      <c r="Y107" s="24">
        <f ca="1">OFFSET(PTRA!AB$213,$E107,0)</f>
        <v>10.363236989547131</v>
      </c>
      <c r="Z107" s="24">
        <f ca="1">OFFSET(PTRA!AC$213,$E107,0)</f>
        <v>10.403777126614493</v>
      </c>
      <c r="AA107" s="24">
        <f ca="1">OFFSET(PTRA!AD$213,$E107,0)</f>
        <v>10.444317263681853</v>
      </c>
      <c r="AB107" s="24">
        <f ca="1">OFFSET(PTRA!AE$213,$E107,0)</f>
        <v>10.484857400749213</v>
      </c>
      <c r="AC107" s="24">
        <f ca="1">OFFSET(PTRA!AF$213,$E107,0)</f>
        <v>10.525397537816573</v>
      </c>
      <c r="AD107" s="24">
        <f ca="1">OFFSET(PTRA!AG$213,$E107,0)</f>
        <v>10.565937674883934</v>
      </c>
      <c r="AE107" s="24">
        <f ca="1">OFFSET(PTRA!AH$213,$E107,0)</f>
        <v>10.606477811951294</v>
      </c>
      <c r="AF107" s="24">
        <f ca="1">OFFSET(PTRA!AI$213,$E107,0)</f>
        <v>10.647017949018654</v>
      </c>
      <c r="AG107" s="24">
        <f ca="1">OFFSET(PTRA!AJ$213,$E107,0)</f>
        <v>10.687558086086014</v>
      </c>
      <c r="AH107" s="24">
        <f ca="1">OFFSET(PTRA!AK$213,$E107,0)</f>
        <v>10.728098223153374</v>
      </c>
      <c r="AI107" s="24">
        <f ca="1">OFFSET(PTRA!AL$213,$E107,0)</f>
        <v>10.768638360220741</v>
      </c>
      <c r="AJ107" s="24">
        <f ca="1">OFFSET(PTRA!AM$213,$E107,0)</f>
        <v>11.272307783881905</v>
      </c>
      <c r="AK107" s="24">
        <f ca="1">OFFSET(PTRA!AN$213,$E107,0)</f>
        <v>11.775977207543068</v>
      </c>
      <c r="AL107" s="24">
        <f ca="1">OFFSET(PTRA!AO$213,$E107,0)</f>
        <v>11.775977207543068</v>
      </c>
      <c r="AM107" s="24">
        <f ca="1">OFFSET(PTRA!AP$213,$E107,0)</f>
        <v>11.775977207543068</v>
      </c>
    </row>
    <row r="108" spans="1:39">
      <c r="A108" s="36" t="s">
        <v>158</v>
      </c>
      <c r="B108">
        <v>0.1024485696</v>
      </c>
      <c r="E108" s="143">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4.1483269879282334</v>
      </c>
      <c r="Q108" s="24">
        <f ca="1">OFFSET(OtherTRA!T$46,$E108,0)</f>
        <v>4.3809434495406778</v>
      </c>
      <c r="R108" s="24">
        <f ca="1">OFFSET(OtherTRA!U$46,$E108,0)</f>
        <v>4.6135599111531223</v>
      </c>
      <c r="S108" s="24">
        <f ca="1">OFFSET(OtherTRA!V$46,$E108,0)</f>
        <v>4.8461763727655667</v>
      </c>
      <c r="T108" s="24">
        <f ca="1">OFFSET(OtherTRA!W$46,$E108,0)</f>
        <v>5.0787928343780111</v>
      </c>
      <c r="U108" s="24">
        <f ca="1">OFFSET(OtherTRA!X$46,$E108,0)</f>
        <v>5.3114092959904555</v>
      </c>
      <c r="V108" s="24">
        <f ca="1">OFFSET(OtherTRA!Y$46,$E108,0)</f>
        <v>5.5440257576029</v>
      </c>
      <c r="W108" s="24">
        <f ca="1">OFFSET(OtherTRA!Z$46,$E108,0)</f>
        <v>5.7766422192153444</v>
      </c>
      <c r="X108" s="24">
        <f ca="1">OFFSET(OtherTRA!AA$46,$E108,0)</f>
        <v>6.0092586808277888</v>
      </c>
      <c r="Y108" s="24">
        <f ca="1">OFFSET(OtherTRA!AB$46,$E108,0)</f>
        <v>6.2418751424402314</v>
      </c>
      <c r="Z108" s="24">
        <f ca="1">OFFSET(OtherTRA!AC$46,$E108,0)</f>
        <v>6.8738165330289691</v>
      </c>
      <c r="AA108" s="24">
        <f ca="1">OFFSET(OtherTRA!AD$46,$E108,0)</f>
        <v>7.5057579236177068</v>
      </c>
      <c r="AB108" s="24">
        <f ca="1">OFFSET(OtherTRA!AE$46,$E108,0)</f>
        <v>8.1376993142064435</v>
      </c>
      <c r="AC108" s="24">
        <f ca="1">OFFSET(OtherTRA!AF$46,$E108,0)</f>
        <v>8.7696407047951812</v>
      </c>
      <c r="AD108" s="24">
        <f ca="1">OFFSET(OtherTRA!AG$46,$E108,0)</f>
        <v>9.4015820953839189</v>
      </c>
      <c r="AE108" s="24">
        <f ca="1">OFFSET(OtherTRA!AH$46,$E108,0)</f>
        <v>10.033523485972657</v>
      </c>
      <c r="AF108" s="24">
        <f ca="1">OFFSET(OtherTRA!AI$46,$E108,0)</f>
        <v>10.665464876561394</v>
      </c>
      <c r="AG108" s="24">
        <f ca="1">OFFSET(OtherTRA!AJ$46,$E108,0)</f>
        <v>11.297406267150132</v>
      </c>
      <c r="AH108" s="24">
        <f ca="1">OFFSET(OtherTRA!AK$46,$E108,0)</f>
        <v>11.92934765773887</v>
      </c>
      <c r="AI108" s="24">
        <f ca="1">OFFSET(OtherTRA!AL$46,$E108,0)</f>
        <v>12.561289048327607</v>
      </c>
      <c r="AJ108" s="24">
        <f ca="1">OFFSET(OtherTRA!AM$46,$E108,0)</f>
        <v>18.725625311838236</v>
      </c>
      <c r="AK108" s="24">
        <f ca="1">OFFSET(OtherTRA!AN$46,$E108,0)</f>
        <v>24.889961575348863</v>
      </c>
      <c r="AL108" s="24">
        <f ca="1">OFFSET(OtherTRA!AO$46,$E108,0)</f>
        <v>24.889961575348863</v>
      </c>
      <c r="AM108" s="24">
        <f ca="1">OFFSET(OtherTRA!AP$46,$E108,0)</f>
        <v>24.889961575348863</v>
      </c>
    </row>
    <row r="109" spans="1:39">
      <c r="A109" s="36" t="s">
        <v>239</v>
      </c>
      <c r="B109">
        <v>82.184767358499997</v>
      </c>
      <c r="E109" s="140">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08">
        <f ca="1">OFFSET(COM!R$247,$E109,0)</f>
        <v>117.73360400439491</v>
      </c>
      <c r="P109" s="24">
        <f ca="1">OFFSET(COM!S$247,$E109,0)</f>
        <v>116.59762343783498</v>
      </c>
      <c r="Q109" s="24">
        <f ca="1">OFFSET(COM!T$247,$E109,0)</f>
        <v>115.39180872786204</v>
      </c>
      <c r="R109" s="24">
        <f ca="1">OFFSET(COM!U$247,$E109,0)</f>
        <v>114.18885870942323</v>
      </c>
      <c r="S109" s="24">
        <f ca="1">OFFSET(COM!V$247,$E109,0)</f>
        <v>113.01428957379696</v>
      </c>
      <c r="T109" s="208">
        <f ca="1">OFFSET(COM!W$247,$E109,0)</f>
        <v>111.84449778436631</v>
      </c>
      <c r="U109" s="24">
        <f ca="1">OFFSET(COM!X$247,$E109,0)</f>
        <v>110.69076695057898</v>
      </c>
      <c r="V109" s="24">
        <f ca="1">OFFSET(COM!Y$247,$E109,0)</f>
        <v>109.53464259537016</v>
      </c>
      <c r="W109" s="24">
        <f ca="1">OFFSET(COM!Z$247,$E109,0)</f>
        <v>108.37602946411712</v>
      </c>
      <c r="X109" s="24">
        <f ca="1">OFFSET(COM!AA$247,$E109,0)</f>
        <v>107.23513472155196</v>
      </c>
      <c r="Y109" s="220">
        <f ca="1">OFFSET(COM!AB$247,$E109,0)</f>
        <v>106.07809602232625</v>
      </c>
      <c r="Z109" s="24">
        <f ca="1">OFFSET(COM!AC$247,$E109,0)</f>
        <v>105.64695597502735</v>
      </c>
      <c r="AA109" s="24">
        <f ca="1">OFFSET(COM!AD$247,$E109,0)</f>
        <v>105.23676026612658</v>
      </c>
      <c r="AB109" s="24">
        <f ca="1">OFFSET(COM!AE$247,$E109,0)</f>
        <v>104.84233396194583</v>
      </c>
      <c r="AC109" s="24">
        <f ca="1">OFFSET(COM!AF$247,$E109,0)</f>
        <v>104.46552709898408</v>
      </c>
      <c r="AD109" s="24">
        <f ca="1">OFFSET(COM!AG$247,$E109,0)</f>
        <v>104.07061051423246</v>
      </c>
      <c r="AE109" s="24">
        <f ca="1">OFFSET(COM!AH$247,$E109,0)</f>
        <v>103.68555783738347</v>
      </c>
      <c r="AF109" s="24">
        <f ca="1">OFFSET(COM!AI$247,$E109,0)</f>
        <v>103.34975569249464</v>
      </c>
      <c r="AG109" s="24">
        <f ca="1">OFFSET(COM!AJ$247,$E109,0)</f>
        <v>103.0409395547797</v>
      </c>
      <c r="AH109" s="24">
        <f ca="1">OFFSET(COM!AK$247,$E109,0)</f>
        <v>102.75291325588003</v>
      </c>
      <c r="AI109" s="24">
        <f ca="1">OFFSET(COM!AL$247,$E109,0)</f>
        <v>102.47793623642799</v>
      </c>
      <c r="AJ109" s="24">
        <f ca="1">OFFSET(COM!AM$247,$E109,0)</f>
        <v>101.36403791432295</v>
      </c>
      <c r="AK109" s="24">
        <f ca="1">OFFSET(COM!AN$247,$E109,0)</f>
        <v>100.66646872074762</v>
      </c>
      <c r="AL109" s="24">
        <f ca="1">OFFSET(COM!AO$247,$E109,0)</f>
        <v>100.66646872074762</v>
      </c>
      <c r="AM109" s="24">
        <f ca="1">OFFSET(COM!AP$247,$E109,0)</f>
        <v>100.66646872074762</v>
      </c>
    </row>
    <row r="110" spans="1:39">
      <c r="A110" s="36" t="s">
        <v>245</v>
      </c>
      <c r="B110">
        <v>9.1664843454099998</v>
      </c>
      <c r="E110" s="140">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08">
        <f ca="1">OFFSET(COM!R$247,$E110,0)</f>
        <v>8.995453942310931</v>
      </c>
      <c r="P110" s="24">
        <f ca="1">OFFSET(COM!S$247,$E110,0)</f>
        <v>8.9771970991004117</v>
      </c>
      <c r="Q110" s="24">
        <f ca="1">OFFSET(COM!T$247,$E110,0)</f>
        <v>8.9346534103357751</v>
      </c>
      <c r="R110" s="24">
        <f ca="1">OFFSET(COM!U$247,$E110,0)</f>
        <v>8.8947672970471228</v>
      </c>
      <c r="S110" s="24">
        <f ca="1">OFFSET(COM!V$247,$E110,0)</f>
        <v>8.8673082683331117</v>
      </c>
      <c r="T110" s="208">
        <f ca="1">OFFSET(COM!W$247,$E110,0)</f>
        <v>8.8436711025268195</v>
      </c>
      <c r="U110" s="24">
        <f ca="1">OFFSET(COM!X$247,$E110,0)</f>
        <v>8.8283764785378427</v>
      </c>
      <c r="V110" s="24">
        <f ca="1">OFFSET(COM!Y$247,$E110,0)</f>
        <v>8.8146580725675427</v>
      </c>
      <c r="W110" s="24">
        <f ca="1">OFFSET(COM!Z$247,$E110,0)</f>
        <v>8.80269297034733</v>
      </c>
      <c r="X110" s="24">
        <f ca="1">OFFSET(COM!AA$247,$E110,0)</f>
        <v>8.8006061850648898</v>
      </c>
      <c r="Y110" s="220">
        <f ca="1">OFFSET(COM!AB$247,$E110,0)</f>
        <v>8.7955432585320867</v>
      </c>
      <c r="Z110" s="24">
        <f ca="1">OFFSET(COM!AC$247,$E110,0)</f>
        <v>9.0044592456247958</v>
      </c>
      <c r="AA110" s="24">
        <f ca="1">OFFSET(COM!AD$247,$E110,0)</f>
        <v>9.221613582124526</v>
      </c>
      <c r="AB110" s="24">
        <f ca="1">OFFSET(COM!AE$247,$E110,0)</f>
        <v>9.4449707340846718</v>
      </c>
      <c r="AC110" s="24">
        <f ca="1">OFFSET(COM!AF$247,$E110,0)</f>
        <v>9.6752584039900178</v>
      </c>
      <c r="AD110" s="24">
        <f ca="1">OFFSET(COM!AG$247,$E110,0)</f>
        <v>9.8984227065713153</v>
      </c>
      <c r="AE110" s="24">
        <f ca="1">OFFSET(COM!AH$247,$E110,0)</f>
        <v>10.125466927356573</v>
      </c>
      <c r="AF110" s="24">
        <f ca="1">OFFSET(COM!AI$247,$E110,0)</f>
        <v>10.371883595390146</v>
      </c>
      <c r="AG110" s="24">
        <f ca="1">OFFSET(COM!AJ$247,$E110,0)</f>
        <v>10.628915072637202</v>
      </c>
      <c r="AH110" s="24">
        <f ca="1">OFFSET(COM!AK$247,$E110,0)</f>
        <v>10.894124127663044</v>
      </c>
      <c r="AI110" s="24">
        <f ca="1">OFFSET(COM!AL$247,$E110,0)</f>
        <v>11.164466050653278</v>
      </c>
      <c r="AJ110" s="24">
        <f ca="1">OFFSET(COM!AM$247,$E110,0)</f>
        <v>12.618833491479219</v>
      </c>
      <c r="AK110" s="24">
        <f ca="1">OFFSET(COM!AN$247,$E110,0)</f>
        <v>14.236961885931205</v>
      </c>
      <c r="AL110" s="24">
        <f ca="1">OFFSET(COM!AO$247,$E110,0)</f>
        <v>14.236961885931205</v>
      </c>
      <c r="AM110" s="24">
        <f ca="1">OFFSET(COM!AP$247,$E110,0)</f>
        <v>14.236961885931205</v>
      </c>
    </row>
    <row r="111" spans="1:39">
      <c r="A111" s="36" t="s">
        <v>240</v>
      </c>
      <c r="B111">
        <v>29.897246584059999</v>
      </c>
      <c r="E111" s="140">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08">
        <f ca="1">OFFSET(COM!R$247,$E111,0)</f>
        <v>11.227822695230378</v>
      </c>
      <c r="P111" s="24">
        <f ca="1">OFFSET(COM!S$247,$E111,0)</f>
        <v>11.119488388348152</v>
      </c>
      <c r="Q111" s="24">
        <f ca="1">OFFSET(COM!T$247,$E111,0)</f>
        <v>11.004494254928341</v>
      </c>
      <c r="R111" s="24">
        <f ca="1">OFFSET(COM!U$247,$E111,0)</f>
        <v>10.889773316650167</v>
      </c>
      <c r="S111" s="24">
        <f ca="1">OFFSET(COM!V$247,$E111,0)</f>
        <v>10.777758959240288</v>
      </c>
      <c r="T111" s="208">
        <f ca="1">OFFSET(COM!W$247,$E111,0)</f>
        <v>10.666200199843324</v>
      </c>
      <c r="U111" s="24">
        <f ca="1">OFFSET(COM!X$247,$E111,0)</f>
        <v>10.556173114973815</v>
      </c>
      <c r="V111" s="24">
        <f ca="1">OFFSET(COM!Y$247,$E111,0)</f>
        <v>10.445917768730974</v>
      </c>
      <c r="W111" s="24">
        <f ca="1">OFFSET(COM!Z$247,$E111,0)</f>
        <v>10.335425077030234</v>
      </c>
      <c r="X111" s="24">
        <f ca="1">OFFSET(COM!AA$247,$E111,0)</f>
        <v>10.226622123177195</v>
      </c>
      <c r="Y111" s="220">
        <f ca="1">OFFSET(COM!AB$247,$E111,0)</f>
        <v>10.11627957929362</v>
      </c>
      <c r="Z111" s="24">
        <f ca="1">OFFSET(COM!AC$247,$E111,0)</f>
        <v>10.075163331737784</v>
      </c>
      <c r="AA111" s="24">
        <f ca="1">OFFSET(COM!AD$247,$E111,0)</f>
        <v>10.036044469040689</v>
      </c>
      <c r="AB111" s="24">
        <f ca="1">OFFSET(COM!AE$247,$E111,0)</f>
        <v>9.9984294767271003</v>
      </c>
      <c r="AC111" s="24">
        <f ca="1">OFFSET(COM!AF$247,$E111,0)</f>
        <v>9.9624947860034361</v>
      </c>
      <c r="AD111" s="24">
        <f ca="1">OFFSET(COM!AG$247,$E111,0)</f>
        <v>9.924833037427117</v>
      </c>
      <c r="AE111" s="24">
        <f ca="1">OFFSET(COM!AH$247,$E111,0)</f>
        <v>9.8881119736276712</v>
      </c>
      <c r="AF111" s="24">
        <f ca="1">OFFSET(COM!AI$247,$E111,0)</f>
        <v>9.8560877527149309</v>
      </c>
      <c r="AG111" s="24">
        <f ca="1">OFFSET(COM!AJ$247,$E111,0)</f>
        <v>9.8266370884885976</v>
      </c>
      <c r="AH111" s="24">
        <f ca="1">OFFSET(COM!AK$247,$E111,0)</f>
        <v>9.7991690750615383</v>
      </c>
      <c r="AI111" s="24">
        <f ca="1">OFFSET(COM!AL$247,$E111,0)</f>
        <v>9.7729455236313534</v>
      </c>
      <c r="AJ111" s="24">
        <f ca="1">OFFSET(COM!AM$247,$E111,0)</f>
        <v>9.6667171195417012</v>
      </c>
      <c r="AK111" s="24">
        <f ca="1">OFFSET(COM!AN$247,$E111,0)</f>
        <v>9.6001924999197072</v>
      </c>
      <c r="AL111" s="24">
        <f ca="1">OFFSET(COM!AO$247,$E111,0)</f>
        <v>9.6001924999197072</v>
      </c>
      <c r="AM111" s="24">
        <f ca="1">OFFSET(COM!AP$247,$E111,0)</f>
        <v>9.6001924999197072</v>
      </c>
    </row>
    <row r="112" spans="1:39">
      <c r="A112" s="36" t="s">
        <v>241</v>
      </c>
      <c r="B112">
        <v>0.29916376652240001</v>
      </c>
      <c r="E112" s="140">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08">
        <f ca="1">OFFSET(COM!R$247,$E112,0)</f>
        <v>8.3978362805268461</v>
      </c>
      <c r="P112" s="24">
        <f ca="1">OFFSET(COM!S$247,$E112,0)</f>
        <v>8.3168077679241552</v>
      </c>
      <c r="Q112" s="24">
        <f ca="1">OFFSET(COM!T$247,$E112,0)</f>
        <v>8.2307980461914756</v>
      </c>
      <c r="R112" s="24">
        <f ca="1">OFFSET(COM!U$247,$E112,0)</f>
        <v>8.1449926604315284</v>
      </c>
      <c r="S112" s="24">
        <f ca="1">OFFSET(COM!V$247,$E112,0)</f>
        <v>8.0612116585284426</v>
      </c>
      <c r="T112" s="208">
        <f ca="1">OFFSET(COM!W$247,$E112,0)</f>
        <v>7.9777714206030286</v>
      </c>
      <c r="U112" s="24">
        <f ca="1">OFFSET(COM!X$247,$E112,0)</f>
        <v>7.8954767967709056</v>
      </c>
      <c r="V112" s="24">
        <f ca="1">OFFSET(COM!Y$247,$E112,0)</f>
        <v>7.813011445123208</v>
      </c>
      <c r="W112" s="24">
        <f ca="1">OFFSET(COM!Z$247,$E112,0)</f>
        <v>7.7303685712299695</v>
      </c>
      <c r="X112" s="24">
        <f ca="1">OFFSET(COM!AA$247,$E112,0)</f>
        <v>7.648989534697475</v>
      </c>
      <c r="Y112" s="220">
        <f ca="1">OFFSET(COM!AB$247,$E112,0)</f>
        <v>7.5664589636808213</v>
      </c>
      <c r="Z112" s="24">
        <f ca="1">OFFSET(COM!AC$247,$E112,0)</f>
        <v>7.5357061165067911</v>
      </c>
      <c r="AA112" s="24">
        <f ca="1">OFFSET(COM!AD$247,$E112,0)</f>
        <v>7.5064472108999034</v>
      </c>
      <c r="AB112" s="24">
        <f ca="1">OFFSET(COM!AE$247,$E112,0)</f>
        <v>7.4783131233107758</v>
      </c>
      <c r="AC112" s="24">
        <f ca="1">OFFSET(COM!AF$247,$E112,0)</f>
        <v>7.4514358152449036</v>
      </c>
      <c r="AD112" s="24">
        <f ca="1">OFFSET(COM!AG$247,$E112,0)</f>
        <v>7.4232667563661385</v>
      </c>
      <c r="AE112" s="24">
        <f ca="1">OFFSET(COM!AH$247,$E112,0)</f>
        <v>7.3958012815180609</v>
      </c>
      <c r="AF112" s="24">
        <f ca="1">OFFSET(COM!AI$247,$E112,0)</f>
        <v>7.371848804574257</v>
      </c>
      <c r="AG112" s="24">
        <f ca="1">OFFSET(COM!AJ$247,$E112,0)</f>
        <v>7.34982121621284</v>
      </c>
      <c r="AH112" s="24">
        <f ca="1">OFFSET(COM!AK$247,$E112,0)</f>
        <v>7.3292765490967717</v>
      </c>
      <c r="AI112" s="24">
        <f ca="1">OFFSET(COM!AL$247,$E112,0)</f>
        <v>7.3096626758123087</v>
      </c>
      <c r="AJ112" s="24">
        <f ca="1">OFFSET(COM!AM$247,$E112,0)</f>
        <v>7.230209270632912</v>
      </c>
      <c r="AK112" s="24">
        <f ca="1">OFFSET(COM!AN$247,$E112,0)</f>
        <v>7.1804522625847573</v>
      </c>
      <c r="AL112" s="24">
        <f ca="1">OFFSET(COM!AO$247,$E112,0)</f>
        <v>7.1804522625847573</v>
      </c>
      <c r="AM112" s="24">
        <f ca="1">OFFSET(COM!AP$247,$E112,0)</f>
        <v>7.1804522625847573</v>
      </c>
    </row>
    <row r="113" spans="1:39">
      <c r="A113" s="36" t="s">
        <v>242</v>
      </c>
      <c r="B113">
        <v>177.48088542799999</v>
      </c>
      <c r="E113" s="140">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08">
        <f ca="1">OFFSET(COM!R$247,$E113,0)</f>
        <v>102.45542043359663</v>
      </c>
      <c r="P113" s="24">
        <f ca="1">OFFSET(COM!S$247,$E113,0)</f>
        <v>101.46685504026212</v>
      </c>
      <c r="Q113" s="24">
        <f ca="1">OFFSET(COM!T$247,$E113,0)</f>
        <v>100.41751781730002</v>
      </c>
      <c r="R113" s="24">
        <f ca="1">OFFSET(COM!U$247,$E113,0)</f>
        <v>99.370673537436204</v>
      </c>
      <c r="S113" s="24">
        <f ca="1">OFFSET(COM!V$247,$E113,0)</f>
        <v>98.348527178827993</v>
      </c>
      <c r="T113" s="208">
        <f ca="1">OFFSET(COM!W$247,$E113,0)</f>
        <v>97.330538214509758</v>
      </c>
      <c r="U113" s="24">
        <f ca="1">OFFSET(COM!X$247,$E113,0)</f>
        <v>96.326525990111421</v>
      </c>
      <c r="V113" s="24">
        <f ca="1">OFFSET(COM!Y$247,$E113,0)</f>
        <v>95.320430849407003</v>
      </c>
      <c r="W113" s="24">
        <f ca="1">OFFSET(COM!Z$247,$E113,0)</f>
        <v>94.312169898880214</v>
      </c>
      <c r="X113" s="24">
        <f ca="1">OFFSET(COM!AA$247,$E113,0)</f>
        <v>93.319328037727061</v>
      </c>
      <c r="Y113" s="220">
        <f ca="1">OFFSET(COM!AB$247,$E113,0)</f>
        <v>92.312437206603875</v>
      </c>
      <c r="Z113" s="24">
        <f ca="1">OFFSET(COM!AC$247,$E113,0)</f>
        <v>91.937245814262553</v>
      </c>
      <c r="AA113" s="24">
        <f ca="1">OFFSET(COM!AD$247,$E113,0)</f>
        <v>91.580280832421707</v>
      </c>
      <c r="AB113" s="24">
        <f ca="1">OFFSET(COM!AE$247,$E113,0)</f>
        <v>91.237038873877736</v>
      </c>
      <c r="AC113" s="24">
        <f ca="1">OFFSET(COM!AF$247,$E113,0)</f>
        <v>90.909129897562309</v>
      </c>
      <c r="AD113" s="24">
        <f ca="1">OFFSET(COM!AG$247,$E113,0)</f>
        <v>90.565461281714803</v>
      </c>
      <c r="AE113" s="24">
        <f ca="1">OFFSET(COM!AH$247,$E113,0)</f>
        <v>90.230376543340768</v>
      </c>
      <c r="AF113" s="24">
        <f ca="1">OFFSET(COM!AI$247,$E113,0)</f>
        <v>89.938151139828904</v>
      </c>
      <c r="AG113" s="24">
        <f ca="1">OFFSET(COM!AJ$247,$E113,0)</f>
        <v>89.669409793687123</v>
      </c>
      <c r="AH113" s="24">
        <f ca="1">OFFSET(COM!AK$247,$E113,0)</f>
        <v>89.418760407734453</v>
      </c>
      <c r="AI113" s="24">
        <f ca="1">OFFSET(COM!AL$247,$E113,0)</f>
        <v>89.17946690800872</v>
      </c>
      <c r="AJ113" s="24">
        <f ca="1">OFFSET(COM!AM$247,$E113,0)</f>
        <v>88.210118166189091</v>
      </c>
      <c r="AK113" s="24">
        <f ca="1">OFFSET(COM!AN$247,$E113,0)</f>
        <v>87.603071897507647</v>
      </c>
      <c r="AL113" s="24">
        <f ca="1">OFFSET(COM!AO$247,$E113,0)</f>
        <v>87.603071897507647</v>
      </c>
      <c r="AM113" s="24">
        <f ca="1">OFFSET(COM!AP$247,$E113,0)</f>
        <v>87.603071897507647</v>
      </c>
    </row>
    <row r="114" spans="1:39">
      <c r="A114" s="36" t="s">
        <v>247</v>
      </c>
      <c r="B114">
        <v>30.831061307799999</v>
      </c>
      <c r="E114" s="140">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08">
        <f ca="1">OFFSET(COM!R$247,$E114,0)</f>
        <v>16.638896048973443</v>
      </c>
      <c r="P114" s="24">
        <f ca="1">OFFSET(COM!S$247,$E114,0)</f>
        <v>16.478351719081537</v>
      </c>
      <c r="Q114" s="24">
        <f ca="1">OFFSET(COM!T$247,$E114,0)</f>
        <v>16.307937963525276</v>
      </c>
      <c r="R114" s="24">
        <f ca="1">OFFSET(COM!U$247,$E114,0)</f>
        <v>16.137929065231745</v>
      </c>
      <c r="S114" s="24">
        <f ca="1">OFFSET(COM!V$247,$E114,0)</f>
        <v>15.971931142078992</v>
      </c>
      <c r="T114" s="208">
        <f ca="1">OFFSET(COM!W$247,$E114,0)</f>
        <v>15.806608385268179</v>
      </c>
      <c r="U114" s="24">
        <f ca="1">OFFSET(COM!X$247,$E114,0)</f>
        <v>15.643555469541869</v>
      </c>
      <c r="V114" s="24">
        <f ca="1">OFFSET(COM!Y$247,$E114,0)</f>
        <v>15.480164285447245</v>
      </c>
      <c r="W114" s="24">
        <f ca="1">OFFSET(COM!Z$247,$E114,0)</f>
        <v>15.316421370967404</v>
      </c>
      <c r="X114" s="24">
        <f ca="1">OFFSET(COM!AA$247,$E114,0)</f>
        <v>15.155182537034712</v>
      </c>
      <c r="Y114" s="220">
        <f ca="1">OFFSET(COM!AB$247,$E114,0)</f>
        <v>14.991662131761657</v>
      </c>
      <c r="Z114" s="24">
        <f ca="1">OFFSET(COM!AC$247,$E114,0)</f>
        <v>14.930730552454119</v>
      </c>
      <c r="AA114" s="24">
        <f ca="1">OFFSET(COM!AD$247,$E114,0)</f>
        <v>14.8727589663649</v>
      </c>
      <c r="AB114" s="24">
        <f ca="1">OFFSET(COM!AE$247,$E114,0)</f>
        <v>14.817016017444393</v>
      </c>
      <c r="AC114" s="24">
        <f ca="1">OFFSET(COM!AF$247,$E114,0)</f>
        <v>14.763763165156561</v>
      </c>
      <c r="AD114" s="24">
        <f ca="1">OFFSET(COM!AG$247,$E114,0)</f>
        <v>14.707950926524568</v>
      </c>
      <c r="AE114" s="24">
        <f ca="1">OFFSET(COM!AH$247,$E114,0)</f>
        <v>14.653532720969338</v>
      </c>
      <c r="AF114" s="24">
        <f ca="1">OFFSET(COM!AI$247,$E114,0)</f>
        <v>14.606074928191509</v>
      </c>
      <c r="AG114" s="24">
        <f ca="1">OFFSET(COM!AJ$247,$E114,0)</f>
        <v>14.562430977450877</v>
      </c>
      <c r="AH114" s="24">
        <f ca="1">OFFSET(COM!AK$247,$E114,0)</f>
        <v>14.521725185019831</v>
      </c>
      <c r="AI114" s="24">
        <f ca="1">OFFSET(COM!AL$247,$E114,0)</f>
        <v>14.482863603560485</v>
      </c>
      <c r="AJ114" s="24">
        <f ca="1">OFFSET(COM!AM$247,$E114,0)</f>
        <v>14.325440083339874</v>
      </c>
      <c r="AK114" s="24">
        <f ca="1">OFFSET(COM!AN$247,$E114,0)</f>
        <v>14.226854964868235</v>
      </c>
      <c r="AL114" s="24">
        <f ca="1">OFFSET(COM!AO$247,$E114,0)</f>
        <v>14.226854964868235</v>
      </c>
      <c r="AM114" s="24">
        <f ca="1">OFFSET(COM!AP$247,$E114,0)</f>
        <v>14.226854964868235</v>
      </c>
    </row>
    <row r="115" spans="1:39">
      <c r="A115" s="36" t="s">
        <v>243</v>
      </c>
      <c r="B115">
        <v>7.3604096683640003</v>
      </c>
      <c r="E115" s="140">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08">
        <f ca="1">OFFSET(COM!R$247,$E115,0)</f>
        <v>24.923730290785286</v>
      </c>
      <c r="P115" s="24">
        <f ca="1">OFFSET(COM!S$247,$E115,0)</f>
        <v>24.683247775228757</v>
      </c>
      <c r="Q115" s="24">
        <f ca="1">OFFSET(COM!T$247,$E115,0)</f>
        <v>24.427981652475008</v>
      </c>
      <c r="R115" s="24">
        <f ca="1">OFFSET(COM!U$247,$E115,0)</f>
        <v>24.173321973393541</v>
      </c>
      <c r="S115" s="24">
        <f ca="1">OFFSET(COM!V$247,$E115,0)</f>
        <v>23.924670413018841</v>
      </c>
      <c r="T115" s="208">
        <f ca="1">OFFSET(COM!W$247,$E115,0)</f>
        <v>23.677030197613082</v>
      </c>
      <c r="U115" s="24">
        <f ca="1">OFFSET(COM!X$247,$E115,0)</f>
        <v>23.432790021899059</v>
      </c>
      <c r="V115" s="24">
        <f ca="1">OFFSET(COM!Y$247,$E115,0)</f>
        <v>23.188043147329957</v>
      </c>
      <c r="W115" s="24">
        <f ca="1">OFFSET(COM!Z$247,$E115,0)</f>
        <v>22.942769408885368</v>
      </c>
      <c r="X115" s="24">
        <f ca="1">OFFSET(COM!AA$247,$E115,0)</f>
        <v>22.701246582039705</v>
      </c>
      <c r="Y115" s="220">
        <f ca="1">OFFSET(COM!AB$247,$E115,0)</f>
        <v>22.456306144520894</v>
      </c>
      <c r="Z115" s="24">
        <f ca="1">OFFSET(COM!AC$247,$E115,0)</f>
        <v>22.365035531111033</v>
      </c>
      <c r="AA115" s="24">
        <f ca="1">OFFSET(COM!AD$247,$E115,0)</f>
        <v>22.278198749874825</v>
      </c>
      <c r="AB115" s="24">
        <f ca="1">OFFSET(COM!AE$247,$E115,0)</f>
        <v>22.194700288172889</v>
      </c>
      <c r="AC115" s="24">
        <f ca="1">OFFSET(COM!AF$247,$E115,0)</f>
        <v>22.114931791288814</v>
      </c>
      <c r="AD115" s="24">
        <f ca="1">OFFSET(COM!AG$247,$E115,0)</f>
        <v>22.031329539162559</v>
      </c>
      <c r="AE115" s="24">
        <f ca="1">OFFSET(COM!AH$247,$E115,0)</f>
        <v>21.9498154366539</v>
      </c>
      <c r="AF115" s="24">
        <f ca="1">OFFSET(COM!AI$247,$E115,0)</f>
        <v>21.878727473611804</v>
      </c>
      <c r="AG115" s="24">
        <f ca="1">OFFSET(COM!AJ$247,$E115,0)</f>
        <v>21.81335233971577</v>
      </c>
      <c r="AH115" s="24">
        <f ca="1">OFFSET(COM!AK$247,$E115,0)</f>
        <v>21.752378331053304</v>
      </c>
      <c r="AI115" s="24">
        <f ca="1">OFFSET(COM!AL$247,$E115,0)</f>
        <v>21.6941668023488</v>
      </c>
      <c r="AJ115" s="24">
        <f ca="1">OFFSET(COM!AM$247,$E115,0)</f>
        <v>21.4583590091</v>
      </c>
      <c r="AK115" s="24">
        <f ca="1">OFFSET(COM!AN$247,$E115,0)</f>
        <v>21.3106864173463</v>
      </c>
      <c r="AL115" s="24">
        <f ca="1">OFFSET(COM!AO$247,$E115,0)</f>
        <v>21.3106864173463</v>
      </c>
      <c r="AM115" s="24">
        <f ca="1">OFFSET(COM!AP$247,$E115,0)</f>
        <v>21.3106864173463</v>
      </c>
    </row>
    <row r="116" spans="1:39">
      <c r="A116" s="36" t="s">
        <v>246</v>
      </c>
      <c r="B116">
        <v>3.1678360284579998</v>
      </c>
      <c r="E116" s="140">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08">
        <f ca="1">OFFSET(COM!R$247,$E116,0)</f>
        <v>3.1083749207455065</v>
      </c>
      <c r="P116" s="24">
        <f ca="1">OFFSET(COM!S$247,$E116,0)</f>
        <v>3.1020662770759921</v>
      </c>
      <c r="Q116" s="24">
        <f ca="1">OFFSET(COM!T$247,$E116,0)</f>
        <v>3.0873653252351985</v>
      </c>
      <c r="R116" s="24">
        <f ca="1">OFFSET(COM!U$247,$E116,0)</f>
        <v>3.0735826973625451</v>
      </c>
      <c r="S116" s="24">
        <f ca="1">OFFSET(COM!V$247,$E116,0)</f>
        <v>3.0640942427775908</v>
      </c>
      <c r="T116" s="208">
        <f ca="1">OFFSET(COM!W$247,$E116,0)</f>
        <v>3.0559264311406267</v>
      </c>
      <c r="U116" s="24">
        <f ca="1">OFFSET(COM!X$247,$E116,0)</f>
        <v>3.0506413809436652</v>
      </c>
      <c r="V116" s="24">
        <f ca="1">OFFSET(COM!Y$247,$E116,0)</f>
        <v>3.0459009921490416</v>
      </c>
      <c r="W116" s="24">
        <f ca="1">OFFSET(COM!Z$247,$E116,0)</f>
        <v>3.0417664566487783</v>
      </c>
      <c r="X116" s="24">
        <f ca="1">OFFSET(COM!AA$247,$E116,0)</f>
        <v>3.0410453689662091</v>
      </c>
      <c r="Y116" s="220">
        <f ca="1">OFFSET(COM!AB$247,$E116,0)</f>
        <v>3.0392958770605123</v>
      </c>
      <c r="Z116" s="24">
        <f ca="1">OFFSET(COM!AC$247,$E116,0)</f>
        <v>3.1114866991120054</v>
      </c>
      <c r="AA116" s="24">
        <f ca="1">OFFSET(COM!AD$247,$E116,0)</f>
        <v>3.1865242789646451</v>
      </c>
      <c r="AB116" s="24">
        <f ca="1">OFFSET(COM!AE$247,$E116,0)</f>
        <v>3.2637052388110916</v>
      </c>
      <c r="AC116" s="24">
        <f ca="1">OFFSET(COM!AF$247,$E116,0)</f>
        <v>3.3432810359060849</v>
      </c>
      <c r="AD116" s="24">
        <f ca="1">OFFSET(COM!AG$247,$E116,0)</f>
        <v>3.4203953567394776</v>
      </c>
      <c r="AE116" s="24">
        <f ca="1">OFFSET(COM!AH$247,$E116,0)</f>
        <v>3.4988503815014402</v>
      </c>
      <c r="AF116" s="24">
        <f ca="1">OFFSET(COM!AI$247,$E116,0)</f>
        <v>3.5839995463886609</v>
      </c>
      <c r="AG116" s="24">
        <f ca="1">OFFSET(COM!AJ$247,$E116,0)</f>
        <v>3.6728166536564752</v>
      </c>
      <c r="AH116" s="24">
        <f ca="1">OFFSET(COM!AK$247,$E116,0)</f>
        <v>3.7644595191175996</v>
      </c>
      <c r="AI116" s="24">
        <f ca="1">OFFSET(COM!AL$247,$E116,0)</f>
        <v>3.8578760447135365</v>
      </c>
      <c r="AJ116" s="24">
        <f ca="1">OFFSET(COM!AM$247,$E116,0)</f>
        <v>4.3604320366183549</v>
      </c>
      <c r="AK116" s="24">
        <f ca="1">OFFSET(COM!AN$247,$E116,0)</f>
        <v>4.9195755497881422</v>
      </c>
      <c r="AL116" s="24">
        <f ca="1">OFFSET(COM!AO$247,$E116,0)</f>
        <v>4.9195755497881422</v>
      </c>
      <c r="AM116" s="24">
        <f ca="1">OFFSET(COM!AP$247,$E116,0)</f>
        <v>4.9195755497881422</v>
      </c>
    </row>
    <row r="117" spans="1:39">
      <c r="A117" s="36" t="s">
        <v>244</v>
      </c>
      <c r="B117">
        <v>31.577350492680001</v>
      </c>
      <c r="E117" s="140">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08">
        <f ca="1">OFFSET(COM!R$247,$E117,0)</f>
        <v>12.992485701996889</v>
      </c>
      <c r="P117" s="24">
        <f ca="1">OFFSET(COM!S$247,$E117,0)</f>
        <v>12.867124626086689</v>
      </c>
      <c r="Q117" s="24">
        <f ca="1">OFFSET(COM!T$247,$E117,0)</f>
        <v>12.734057006938666</v>
      </c>
      <c r="R117" s="24">
        <f ca="1">OFFSET(COM!U$247,$E117,0)</f>
        <v>12.601305520674817</v>
      </c>
      <c r="S117" s="24">
        <f ca="1">OFFSET(COM!V$247,$E117,0)</f>
        <v>12.471686005246905</v>
      </c>
      <c r="T117" s="208">
        <f ca="1">OFFSET(COM!W$247,$E117,0)</f>
        <v>12.342593693608134</v>
      </c>
      <c r="U117" s="24">
        <f ca="1">OFFSET(COM!X$247,$E117,0)</f>
        <v>12.215273787887968</v>
      </c>
      <c r="V117" s="24">
        <f ca="1">OFFSET(COM!Y$247,$E117,0)</f>
        <v>12.087689745236727</v>
      </c>
      <c r="W117" s="24">
        <f ca="1">OFFSET(COM!Z$247,$E117,0)</f>
        <v>11.959831053835511</v>
      </c>
      <c r="X117" s="24">
        <f ca="1">OFFSET(COM!AA$247,$E117,0)</f>
        <v>11.833927674289702</v>
      </c>
      <c r="Y117" s="220">
        <f ca="1">OFFSET(COM!AB$247,$E117,0)</f>
        <v>11.706242729252381</v>
      </c>
      <c r="Z117" s="24">
        <f ca="1">OFFSET(COM!AC$247,$E117,0)</f>
        <v>11.658664291919568</v>
      </c>
      <c r="AA117" s="24">
        <f ca="1">OFFSET(COM!AD$247,$E117,0)</f>
        <v>11.613397165953437</v>
      </c>
      <c r="AB117" s="24">
        <f ca="1">OFFSET(COM!AE$247,$E117,0)</f>
        <v>11.56987027181904</v>
      </c>
      <c r="AC117" s="24">
        <f ca="1">OFFSET(COM!AF$247,$E117,0)</f>
        <v>11.528287770197313</v>
      </c>
      <c r="AD117" s="24">
        <f ca="1">OFFSET(COM!AG$247,$E117,0)</f>
        <v>11.484706771176207</v>
      </c>
      <c r="AE117" s="24">
        <f ca="1">OFFSET(COM!AH$247,$E117,0)</f>
        <v>11.442214303194937</v>
      </c>
      <c r="AF117" s="24">
        <f ca="1">OFFSET(COM!AI$247,$E117,0)</f>
        <v>11.405156875087961</v>
      </c>
      <c r="AG117" s="24">
        <f ca="1">OFFSET(COM!AJ$247,$E117,0)</f>
        <v>11.371077486388897</v>
      </c>
      <c r="AH117" s="24">
        <f ca="1">OFFSET(COM!AK$247,$E117,0)</f>
        <v>11.339292359263144</v>
      </c>
      <c r="AI117" s="24">
        <f ca="1">OFFSET(COM!AL$247,$E117,0)</f>
        <v>11.308947284687198</v>
      </c>
      <c r="AJ117" s="24">
        <f ca="1">OFFSET(COM!AM$247,$E117,0)</f>
        <v>11.186023093706959</v>
      </c>
      <c r="AK117" s="24">
        <f ca="1">OFFSET(COM!AN$247,$E117,0)</f>
        <v>11.10904288189468</v>
      </c>
      <c r="AL117" s="24">
        <f ca="1">OFFSET(COM!AO$247,$E117,0)</f>
        <v>11.10904288189468</v>
      </c>
      <c r="AM117" s="24">
        <f ca="1">OFFSET(COM!AP$247,$E117,0)</f>
        <v>11.10904288189468</v>
      </c>
    </row>
    <row r="118" spans="1:39">
      <c r="A118" s="36" t="s">
        <v>248</v>
      </c>
      <c r="B118" t="s">
        <v>386</v>
      </c>
      <c r="E118" s="140">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08">
        <f ca="1">OFFSET(COM!R$247,$E118,0)</f>
        <v>4.2350555604682834</v>
      </c>
      <c r="P118" s="24">
        <f ca="1">OFFSET(COM!S$247,$E118,0)</f>
        <v>6.9865713245222709</v>
      </c>
      <c r="Q118" s="24">
        <f ca="1">OFFSET(COM!T$247,$E118,0)</f>
        <v>9.5382195921774695</v>
      </c>
      <c r="R118" s="24">
        <f ca="1">OFFSET(COM!U$247,$E118,0)</f>
        <v>12.18816823106461</v>
      </c>
      <c r="S118" s="24">
        <f ca="1">OFFSET(COM!V$247,$E118,0)</f>
        <v>15.058014233357381</v>
      </c>
      <c r="T118" s="208">
        <f ca="1">OFFSET(COM!W$247,$E118,0)</f>
        <v>18.0587040628129</v>
      </c>
      <c r="U118" s="24">
        <f ca="1">OFFSET(COM!X$247,$E118,0)</f>
        <v>21.254882101581867</v>
      </c>
      <c r="V118" s="24">
        <f ca="1">OFFSET(COM!Y$247,$E118,0)</f>
        <v>24.574843752621046</v>
      </c>
      <c r="W118" s="24">
        <f ca="1">OFFSET(COM!Z$247,$E118,0)</f>
        <v>28.029717456467147</v>
      </c>
      <c r="X118" s="24">
        <f ca="1">OFFSET(COM!AA$247,$E118,0)</f>
        <v>31.736854262008961</v>
      </c>
      <c r="Y118" s="220">
        <f ca="1">OFFSET(COM!AB$247,$E118,0)</f>
        <v>35.540881304224548</v>
      </c>
      <c r="Z118" s="24">
        <f ca="1">OFFSET(COM!AC$247,$E118,0)</f>
        <v>39.297874205137987</v>
      </c>
      <c r="AA118" s="24">
        <f ca="1">OFFSET(COM!AD$247,$E118,0)</f>
        <v>43.165453212793714</v>
      </c>
      <c r="AB118" s="24">
        <f ca="1">OFFSET(COM!AE$247,$E118,0)</f>
        <v>47.116294677371073</v>
      </c>
      <c r="AC118" s="24">
        <f ca="1">OFFSET(COM!AF$247,$E118,0)</f>
        <v>51.160166791584885</v>
      </c>
      <c r="AD118" s="24">
        <f ca="1">OFFSET(COM!AG$247,$E118,0)</f>
        <v>55.108419574747941</v>
      </c>
      <c r="AE118" s="24">
        <f ca="1">OFFSET(COM!AH$247,$E118,0)</f>
        <v>59.108753791637135</v>
      </c>
      <c r="AF118" s="24">
        <f ca="1">OFFSET(COM!AI$247,$E118,0)</f>
        <v>63.36913081727576</v>
      </c>
      <c r="AG118" s="24">
        <f ca="1">OFFSET(COM!AJ$247,$E118,0)</f>
        <v>67.771993960792571</v>
      </c>
      <c r="AH118" s="24">
        <f ca="1">OFFSET(COM!AK$247,$E118,0)</f>
        <v>72.284627453254132</v>
      </c>
      <c r="AI118" s="24">
        <f ca="1">OFFSET(COM!AL$247,$E118,0)</f>
        <v>76.866161141199115</v>
      </c>
      <c r="AJ118" s="24">
        <f ca="1">OFFSET(COM!AM$247,$E118,0)</f>
        <v>100.66612618149233</v>
      </c>
      <c r="AK118" s="24">
        <f ca="1">OFFSET(COM!AN$247,$E118,0)</f>
        <v>126.62034466444945</v>
      </c>
      <c r="AL118" s="24">
        <f ca="1">OFFSET(COM!AO$247,$E118,0)</f>
        <v>126.62034466444945</v>
      </c>
      <c r="AM118" s="24">
        <f ca="1">OFFSET(COM!AP$247,$E118,0)</f>
        <v>126.62034466444945</v>
      </c>
    </row>
    <row r="119" spans="1:39">
      <c r="A119" s="36" t="s">
        <v>254</v>
      </c>
      <c r="B119" t="s">
        <v>386</v>
      </c>
      <c r="E119" s="140">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08">
        <f ca="1">OFFSET(COM!R$247,$E119,0)</f>
        <v>0</v>
      </c>
      <c r="P119" s="24">
        <f ca="1">OFFSET(COM!S$247,$E119,0)</f>
        <v>0</v>
      </c>
      <c r="Q119" s="24">
        <f ca="1">OFFSET(COM!T$247,$E119,0)</f>
        <v>0</v>
      </c>
      <c r="R119" s="24">
        <f ca="1">OFFSET(COM!U$247,$E119,0)</f>
        <v>0</v>
      </c>
      <c r="S119" s="24">
        <f ca="1">OFFSET(COM!V$247,$E119,0)</f>
        <v>0</v>
      </c>
      <c r="T119" s="208">
        <f ca="1">OFFSET(COM!W$247,$E119,0)</f>
        <v>0</v>
      </c>
      <c r="U119" s="24">
        <f ca="1">OFFSET(COM!X$247,$E119,0)</f>
        <v>0</v>
      </c>
      <c r="V119" s="24">
        <f ca="1">OFFSET(COM!Y$247,$E119,0)</f>
        <v>0</v>
      </c>
      <c r="W119" s="24">
        <f ca="1">OFFSET(COM!Z$247,$E119,0)</f>
        <v>0</v>
      </c>
      <c r="X119" s="24">
        <f ca="1">OFFSET(COM!AA$247,$E119,0)</f>
        <v>0</v>
      </c>
      <c r="Y119" s="220">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386</v>
      </c>
      <c r="E120" s="140">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08">
        <f ca="1">OFFSET(COM!R$247,$E120,0)</f>
        <v>0.40388174081218448</v>
      </c>
      <c r="P120" s="24">
        <f ca="1">OFFSET(COM!S$247,$E120,0)</f>
        <v>0.66628372368851163</v>
      </c>
      <c r="Q120" s="24">
        <f ca="1">OFFSET(COM!T$247,$E120,0)</f>
        <v>0.9096250753110684</v>
      </c>
      <c r="R120" s="24">
        <f ca="1">OFFSET(COM!U$247,$E120,0)</f>
        <v>1.1623409733802483</v>
      </c>
      <c r="S120" s="24">
        <f ca="1">OFFSET(COM!V$247,$E120,0)</f>
        <v>1.4360276777739756</v>
      </c>
      <c r="T120" s="208">
        <f ca="1">OFFSET(COM!W$247,$E120,0)</f>
        <v>1.722192478838334</v>
      </c>
      <c r="U120" s="24">
        <f ca="1">OFFSET(COM!X$247,$E120,0)</f>
        <v>2.0270002745832731</v>
      </c>
      <c r="V120" s="24">
        <f ca="1">OFFSET(COM!Y$247,$E120,0)</f>
        <v>2.3436128601577431</v>
      </c>
      <c r="W120" s="24">
        <f ca="1">OFFSET(COM!Z$247,$E120,0)</f>
        <v>2.6730915141854394</v>
      </c>
      <c r="X120" s="24">
        <f ca="1">OFFSET(COM!AA$247,$E120,0)</f>
        <v>3.0266275764810642</v>
      </c>
      <c r="Y120" s="220">
        <f ca="1">OFFSET(COM!AB$247,$E120,0)</f>
        <v>3.3894037058541517</v>
      </c>
      <c r="Z120" s="24">
        <f ca="1">OFFSET(COM!AC$247,$E120,0)</f>
        <v>3.7476943614015745</v>
      </c>
      <c r="AA120" s="24">
        <f ca="1">OFFSET(COM!AD$247,$E120,0)</f>
        <v>4.1165312090031527</v>
      </c>
      <c r="AB120" s="24">
        <f ca="1">OFFSET(COM!AE$247,$E120,0)</f>
        <v>4.4933084922296391</v>
      </c>
      <c r="AC120" s="24">
        <f ca="1">OFFSET(COM!AF$247,$E120,0)</f>
        <v>4.8789577678509319</v>
      </c>
      <c r="AD120" s="24">
        <f ca="1">OFFSET(COM!AG$247,$E120,0)</f>
        <v>5.255488178010209</v>
      </c>
      <c r="AE120" s="24">
        <f ca="1">OFFSET(COM!AH$247,$E120,0)</f>
        <v>5.6369854037913756</v>
      </c>
      <c r="AF120" s="24">
        <f ca="1">OFFSET(COM!AI$247,$E120,0)</f>
        <v>6.0432819600143368</v>
      </c>
      <c r="AG120" s="24">
        <f ca="1">OFFSET(COM!AJ$247,$E120,0)</f>
        <v>6.463166895541546</v>
      </c>
      <c r="AH120" s="24">
        <f ca="1">OFFSET(COM!AK$247,$E120,0)</f>
        <v>6.8935202272889136</v>
      </c>
      <c r="AI120" s="24">
        <f ca="1">OFFSET(COM!AL$247,$E120,0)</f>
        <v>7.3304443183797723</v>
      </c>
      <c r="AJ120" s="24">
        <f ca="1">OFFSET(COM!AM$247,$E120,0)</f>
        <v>9.6001598332052467</v>
      </c>
      <c r="AK120" s="24">
        <f ca="1">OFFSET(COM!AN$247,$E120,0)</f>
        <v>12.075318610380162</v>
      </c>
      <c r="AL120" s="24">
        <f ca="1">OFFSET(COM!AO$247,$E120,0)</f>
        <v>12.075318610380162</v>
      </c>
      <c r="AM120" s="24">
        <f ca="1">OFFSET(COM!AP$247,$E120,0)</f>
        <v>12.075318610380162</v>
      </c>
    </row>
    <row r="121" spans="1:39">
      <c r="A121" s="36" t="s">
        <v>250</v>
      </c>
      <c r="B121" t="s">
        <v>386</v>
      </c>
      <c r="E121" s="140">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08">
        <f ca="1">OFFSET(COM!R$247,$E121,0)</f>
        <v>0.30208285507355981</v>
      </c>
      <c r="P121" s="24">
        <f ca="1">OFFSET(COM!S$247,$E121,0)</f>
        <v>0.49834609788528561</v>
      </c>
      <c r="Q121" s="24">
        <f ca="1">OFFSET(COM!T$247,$E121,0)</f>
        <v>0.68035296481563456</v>
      </c>
      <c r="R121" s="24">
        <f ca="1">OFFSET(COM!U$247,$E121,0)</f>
        <v>0.86937151231842269</v>
      </c>
      <c r="S121" s="24">
        <f ca="1">OFFSET(COM!V$247,$E121,0)</f>
        <v>1.074075148815268</v>
      </c>
      <c r="T121" s="208">
        <f ca="1">OFFSET(COM!W$247,$E121,0)</f>
        <v>1.2881117624864913</v>
      </c>
      <c r="U121" s="24">
        <f ca="1">OFFSET(COM!X$247,$E121,0)</f>
        <v>1.5160923812739298</v>
      </c>
      <c r="V121" s="24">
        <f ca="1">OFFSET(COM!Y$247,$E121,0)</f>
        <v>1.7529023782057647</v>
      </c>
      <c r="W121" s="24">
        <f ca="1">OFFSET(COM!Z$247,$E121,0)</f>
        <v>1.9993355353332225</v>
      </c>
      <c r="X121" s="24">
        <f ca="1">OFFSET(COM!AA$247,$E121,0)</f>
        <v>2.2637624016108679</v>
      </c>
      <c r="Y121" s="220">
        <f ca="1">OFFSET(COM!AB$247,$E121,0)</f>
        <v>2.5351003647809307</v>
      </c>
      <c r="Z121" s="24">
        <f ca="1">OFFSET(COM!AC$247,$E121,0)</f>
        <v>2.8030834232779331</v>
      </c>
      <c r="AA121" s="24">
        <f ca="1">OFFSET(COM!AD$247,$E121,0)</f>
        <v>3.0789544932494501</v>
      </c>
      <c r="AB121" s="24">
        <f ca="1">OFFSET(COM!AE$247,$E121,0)</f>
        <v>3.3607646023547404</v>
      </c>
      <c r="AC121" s="24">
        <f ca="1">OFFSET(COM!AF$247,$E121,0)</f>
        <v>3.6492105073428167</v>
      </c>
      <c r="AD121" s="24">
        <f ca="1">OFFSET(COM!AG$247,$E121,0)</f>
        <v>3.9308359680388145</v>
      </c>
      <c r="AE121" s="24">
        <f ca="1">OFFSET(COM!AH$247,$E121,0)</f>
        <v>4.2161763524168459</v>
      </c>
      <c r="AF121" s="24">
        <f ca="1">OFFSET(COM!AI$247,$E121,0)</f>
        <v>4.5200653657294385</v>
      </c>
      <c r="AG121" s="24">
        <f ca="1">OFFSET(COM!AJ$247,$E121,0)</f>
        <v>4.8341177907570438</v>
      </c>
      <c r="AH121" s="24">
        <f ca="1">OFFSET(COM!AK$247,$E121,0)</f>
        <v>5.1560000399600803</v>
      </c>
      <c r="AI121" s="24">
        <f ca="1">OFFSET(COM!AL$247,$E121,0)</f>
        <v>5.4827968805939928</v>
      </c>
      <c r="AJ121" s="24">
        <f ca="1">OFFSET(COM!AM$247,$E121,0)</f>
        <v>7.1804278295555495</v>
      </c>
      <c r="AK121" s="24">
        <f ca="1">OFFSET(COM!AN$247,$E121,0)</f>
        <v>9.0317198158329894</v>
      </c>
      <c r="AL121" s="24">
        <f ca="1">OFFSET(COM!AO$247,$E121,0)</f>
        <v>9.0317198158329894</v>
      </c>
      <c r="AM121" s="24">
        <f ca="1">OFFSET(COM!AP$247,$E121,0)</f>
        <v>9.0317198158329894</v>
      </c>
    </row>
    <row r="122" spans="1:39">
      <c r="A122" s="36" t="s">
        <v>251</v>
      </c>
      <c r="B122" t="s">
        <v>386</v>
      </c>
      <c r="E122" s="140">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08">
        <f ca="1">OFFSET(COM!R$247,$E122,0)</f>
        <v>3.6854762213107977</v>
      </c>
      <c r="P122" s="24">
        <f ca="1">OFFSET(COM!S$247,$E122,0)</f>
        <v>6.0799302671182867</v>
      </c>
      <c r="Q122" s="24">
        <f ca="1">OFFSET(COM!T$247,$E122,0)</f>
        <v>8.300453441211495</v>
      </c>
      <c r="R122" s="24">
        <f ca="1">OFFSET(COM!U$247,$E122,0)</f>
        <v>10.606520636049803</v>
      </c>
      <c r="S122" s="24">
        <f ca="1">OFFSET(COM!V$247,$E122,0)</f>
        <v>13.103949311838974</v>
      </c>
      <c r="T122" s="208">
        <f ca="1">OFFSET(COM!W$247,$E122,0)</f>
        <v>15.715242329389051</v>
      </c>
      <c r="U122" s="24">
        <f ca="1">OFFSET(COM!X$247,$E122,0)</f>
        <v>18.496655227702085</v>
      </c>
      <c r="V122" s="24">
        <f ca="1">OFFSET(COM!Y$247,$E122,0)</f>
        <v>21.385788450600277</v>
      </c>
      <c r="W122" s="24">
        <f ca="1">OFFSET(COM!Z$247,$E122,0)</f>
        <v>24.392326310932113</v>
      </c>
      <c r="X122" s="24">
        <f ca="1">OFFSET(COM!AA$247,$E122,0)</f>
        <v>27.618391317847799</v>
      </c>
      <c r="Y122" s="220">
        <f ca="1">OFFSET(COM!AB$247,$E122,0)</f>
        <v>30.928773202839785</v>
      </c>
      <c r="Z122" s="24">
        <f ca="1">OFFSET(COM!AC$247,$E122,0)</f>
        <v>34.198224524611568</v>
      </c>
      <c r="AA122" s="24">
        <f ca="1">OFFSET(COM!AD$247,$E122,0)</f>
        <v>37.563911293825967</v>
      </c>
      <c r="AB122" s="24">
        <f ca="1">OFFSET(COM!AE$247,$E122,0)</f>
        <v>41.002055626047806</v>
      </c>
      <c r="AC122" s="24">
        <f ca="1">OFFSET(COM!AF$247,$E122,0)</f>
        <v>44.521158104436275</v>
      </c>
      <c r="AD122" s="24">
        <f ca="1">OFFSET(COM!AG$247,$E122,0)</f>
        <v>47.957049686095402</v>
      </c>
      <c r="AE122" s="24">
        <f ca="1">OFFSET(COM!AH$247,$E122,0)</f>
        <v>51.438264140814596</v>
      </c>
      <c r="AF122" s="24">
        <f ca="1">OFFSET(COM!AI$247,$E122,0)</f>
        <v>55.14577588360595</v>
      </c>
      <c r="AG122" s="24">
        <f ca="1">OFFSET(COM!AJ$247,$E122,0)</f>
        <v>58.977283449311329</v>
      </c>
      <c r="AH122" s="24">
        <f ca="1">OFFSET(COM!AK$247,$E122,0)</f>
        <v>62.904316564815204</v>
      </c>
      <c r="AI122" s="24">
        <f ca="1">OFFSET(COM!AL$247,$E122,0)</f>
        <v>66.891308759597308</v>
      </c>
      <c r="AJ122" s="24">
        <f ca="1">OFFSET(COM!AM$247,$E122,0)</f>
        <v>87.602773809262473</v>
      </c>
      <c r="AK122" s="24">
        <f ca="1">OFFSET(COM!AN$247,$E122,0)</f>
        <v>110.18893677593367</v>
      </c>
      <c r="AL122" s="24">
        <f ca="1">OFFSET(COM!AO$247,$E122,0)</f>
        <v>110.18893677593367</v>
      </c>
      <c r="AM122" s="24">
        <f ca="1">OFFSET(COM!AP$247,$E122,0)</f>
        <v>110.18893677593367</v>
      </c>
    </row>
    <row r="123" spans="1:39">
      <c r="A123" s="36" t="s">
        <v>256</v>
      </c>
      <c r="B123" t="s">
        <v>386</v>
      </c>
      <c r="E123" s="140">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08">
        <f ca="1">OFFSET(COM!R$247,$E123,0)</f>
        <v>0.59852622221288887</v>
      </c>
      <c r="P123" s="24">
        <f ca="1">OFFSET(COM!S$247,$E123,0)</f>
        <v>0.98738873230386537</v>
      </c>
      <c r="Q123" s="24">
        <f ca="1">OFFSET(COM!T$247,$E123,0)</f>
        <v>1.3480046383409654</v>
      </c>
      <c r="R123" s="24">
        <f ca="1">OFFSET(COM!U$247,$E123,0)</f>
        <v>1.7225130067071954</v>
      </c>
      <c r="S123" s="24">
        <f ca="1">OFFSET(COM!V$247,$E123,0)</f>
        <v>2.1280987331657939</v>
      </c>
      <c r="T123" s="208">
        <f ca="1">OFFSET(COM!W$247,$E123,0)</f>
        <v>2.5521761796156484</v>
      </c>
      <c r="U123" s="24">
        <f ca="1">OFFSET(COM!X$247,$E123,0)</f>
        <v>3.0038813201386847</v>
      </c>
      <c r="V123" s="24">
        <f ca="1">OFFSET(COM!Y$247,$E123,0)</f>
        <v>3.4730803841217859</v>
      </c>
      <c r="W123" s="24">
        <f ca="1">OFFSET(COM!Z$247,$E123,0)</f>
        <v>3.9613461168048794</v>
      </c>
      <c r="X123" s="24">
        <f ca="1">OFFSET(COM!AA$247,$E123,0)</f>
        <v>4.4852633490033531</v>
      </c>
      <c r="Y123" s="220">
        <f ca="1">OFFSET(COM!AB$247,$E123,0)</f>
        <v>5.0228737539353743</v>
      </c>
      <c r="Z123" s="24">
        <f ca="1">OFFSET(COM!AC$247,$E123,0)</f>
        <v>5.5538369811605968</v>
      </c>
      <c r="AA123" s="24">
        <f ca="1">OFFSET(COM!AD$247,$E123,0)</f>
        <v>6.1004289725785554</v>
      </c>
      <c r="AB123" s="24">
        <f ca="1">OFFSET(COM!AE$247,$E123,0)</f>
        <v>6.6587881682473018</v>
      </c>
      <c r="AC123" s="24">
        <f ca="1">OFFSET(COM!AF$247,$E123,0)</f>
        <v>7.2302950741365866</v>
      </c>
      <c r="AD123" s="24">
        <f ca="1">OFFSET(COM!AG$247,$E123,0)</f>
        <v>7.7882884201286782</v>
      </c>
      <c r="AE123" s="24">
        <f ca="1">OFFSET(COM!AH$247,$E123,0)</f>
        <v>8.3536422607661081</v>
      </c>
      <c r="AF123" s="24">
        <f ca="1">OFFSET(COM!AI$247,$E123,0)</f>
        <v>8.9557470808681874</v>
      </c>
      <c r="AG123" s="24">
        <f ca="1">OFFSET(COM!AJ$247,$E123,0)</f>
        <v>9.5779889869266981</v>
      </c>
      <c r="AH123" s="24">
        <f ca="1">OFFSET(COM!AK$247,$E123,0)</f>
        <v>10.215744368859802</v>
      </c>
      <c r="AI123" s="24">
        <f ca="1">OFFSET(COM!AL$247,$E123,0)</f>
        <v>10.863237184723497</v>
      </c>
      <c r="AJ123" s="24">
        <f ca="1">OFFSET(COM!AM$247,$E123,0)</f>
        <v>14.2268065549422</v>
      </c>
      <c r="AK123" s="24">
        <f ca="1">OFFSET(COM!AN$247,$E123,0)</f>
        <v>17.894829351170781</v>
      </c>
      <c r="AL123" s="24">
        <f ca="1">OFFSET(COM!AO$247,$E123,0)</f>
        <v>17.894829351170781</v>
      </c>
      <c r="AM123" s="24">
        <f ca="1">OFFSET(COM!AP$247,$E123,0)</f>
        <v>17.894829351170781</v>
      </c>
    </row>
    <row r="124" spans="1:39">
      <c r="A124" s="36" t="s">
        <v>252</v>
      </c>
      <c r="B124" t="s">
        <v>386</v>
      </c>
      <c r="E124" s="140">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08">
        <f ca="1">OFFSET(COM!R$247,$E124,0)</f>
        <v>0.89654422327597971</v>
      </c>
      <c r="P124" s="24">
        <f ca="1">OFFSET(COM!S$247,$E124,0)</f>
        <v>1.4790290403683508</v>
      </c>
      <c r="Q124" s="24">
        <f ca="1">OFFSET(COM!T$247,$E124,0)</f>
        <v>2.0192027125988692</v>
      </c>
      <c r="R124" s="24">
        <f ca="1">OFFSET(COM!U$247,$E124,0)</f>
        <v>2.5801861779278608</v>
      </c>
      <c r="S124" s="24">
        <f ca="1">OFFSET(COM!V$247,$E124,0)</f>
        <v>3.1877210303780017</v>
      </c>
      <c r="T124" s="208">
        <f ca="1">OFFSET(COM!W$247,$E124,0)</f>
        <v>3.8229549946152637</v>
      </c>
      <c r="U124" s="24">
        <f ca="1">OFFSET(COM!X$247,$E124,0)</f>
        <v>4.4995730262575746</v>
      </c>
      <c r="V124" s="24">
        <f ca="1">OFFSET(COM!Y$247,$E124,0)</f>
        <v>5.2023955505995785</v>
      </c>
      <c r="W124" s="24">
        <f ca="1">OFFSET(COM!Z$247,$E124,0)</f>
        <v>5.9337784137299057</v>
      </c>
      <c r="X124" s="24">
        <f ca="1">OFFSET(COM!AA$247,$E124,0)</f>
        <v>6.7185643605605021</v>
      </c>
      <c r="Y124" s="220">
        <f ca="1">OFFSET(COM!AB$247,$E124,0)</f>
        <v>7.523861580676992</v>
      </c>
      <c r="Z124" s="24">
        <f ca="1">OFFSET(COM!AC$247,$E124,0)</f>
        <v>8.3192018623120134</v>
      </c>
      <c r="AA124" s="24">
        <f ca="1">OFFSET(COM!AD$247,$E124,0)</f>
        <v>9.1379527778239176</v>
      </c>
      <c r="AB124" s="24">
        <f ca="1">OFFSET(COM!AE$247,$E124,0)</f>
        <v>9.9743300204767582</v>
      </c>
      <c r="AC124" s="24">
        <f ca="1">OFFSET(COM!AF$247,$E124,0)</f>
        <v>10.830401477367948</v>
      </c>
      <c r="AD124" s="24">
        <f ca="1">OFFSET(COM!AG$247,$E124,0)</f>
        <v>11.666230706580409</v>
      </c>
      <c r="AE124" s="24">
        <f ca="1">OFFSET(COM!AH$247,$E124,0)</f>
        <v>12.513085365773751</v>
      </c>
      <c r="AF124" s="24">
        <f ca="1">OFFSET(COM!AI$247,$E124,0)</f>
        <v>13.414990041350585</v>
      </c>
      <c r="AG124" s="24">
        <f ca="1">OFFSET(COM!AJ$247,$E124,0)</f>
        <v>14.347058454818633</v>
      </c>
      <c r="AH124" s="24">
        <f ca="1">OFFSET(COM!AK$247,$E124,0)</f>
        <v>15.302364809519863</v>
      </c>
      <c r="AI124" s="24">
        <f ca="1">OFFSET(COM!AL$247,$E124,0)</f>
        <v>16.272257058399163</v>
      </c>
      <c r="AJ124" s="24">
        <f ca="1">OFFSET(COM!AM$247,$E124,0)</f>
        <v>21.310613903164093</v>
      </c>
      <c r="AK124" s="24">
        <f ca="1">OFFSET(COM!AN$247,$E124,0)</f>
        <v>26.805017534545243</v>
      </c>
      <c r="AL124" s="24">
        <f ca="1">OFFSET(COM!AO$247,$E124,0)</f>
        <v>26.805017534545243</v>
      </c>
      <c r="AM124" s="24">
        <f ca="1">OFFSET(COM!AP$247,$E124,0)</f>
        <v>26.805017534545243</v>
      </c>
    </row>
    <row r="125" spans="1:39">
      <c r="A125" s="36" t="s">
        <v>255</v>
      </c>
      <c r="B125" t="s">
        <v>386</v>
      </c>
      <c r="E125" s="140">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08">
        <f ca="1">OFFSET(COM!R$247,$E125,0)</f>
        <v>0</v>
      </c>
      <c r="P125" s="24">
        <f ca="1">OFFSET(COM!S$247,$E125,0)</f>
        <v>0</v>
      </c>
      <c r="Q125" s="24">
        <f ca="1">OFFSET(COM!T$247,$E125,0)</f>
        <v>0</v>
      </c>
      <c r="R125" s="24">
        <f ca="1">OFFSET(COM!U$247,$E125,0)</f>
        <v>0</v>
      </c>
      <c r="S125" s="24">
        <f ca="1">OFFSET(COM!V$247,$E125,0)</f>
        <v>0</v>
      </c>
      <c r="T125" s="208">
        <f ca="1">OFFSET(COM!W$247,$E125,0)</f>
        <v>0</v>
      </c>
      <c r="U125" s="24">
        <f ca="1">OFFSET(COM!X$247,$E125,0)</f>
        <v>0</v>
      </c>
      <c r="V125" s="24">
        <f ca="1">OFFSET(COM!Y$247,$E125,0)</f>
        <v>0</v>
      </c>
      <c r="W125" s="24">
        <f ca="1">OFFSET(COM!Z$247,$E125,0)</f>
        <v>0</v>
      </c>
      <c r="X125" s="24">
        <f ca="1">OFFSET(COM!AA$247,$E125,0)</f>
        <v>0</v>
      </c>
      <c r="Y125" s="220">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386</v>
      </c>
      <c r="E126" s="140">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08">
        <f ca="1">OFFSET(COM!R$247,$E126,0)</f>
        <v>0.46735933450650663</v>
      </c>
      <c r="P126" s="24">
        <f ca="1">OFFSET(COM!S$247,$E126,0)</f>
        <v>0.77100271250040542</v>
      </c>
      <c r="Q126" s="24">
        <f ca="1">OFFSET(COM!T$247,$E126,0)</f>
        <v>1.0525897234000101</v>
      </c>
      <c r="R126" s="24">
        <f ca="1">OFFSET(COM!U$247,$E126,0)</f>
        <v>1.3450246666170893</v>
      </c>
      <c r="S126" s="24">
        <f ca="1">OFFSET(COM!V$247,$E126,0)</f>
        <v>1.661726371852664</v>
      </c>
      <c r="T126" s="208">
        <f ca="1">OFFSET(COM!W$247,$E126,0)</f>
        <v>1.9928673407800481</v>
      </c>
      <c r="U126" s="24">
        <f ca="1">OFFSET(COM!X$247,$E126,0)</f>
        <v>2.345581400804849</v>
      </c>
      <c r="V126" s="24">
        <f ca="1">OFFSET(COM!Y$247,$E126,0)</f>
        <v>2.7119555948768692</v>
      </c>
      <c r="W126" s="24">
        <f ca="1">OFFSET(COM!Z$247,$E126,0)</f>
        <v>3.0932180014685322</v>
      </c>
      <c r="X126" s="24">
        <f ca="1">OFFSET(COM!AA$247,$E126,0)</f>
        <v>3.5023188894320954</v>
      </c>
      <c r="Y126" s="220">
        <f ca="1">OFFSET(COM!AB$247,$E126,0)</f>
        <v>3.92211209438784</v>
      </c>
      <c r="Z126" s="24">
        <f ca="1">OFFSET(COM!AC$247,$E126,0)</f>
        <v>4.3367148491442435</v>
      </c>
      <c r="AA126" s="24">
        <f ca="1">OFFSET(COM!AD$247,$E126,0)</f>
        <v>4.7635213279167319</v>
      </c>
      <c r="AB126" s="24">
        <f ca="1">OFFSET(COM!AE$247,$E126,0)</f>
        <v>5.1995162307607972</v>
      </c>
      <c r="AC126" s="24">
        <f ca="1">OFFSET(COM!AF$247,$E126,0)</f>
        <v>5.6457775260717398</v>
      </c>
      <c r="AD126" s="24">
        <f ca="1">OFFSET(COM!AG$247,$E126,0)</f>
        <v>6.0814867551139482</v>
      </c>
      <c r="AE126" s="24">
        <f ca="1">OFFSET(COM!AH$247,$E126,0)</f>
        <v>6.522943428046525</v>
      </c>
      <c r="AF126" s="24">
        <f ca="1">OFFSET(COM!AI$247,$E126,0)</f>
        <v>6.993097111515346</v>
      </c>
      <c r="AG126" s="24">
        <f ca="1">OFFSET(COM!AJ$247,$E126,0)</f>
        <v>7.478974843057955</v>
      </c>
      <c r="AH126" s="24">
        <f ca="1">OFFSET(COM!AK$247,$E126,0)</f>
        <v>7.9769662757076381</v>
      </c>
      <c r="AI126" s="24">
        <f ca="1">OFFSET(COM!AL$247,$E126,0)</f>
        <v>8.4825611858203054</v>
      </c>
      <c r="AJ126" s="24">
        <f ca="1">OFFSET(COM!AM$247,$E126,0)</f>
        <v>11.109005080993111</v>
      </c>
      <c r="AK126" s="24">
        <f ca="1">OFFSET(COM!AN$247,$E126,0)</f>
        <v>13.973181501972595</v>
      </c>
      <c r="AL126" s="24">
        <f ca="1">OFFSET(COM!AO$247,$E126,0)</f>
        <v>13.973181501972595</v>
      </c>
      <c r="AM126" s="24">
        <f ca="1">OFFSET(COM!AP$247,$E126,0)</f>
        <v>13.973181501972595</v>
      </c>
    </row>
    <row r="127" spans="1:39">
      <c r="A127" s="36" t="s">
        <v>292</v>
      </c>
      <c r="B127">
        <v>9</v>
      </c>
      <c r="E127" s="141">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18">
        <f ca="1">OFFSET(IND!R$25,$E127,0)</f>
        <v>5.0030232389251985</v>
      </c>
      <c r="P127" s="10">
        <f ca="1">OFFSET(IND!S$25,$E127,0)</f>
        <v>5.2147499273111597</v>
      </c>
      <c r="Q127" s="10">
        <f ca="1">OFFSET(IND!T$25,$E127,0)</f>
        <v>5.3715845111873151</v>
      </c>
      <c r="R127" s="10">
        <f ca="1">OFFSET(IND!U$25,$E127,0)</f>
        <v>5.5323399596584437</v>
      </c>
      <c r="S127" s="10">
        <f ca="1">OFFSET(IND!V$25,$E127,0)</f>
        <v>5.7205414603611739</v>
      </c>
      <c r="T127" s="218">
        <f ca="1">OFFSET(IND!W$25,$E127,0)</f>
        <v>5.9244264194744964</v>
      </c>
      <c r="U127" s="10">
        <f ca="1">OFFSET(IND!X$25,$E127,0)</f>
        <v>6.1439948369967823</v>
      </c>
      <c r="V127" s="10">
        <f ca="1">OFFSET(IND!Y$25,$E127,0)</f>
        <v>6.3792467129265091</v>
      </c>
      <c r="W127" s="10">
        <f ca="1">OFFSET(IND!Z$25,$E127,0)</f>
        <v>6.6262611826571431</v>
      </c>
      <c r="X127" s="10">
        <f ca="1">OFFSET(IND!AA$25,$E127,0)</f>
        <v>6.9046425692122879</v>
      </c>
      <c r="Y127" s="221">
        <f ca="1">OFFSET(IND!AB$25,$E127,0)</f>
        <v>7.1908656849609605</v>
      </c>
      <c r="Z127" s="10">
        <f ca="1">OFFSET(IND!AC$25,$E127,0)</f>
        <v>7.4574844776717555</v>
      </c>
      <c r="AA127" s="10">
        <f ca="1">OFFSET(IND!AD$25,$E127,0)</f>
        <v>7.7319449995770277</v>
      </c>
      <c r="AB127" s="10">
        <f ca="1">OFFSET(IND!AE$25,$E127,0)</f>
        <v>8.0181681152805293</v>
      </c>
      <c r="AC127" s="10">
        <f ca="1">OFFSET(IND!AF$25,$E127,0)</f>
        <v>8.3083120955738927</v>
      </c>
      <c r="AD127" s="10">
        <f ca="1">OFFSET(IND!AG$25,$E127,0)</f>
        <v>8.5827726174388737</v>
      </c>
      <c r="AE127" s="10">
        <f ca="1">OFFSET(IND!AH$25,$E127,0)</f>
        <v>8.8533122746878217</v>
      </c>
      <c r="AF127" s="10">
        <f ca="1">OFFSET(IND!AI$25,$E127,0)</f>
        <v>9.1199310673214722</v>
      </c>
      <c r="AG127" s="10">
        <f ca="1">OFFSET(IND!AJ$25,$E127,0)</f>
        <v>9.4414419643877725</v>
      </c>
      <c r="AH127" s="10">
        <f ca="1">OFFSET(IND!AK$25,$E127,0)</f>
        <v>9.7786363198526765</v>
      </c>
      <c r="AI127" s="10">
        <f ca="1">OFFSET(IND!AL$25,$E127,0)</f>
        <v>10.12759326911255</v>
      </c>
      <c r="AJ127" s="10">
        <f ca="1">OFFSET(IND!AM$25,$E127,0)</f>
        <v>12.597737966651266</v>
      </c>
      <c r="AK127" s="10">
        <f ca="1">OFFSET(IND!AN$25,$E127,0)</f>
        <v>15.989285845223394</v>
      </c>
      <c r="AL127" s="10">
        <f ca="1">OFFSET(IND!AO$25,$E127,0)</f>
        <v>21.697411224495418</v>
      </c>
      <c r="AM127" s="10">
        <f ca="1">OFFSET(IND!AP$25,$E127,0)</f>
        <v>27.559103800606323</v>
      </c>
    </row>
    <row r="128" spans="1:39">
      <c r="A128" s="36" t="s">
        <v>299</v>
      </c>
      <c r="B128">
        <v>3.4</v>
      </c>
      <c r="E128" s="141">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18">
        <f ca="1">OFFSET(IND!R$25,$E128,0)</f>
        <v>8.8973840775094484</v>
      </c>
      <c r="P128" s="10">
        <f ca="1">OFFSET(IND!S$25,$E128,0)</f>
        <v>9.2818389444195386</v>
      </c>
      <c r="Q128" s="10">
        <f ca="1">OFFSET(IND!T$25,$E128,0)</f>
        <v>9.6235766038049011</v>
      </c>
      <c r="R128" s="10">
        <f ca="1">OFFSET(IND!U$25,$E128,0)</f>
        <v>9.9958265542376932</v>
      </c>
      <c r="S128" s="10">
        <f ca="1">OFFSET(IND!V$25,$E128,0)</f>
        <v>10.416896170355344</v>
      </c>
      <c r="T128" s="218">
        <f ca="1">OFFSET(IND!W$25,$E128,0)</f>
        <v>10.868478077513776</v>
      </c>
      <c r="U128" s="10">
        <f ca="1">OFFSET(IND!X$25,$E128,0)</f>
        <v>11.374982108561586</v>
      </c>
      <c r="V128" s="10">
        <f ca="1">OFFSET(IND!Y$25,$E128,0)</f>
        <v>11.918100888856744</v>
      </c>
      <c r="W128" s="10">
        <f ca="1">OFFSET(IND!Z$25,$E128,0)</f>
        <v>12.497834418396737</v>
      </c>
      <c r="X128" s="10">
        <f ca="1">OFFSET(IND!AA$25,$E128,0)</f>
        <v>13.156899904661948</v>
      </c>
      <c r="Y128" s="221">
        <f ca="1">OFFSET(IND!AB$25,$E128,0)</f>
        <v>13.852580140165754</v>
      </c>
      <c r="Z128" s="10">
        <f ca="1">OFFSET(IND!AC$25,$E128,0)</f>
        <v>14.56046529206143</v>
      </c>
      <c r="AA128" s="10">
        <f ca="1">OFFSET(IND!AD$25,$E128,0)</f>
        <v>15.304965193193448</v>
      </c>
      <c r="AB128" s="10">
        <f ca="1">OFFSET(IND!AE$25,$E128,0)</f>
        <v>16.098284759981855</v>
      </c>
      <c r="AC128" s="10">
        <f ca="1">OFFSET(IND!AF$25,$E128,0)</f>
        <v>16.934321534213879</v>
      </c>
      <c r="AD128" s="10">
        <f ca="1">OFFSET(IND!AG$25,$E128,0)</f>
        <v>17.770358308415776</v>
      </c>
      <c r="AE128" s="10">
        <f ca="1">OFFSET(IND!AH$25,$E128,0)</f>
        <v>18.636907373639449</v>
      </c>
      <c r="AF128" s="10">
        <f ca="1">OFFSET(IND!AI$25,$E128,0)</f>
        <v>19.613300686612924</v>
      </c>
      <c r="AG128" s="10">
        <f ca="1">OFFSET(IND!AJ$25,$E128,0)</f>
        <v>20.632411207023974</v>
      </c>
      <c r="AH128" s="10">
        <f ca="1">OFFSET(IND!AK$25,$E128,0)</f>
        <v>21.700341393081107</v>
      </c>
      <c r="AI128" s="10">
        <f ca="1">OFFSET(IND!AL$25,$E128,0)</f>
        <v>22.810988786573702</v>
      </c>
      <c r="AJ128" s="10">
        <f ca="1">OFFSET(IND!AM$25,$E128,0)</f>
        <v>29.413848565532749</v>
      </c>
      <c r="AK128" s="10">
        <f ca="1">OFFSET(IND!AN$25,$E128,0)</f>
        <v>37.646064685409264</v>
      </c>
      <c r="AL128" s="10">
        <f ca="1">OFFSET(IND!AO$25,$E128,0)</f>
        <v>52.209581194091975</v>
      </c>
      <c r="AM128" s="10">
        <f ca="1">OFFSET(IND!AP$25,$E128,0)</f>
        <v>67.044657092927807</v>
      </c>
    </row>
    <row r="129" spans="1:39">
      <c r="A129" s="36" t="s">
        <v>293</v>
      </c>
      <c r="B129">
        <v>10</v>
      </c>
      <c r="E129" s="141">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18">
        <f ca="1">OFFSET(IND!R$25,$E129,0)</f>
        <v>13.663781375183582</v>
      </c>
      <c r="P129" s="10">
        <f ca="1">OFFSET(IND!S$25,$E129,0)</f>
        <v>14.25419168054102</v>
      </c>
      <c r="Q129" s="10">
        <f ca="1">OFFSET(IND!T$25,$E129,0)</f>
        <v>14.779000840720109</v>
      </c>
      <c r="R129" s="10">
        <f ca="1">OFFSET(IND!U$25,$E129,0)</f>
        <v>15.350667961676898</v>
      </c>
      <c r="S129" s="10">
        <f ca="1">OFFSET(IND!V$25,$E129,0)</f>
        <v>15.997307819891779</v>
      </c>
      <c r="T129" s="218">
        <f ca="1">OFFSET(IND!W$25,$E129,0)</f>
        <v>16.690805638874146</v>
      </c>
      <c r="U129" s="10">
        <f ca="1">OFFSET(IND!X$25,$E129,0)</f>
        <v>17.468647787262523</v>
      </c>
      <c r="V129" s="10">
        <f ca="1">OFFSET(IND!Y$25,$E129,0)</f>
        <v>18.302719488569441</v>
      </c>
      <c r="W129" s="10">
        <f ca="1">OFFSET(IND!Z$25,$E129,0)</f>
        <v>19.193020742791045</v>
      </c>
      <c r="X129" s="10">
        <f ca="1">OFFSET(IND!AA$25,$E129,0)</f>
        <v>20.205152695037587</v>
      </c>
      <c r="Y129" s="221">
        <f ca="1">OFFSET(IND!AB$25,$E129,0)</f>
        <v>21.273514200189229</v>
      </c>
      <c r="Z129" s="10">
        <f ca="1">OFFSET(IND!AC$25,$E129,0)</f>
        <v>22.360618889610326</v>
      </c>
      <c r="AA129" s="10">
        <f ca="1">OFFSET(IND!AD$25,$E129,0)</f>
        <v>23.503953131933066</v>
      </c>
      <c r="AB129" s="10">
        <f ca="1">OFFSET(IND!AE$25,$E129,0)</f>
        <v>24.722260111470177</v>
      </c>
      <c r="AC129" s="10">
        <f ca="1">OFFSET(IND!AF$25,$E129,0)</f>
        <v>26.006168236061079</v>
      </c>
      <c r="AD129" s="10">
        <f ca="1">OFFSET(IND!AG$25,$E129,0)</f>
        <v>27.290076360605713</v>
      </c>
      <c r="AE129" s="10">
        <f ca="1">OFFSET(IND!AH$25,$E129,0)</f>
        <v>28.620842445888652</v>
      </c>
      <c r="AF129" s="10">
        <f ca="1">OFFSET(IND!AI$25,$E129,0)</f>
        <v>30.12029718993913</v>
      </c>
      <c r="AG129" s="10">
        <f ca="1">OFFSET(IND!AJ$25,$E129,0)</f>
        <v>31.685353079034122</v>
      </c>
      <c r="AH129" s="10">
        <f ca="1">OFFSET(IND!AK$25,$E129,0)</f>
        <v>33.325381705327651</v>
      </c>
      <c r="AI129" s="10">
        <f ca="1">OFFSET(IND!AL$25,$E129,0)</f>
        <v>35.031011476662449</v>
      </c>
      <c r="AJ129" s="10">
        <f ca="1">OFFSET(IND!AM$25,$E129,0)</f>
        <v>45.17107418326686</v>
      </c>
      <c r="AK129" s="10">
        <f ca="1">OFFSET(IND!AN$25,$E129,0)</f>
        <v>57.813351993841167</v>
      </c>
      <c r="AL129" s="10">
        <f ca="1">OFFSET(IND!AO$25,$E129,0)</f>
        <v>80.178656660358328</v>
      </c>
      <c r="AM129" s="10">
        <f ca="1">OFFSET(IND!AP$25,$E129,0)</f>
        <v>102.96099717753745</v>
      </c>
    </row>
    <row r="130" spans="1:39">
      <c r="A130" s="36" t="s">
        <v>298</v>
      </c>
      <c r="B130">
        <v>0.63500000000000001</v>
      </c>
      <c r="E130" s="141">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18">
        <f ca="1">OFFSET(IND!R$25,$E130,0)</f>
        <v>1.0761048779153095</v>
      </c>
      <c r="P130" s="10">
        <f ca="1">OFFSET(IND!S$25,$E130,0)</f>
        <v>1.1226032367605798</v>
      </c>
      <c r="Q130" s="10">
        <f ca="1">OFFSET(IND!T$25,$E130,0)</f>
        <v>1.1639351112787906</v>
      </c>
      <c r="R130" s="10">
        <f ca="1">OFFSET(IND!U$25,$E130,0)</f>
        <v>1.2089573317398625</v>
      </c>
      <c r="S130" s="10">
        <f ca="1">OFFSET(IND!V$25,$E130,0)</f>
        <v>1.2598841057105965</v>
      </c>
      <c r="T130" s="218">
        <f ca="1">OFFSET(IND!W$25,$E130,0)</f>
        <v>1.3145012256233872</v>
      </c>
      <c r="U130" s="10">
        <f ca="1">OFFSET(IND!X$25,$E130,0)</f>
        <v>1.3757609682338114</v>
      </c>
      <c r="V130" s="10">
        <f ca="1">OFFSET(IND!Y$25,$E130,0)</f>
        <v>1.4414491259745112</v>
      </c>
      <c r="W130" s="10">
        <f ca="1">OFFSET(IND!Z$25,$E130,0)</f>
        <v>1.5115656988451829</v>
      </c>
      <c r="X130" s="10">
        <f ca="1">OFFSET(IND!AA$25,$E130,0)</f>
        <v>1.5912771711675227</v>
      </c>
      <c r="Y130" s="221">
        <f ca="1">OFFSET(IND!AB$25,$E130,0)</f>
        <v>1.6754170586190793</v>
      </c>
      <c r="Z130" s="10">
        <f ca="1">OFFSET(IND!AC$25,$E130,0)</f>
        <v>1.7610330844445021</v>
      </c>
      <c r="AA130" s="10">
        <f ca="1">OFFSET(IND!AD$25,$E130,0)</f>
        <v>1.85107752539887</v>
      </c>
      <c r="AB130" s="10">
        <f ca="1">OFFSET(IND!AE$25,$E130,0)</f>
        <v>1.9470265198594565</v>
      </c>
      <c r="AC130" s="10">
        <f ca="1">OFFSET(IND!AF$25,$E130,0)</f>
        <v>2.0481419986372926</v>
      </c>
      <c r="AD130" s="10">
        <f ca="1">OFFSET(IND!AG$25,$E130,0)</f>
        <v>2.1492574774114845</v>
      </c>
      <c r="AE130" s="10">
        <f ca="1">OFFSET(IND!AH$25,$E130,0)</f>
        <v>2.2540633021254353</v>
      </c>
      <c r="AF130" s="10">
        <f ca="1">OFFSET(IND!AI$25,$E130,0)</f>
        <v>2.3721543722311509</v>
      </c>
      <c r="AG130" s="10">
        <f ca="1">OFFSET(IND!AJ$25,$E130,0)</f>
        <v>2.4954119266533854</v>
      </c>
      <c r="AH130" s="10">
        <f ca="1">OFFSET(IND!AK$25,$E130,0)</f>
        <v>2.6245740345805917</v>
      </c>
      <c r="AI130" s="10">
        <f ca="1">OFFSET(IND!AL$25,$E130,0)</f>
        <v>2.7589026268240615</v>
      </c>
      <c r="AJ130" s="10">
        <f ca="1">OFFSET(IND!AM$25,$E130,0)</f>
        <v>3.5574934884110516</v>
      </c>
      <c r="AK130" s="10">
        <f ca="1">OFFSET(IND!AN$25,$E130,0)</f>
        <v>4.5531488232240109</v>
      </c>
      <c r="AL130" s="10">
        <f ca="1">OFFSET(IND!AO$25,$E130,0)</f>
        <v>6.3145509407529721</v>
      </c>
      <c r="AM130" s="10">
        <f ca="1">OFFSET(IND!AP$25,$E130,0)</f>
        <v>8.108797137152953</v>
      </c>
    </row>
    <row r="131" spans="1:39">
      <c r="A131" s="36" t="s">
        <v>297</v>
      </c>
      <c r="B131">
        <v>1.53</v>
      </c>
      <c r="E131" s="141">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18">
        <f ca="1">OFFSET(IND!R$25,$E131,0)</f>
        <v>1.2582299092354532</v>
      </c>
      <c r="P131" s="10">
        <f ca="1">OFFSET(IND!S$25,$E131,0)</f>
        <v>1.3125978681864638</v>
      </c>
      <c r="Q131" s="10">
        <f ca="1">OFFSET(IND!T$25,$E131,0)</f>
        <v>1.3609249427968184</v>
      </c>
      <c r="R131" s="10">
        <f ca="1">OFFSET(IND!U$25,$E131,0)</f>
        <v>1.4135669347874646</v>
      </c>
      <c r="S131" s="10">
        <f ca="1">OFFSET(IND!V$25,$E131,0)</f>
        <v>1.4731127945878455</v>
      </c>
      <c r="T131" s="218">
        <f ca="1">OFFSET(IND!W$25,$E131,0)</f>
        <v>1.5369735717675777</v>
      </c>
      <c r="U131" s="10">
        <f ca="1">OFFSET(IND!X$25,$E131,0)</f>
        <v>1.6086012002324004</v>
      </c>
      <c r="V131" s="10">
        <f ca="1">OFFSET(IND!Y$25,$E131,0)</f>
        <v>1.6854067295522197</v>
      </c>
      <c r="W131" s="10">
        <f ca="1">OFFSET(IND!Z$25,$E131,0)</f>
        <v>1.7673901597266806</v>
      </c>
      <c r="X131" s="10">
        <f ca="1">OFFSET(IND!AA$25,$E131,0)</f>
        <v>1.8605923750901678</v>
      </c>
      <c r="Y131" s="221">
        <f ca="1">OFFSET(IND!AB$25,$E131,0)</f>
        <v>1.9589724913074138</v>
      </c>
      <c r="Z131" s="10">
        <f ca="1">OFFSET(IND!AC$25,$E131,0)</f>
        <v>2.0590785744729434</v>
      </c>
      <c r="AA131" s="10">
        <f ca="1">OFFSET(IND!AD$25,$E131,0)</f>
        <v>2.1643625584919137</v>
      </c>
      <c r="AB131" s="10">
        <f ca="1">OFFSET(IND!AE$25,$E131,0)</f>
        <v>2.2765504103165921</v>
      </c>
      <c r="AC131" s="10">
        <f ca="1">OFFSET(IND!AF$25,$E131,0)</f>
        <v>2.3947791464704569</v>
      </c>
      <c r="AD131" s="10">
        <f ca="1">OFFSET(IND!AG$25,$E131,0)</f>
        <v>2.513007882620061</v>
      </c>
      <c r="AE131" s="10">
        <f ca="1">OFFSET(IND!AH$25,$E131,0)</f>
        <v>2.6355515361463291</v>
      </c>
      <c r="AF131" s="10">
        <f ca="1">OFFSET(IND!AI$25,$E131,0)</f>
        <v>2.7736288922386834</v>
      </c>
      <c r="AG131" s="10">
        <f ca="1">OFFSET(IND!AJ$25,$E131,0)</f>
        <v>2.91774713265937</v>
      </c>
      <c r="AH131" s="10">
        <f ca="1">OFFSET(IND!AK$25,$E131,0)</f>
        <v>3.0687692408843072</v>
      </c>
      <c r="AI131" s="10">
        <f ca="1">OFFSET(IND!AL$25,$E131,0)</f>
        <v>3.2258322334372775</v>
      </c>
      <c r="AJ131" s="10">
        <f ca="1">OFFSET(IND!AM$25,$E131,0)</f>
        <v>4.1595803540084217</v>
      </c>
      <c r="AK131" s="10">
        <f ca="1">OFFSET(IND!AN$25,$E131,0)</f>
        <v>5.3237450625435487</v>
      </c>
      <c r="AL131" s="10">
        <f ca="1">OFFSET(IND!AO$25,$E131,0)</f>
        <v>7.3832551269891633</v>
      </c>
      <c r="AM131" s="10">
        <f ca="1">OFFSET(IND!AP$25,$E131,0)</f>
        <v>9.4811679560954722</v>
      </c>
    </row>
    <row r="132" spans="1:39">
      <c r="A132" s="36" t="s">
        <v>385</v>
      </c>
      <c r="B132">
        <v>7.8658203618</v>
      </c>
      <c r="E132" s="141">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18">
        <f ca="1">OFFSET(IND!R$25,$E132,0)</f>
        <v>34.307164013621616</v>
      </c>
      <c r="P132" s="10">
        <f ca="1">OFFSET(IND!S$25,$E132,0)</f>
        <v>35.849998691509661</v>
      </c>
      <c r="Q132" s="10">
        <f ca="1">OFFSET(IND!T$25,$E132,0)</f>
        <v>37.221247082769906</v>
      </c>
      <c r="R132" s="10">
        <f ca="1">OFFSET(IND!U$25,$E132,0)</f>
        <v>38.676125764982949</v>
      </c>
      <c r="S132" s="10">
        <f ca="1">OFFSET(IND!V$25,$E132,0)</f>
        <v>40.33287066674383</v>
      </c>
      <c r="T132" s="218">
        <f ca="1">OFFSET(IND!W$25,$E132,0)</f>
        <v>42.120828611207948</v>
      </c>
      <c r="U132" s="10">
        <f ca="1">OFFSET(IND!X$25,$E132,0)</f>
        <v>44.102001365808434</v>
      </c>
      <c r="V132" s="10">
        <f ca="1">OFFSET(IND!Y$25,$E132,0)</f>
        <v>46.218712867815398</v>
      </c>
      <c r="W132" s="10">
        <f ca="1">OFFSET(IND!Z$25,$E132,0)</f>
        <v>48.504126853297301</v>
      </c>
      <c r="X132" s="10">
        <f ca="1">OFFSET(IND!AA$25,$E132,0)</f>
        <v>51.090898266529159</v>
      </c>
      <c r="Y132" s="221">
        <f ca="1">OFFSET(IND!AB$25,$E132,0)</f>
        <v>53.803115116187982</v>
      </c>
      <c r="Z132" s="10">
        <f ca="1">OFFSET(IND!AC$25,$E132,0)</f>
        <v>56.590310847386263</v>
      </c>
      <c r="AA132" s="10">
        <f ca="1">OFFSET(IND!AD$25,$E132,0)</f>
        <v>59.537557652647912</v>
      </c>
      <c r="AB132" s="10">
        <f ca="1">OFFSET(IND!AE$25,$E132,0)</f>
        <v>62.621785106881326</v>
      </c>
      <c r="AC132" s="10">
        <f ca="1">OFFSET(IND!AF$25,$E132,0)</f>
        <v>65.912204485359624</v>
      </c>
      <c r="AD132" s="10">
        <f ca="1">OFFSET(IND!AG$25,$E132,0)</f>
        <v>69.185321045012401</v>
      </c>
      <c r="AE132" s="10">
        <f ca="1">OFFSET(IND!AH$25,$E132,0)</f>
        <v>72.608395367750063</v>
      </c>
      <c r="AF132" s="10">
        <f ca="1">OFFSET(IND!AI$25,$E132,0)</f>
        <v>76.455388751527806</v>
      </c>
      <c r="AG132" s="10">
        <f ca="1">OFFSET(IND!AJ$25,$E132,0)</f>
        <v>80.499922650139467</v>
      </c>
      <c r="AH132" s="10">
        <f ca="1">OFFSET(IND!AK$25,$E132,0)</f>
        <v>84.753532276130201</v>
      </c>
      <c r="AI132" s="10">
        <f ca="1">OFFSET(IND!AL$25,$E132,0)</f>
        <v>89.165751074613368</v>
      </c>
      <c r="AJ132" s="10">
        <f ca="1">OFFSET(IND!AM$25,$E132,0)</f>
        <v>115.30454270171612</v>
      </c>
      <c r="AK132" s="10">
        <f ca="1">OFFSET(IND!AN$25,$E132,0)</f>
        <v>148.23901641940799</v>
      </c>
      <c r="AL132" s="10">
        <f ca="1">OFFSET(IND!AO$25,$E132,0)</f>
        <v>206.17966808243648</v>
      </c>
      <c r="AM132" s="10">
        <f ca="1">OFFSET(IND!AP$25,$E132,0)</f>
        <v>265.25293342723046</v>
      </c>
    </row>
    <row r="133" spans="1:39">
      <c r="A133" s="36" t="s">
        <v>300</v>
      </c>
      <c r="E133" s="141">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18">
        <f ca="1">OFFSET(IND!R$25,$E133,0)</f>
        <v>2.0587566094643788</v>
      </c>
      <c r="P133" s="10">
        <f ca="1">OFFSET(IND!S$25,$E133,0)</f>
        <v>2.147400596839196</v>
      </c>
      <c r="Q133" s="10">
        <f ca="1">OFFSET(IND!T$25,$E133,0)</f>
        <v>2.224964085774308</v>
      </c>
      <c r="R133" s="10">
        <f ca="1">OFFSET(IND!U$25,$E133,0)</f>
        <v>2.3080678239228472</v>
      </c>
      <c r="S133" s="10">
        <f ca="1">OFFSET(IND!V$25,$E133,0)</f>
        <v>2.4033601103448485</v>
      </c>
      <c r="T133" s="218">
        <f ca="1">OFFSET(IND!W$25,$E133,0)</f>
        <v>2.515273144412761</v>
      </c>
      <c r="U133" s="10">
        <f ca="1">OFFSET(IND!X$25,$E133,0)</f>
        <v>2.6282942283190485</v>
      </c>
      <c r="V133" s="10">
        <f ca="1">OFFSET(IND!Y$25,$E133,0)</f>
        <v>2.7501797109666359</v>
      </c>
      <c r="W133" s="10">
        <f ca="1">OFFSET(IND!Z$25,$E133,0)</f>
        <v>2.8809295923550202</v>
      </c>
      <c r="X133" s="10">
        <f ca="1">OFFSET(IND!AA$25,$E133,0)</f>
        <v>3.0249760718564263</v>
      </c>
      <c r="Y133" s="221">
        <f ca="1">OFFSET(IND!AB$25,$E133,0)</f>
        <v>3.1756708504113376</v>
      </c>
      <c r="Z133" s="10">
        <f ca="1">OFFSET(IND!AC$25,$E133,0)</f>
        <v>3.3230414794317151</v>
      </c>
      <c r="AA133" s="10">
        <f ca="1">OFFSET(IND!AD$25,$E133,0)</f>
        <v>3.4792765071916163</v>
      </c>
      <c r="AB133" s="10">
        <f ca="1">OFFSET(IND!AE$25,$E133,0)</f>
        <v>3.6421598340046577</v>
      </c>
      <c r="AC133" s="10">
        <f ca="1">OFFSET(IND!AF$25,$E133,0)</f>
        <v>3.811691459870659</v>
      </c>
      <c r="AD133" s="10">
        <f ca="1">OFFSET(IND!AG$25,$E133,0)</f>
        <v>3.9623862384015229</v>
      </c>
      <c r="AE133" s="10">
        <f ca="1">OFFSET(IND!AH$25,$E133,0)</f>
        <v>4.1308098144149321</v>
      </c>
      <c r="AF133" s="10">
        <f ca="1">OFFSET(IND!AI$25,$E133,0)</f>
        <v>4.3169621879101072</v>
      </c>
      <c r="AG133" s="10">
        <f ca="1">OFFSET(IND!AJ$25,$E133,0)</f>
        <v>4.517519209357741</v>
      </c>
      <c r="AH133" s="10">
        <f ca="1">OFFSET(IND!AK$25,$E133,0)</f>
        <v>4.7302647790716623</v>
      </c>
      <c r="AI133" s="10">
        <f ca="1">OFFSET(IND!AL$25,$E133,0)</f>
        <v>4.9551988970515239</v>
      </c>
      <c r="AJ133" s="10">
        <f ca="1">OFFSET(IND!AM$25,$E133,0)</f>
        <v>6.3358290005500431</v>
      </c>
      <c r="AK133" s="10">
        <f ca="1">OFFSET(IND!AN$25,$E133,0)</f>
        <v>8.0643867545175478</v>
      </c>
      <c r="AL133" s="10">
        <f ca="1">OFFSET(IND!AO$25,$E133,0)</f>
        <v>11.115586670238759</v>
      </c>
      <c r="AM133" s="10">
        <f ca="1">OFFSET(IND!AP$25,$E133,0)</f>
        <v>14.224774527704771</v>
      </c>
    </row>
    <row r="134" spans="1:39">
      <c r="A134" s="36" t="s">
        <v>301</v>
      </c>
      <c r="E134" s="141">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18">
        <f ca="1">OFFSET(IND!R$25,$E134,0)</f>
        <v>0.62243300659855272</v>
      </c>
      <c r="P134" s="10">
        <f ca="1">OFFSET(IND!S$25,$E134,0)</f>
        <v>0.64923313601887622</v>
      </c>
      <c r="Q134" s="10">
        <f ca="1">OFFSET(IND!T$25,$E134,0)</f>
        <v>0.67268324925626166</v>
      </c>
      <c r="R134" s="10">
        <f ca="1">OFFSET(IND!U$25,$E134,0)</f>
        <v>0.69780837058317335</v>
      </c>
      <c r="S134" s="10">
        <f ca="1">OFFSET(IND!V$25,$E134,0)</f>
        <v>0.72661850970822917</v>
      </c>
      <c r="T134" s="218">
        <f ca="1">OFFSET(IND!W$25,$E134,0)</f>
        <v>0.76045367310356593</v>
      </c>
      <c r="U134" s="10">
        <f ca="1">OFFSET(IND!X$25,$E134,0)</f>
        <v>0.79462383811550485</v>
      </c>
      <c r="V134" s="10">
        <f ca="1">OFFSET(IND!Y$25,$E134,0)</f>
        <v>0.83147401607063054</v>
      </c>
      <c r="W134" s="10">
        <f ca="1">OFFSET(IND!Z$25,$E134,0)</f>
        <v>0.87100420696879088</v>
      </c>
      <c r="X134" s="10">
        <f ca="1">OFFSET(IND!AA$25,$E134,0)</f>
        <v>0.91455441728205544</v>
      </c>
      <c r="Y134" s="221">
        <f ca="1">OFFSET(IND!AB$25,$E134,0)</f>
        <v>0.96011463730196323</v>
      </c>
      <c r="Z134" s="10">
        <f ca="1">OFFSET(IND!AC$25,$E134,0)</f>
        <v>1.0046698524661968</v>
      </c>
      <c r="AA134" s="10">
        <f ca="1">OFFSET(IND!AD$25,$E134,0)</f>
        <v>1.0519050805730801</v>
      </c>
      <c r="AB134" s="10">
        <f ca="1">OFFSET(IND!AE$25,$E134,0)</f>
        <v>1.1011503183864964</v>
      </c>
      <c r="AC134" s="10">
        <f ca="1">OFFSET(IND!AF$25,$E134,0)</f>
        <v>1.1524055659063912</v>
      </c>
      <c r="AD134" s="10">
        <f ca="1">OFFSET(IND!AG$25,$E134,0)</f>
        <v>1.1979657859190285</v>
      </c>
      <c r="AE134" s="10">
        <f ca="1">OFFSET(IND!AH$25,$E134,0)</f>
        <v>1.248886031818023</v>
      </c>
      <c r="AF134" s="10">
        <f ca="1">OFFSET(IND!AI$25,$E134,0)</f>
        <v>1.3051663036031389</v>
      </c>
      <c r="AG134" s="10">
        <f ca="1">OFFSET(IND!AJ$25,$E134,0)</f>
        <v>1.3658015964202819</v>
      </c>
      <c r="AH134" s="10">
        <f ca="1">OFFSET(IND!AK$25,$E134,0)</f>
        <v>1.4301219070333997</v>
      </c>
      <c r="AI134" s="10">
        <f ca="1">OFFSET(IND!AL$25,$E134,0)</f>
        <v>1.4981272354423874</v>
      </c>
      <c r="AJ134" s="10">
        <f ca="1">OFFSET(IND!AM$25,$E134,0)</f>
        <v>1.9155392512049643</v>
      </c>
      <c r="AK134" s="10">
        <f ca="1">OFFSET(IND!AN$25,$E134,0)</f>
        <v>2.4381417749492122</v>
      </c>
      <c r="AL134" s="10">
        <f ca="1">OFFSET(IND!AO$25,$E134,0)</f>
        <v>3.3606245631257639</v>
      </c>
      <c r="AM134" s="10">
        <f ca="1">OFFSET(IND!AP$25,$E134,0)</f>
        <v>4.3006391026325845</v>
      </c>
    </row>
    <row r="135" spans="1:39" s="4" customFormat="1">
      <c r="A135" s="36" t="s">
        <v>616</v>
      </c>
      <c r="E135" s="141">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18">
        <f ca="1">OFFSET(IND!R$25,$E135,0)</f>
        <v>3.911270024902485</v>
      </c>
      <c r="P135" s="10">
        <f ca="1">OFFSET(IND!S$25,$E135,0)</f>
        <v>4.0171002931662345</v>
      </c>
      <c r="Q135" s="10">
        <f ca="1">OFFSET(IND!T$25,$E135,0)</f>
        <v>4.1053244290460826</v>
      </c>
      <c r="R135" s="10">
        <f ca="1">OFFSET(IND!U$25,$E135,0)</f>
        <v>4.1985788884636026</v>
      </c>
      <c r="S135" s="10">
        <f ca="1">OFFSET(IND!V$25,$E135,0)</f>
        <v>4.309826428228388</v>
      </c>
      <c r="T135" s="218">
        <f ca="1">OFFSET(IND!W$25,$E135,0)</f>
        <v>4.4305541931220613</v>
      </c>
      <c r="U135" s="10">
        <f ca="1">OFFSET(IND!X$25,$E135,0)</f>
        <v>4.5735314659718362</v>
      </c>
      <c r="V135" s="10">
        <f ca="1">OFFSET(IND!Y$25,$E135,0)</f>
        <v>4.7333409752750821</v>
      </c>
      <c r="W135" s="10">
        <f ca="1">OFFSET(IND!Z$25,$E135,0)</f>
        <v>4.90998272103168</v>
      </c>
      <c r="X135" s="10">
        <f ca="1">OFFSET(IND!AA$25,$E135,0)</f>
        <v>5.104424073152666</v>
      </c>
      <c r="Y135" s="221">
        <f ca="1">OFFSET(IND!AB$25,$E135,0)</f>
        <v>5.3067978585442832</v>
      </c>
      <c r="Z135" s="10">
        <f ca="1">OFFSET(IND!AC$25,$E135,0)</f>
        <v>5.5029804765038728</v>
      </c>
      <c r="AA135" s="10">
        <f ca="1">OFFSET(IND!AD$25,$E135,0)</f>
        <v>5.7140605910942579</v>
      </c>
      <c r="AB135" s="10">
        <f ca="1">OFFSET(IND!AE$25,$E135,0)</f>
        <v>5.9315253470974003</v>
      </c>
      <c r="AC135" s="10">
        <f ca="1">OFFSET(IND!AF$25,$E135,0)</f>
        <v>6.1565355884066397</v>
      </c>
      <c r="AD135" s="10">
        <f ca="1">OFFSET(IND!AG$25,$E135,0)</f>
        <v>6.3792241419284688</v>
      </c>
      <c r="AE135" s="10">
        <f ca="1">OFFSET(IND!AH$25,$E135,0)</f>
        <v>6.5961084759828843</v>
      </c>
      <c r="AF135" s="10">
        <f ca="1">OFFSET(IND!AI$25,$E135,0)</f>
        <v>6.8195709254322807</v>
      </c>
      <c r="AG135" s="10">
        <f ca="1">OFFSET(IND!AJ$25,$E135,0)</f>
        <v>7.074956581947915</v>
      </c>
      <c r="AH135" s="10">
        <f ca="1">OFFSET(IND!AK$25,$E135,0)</f>
        <v>7.348528792791809</v>
      </c>
      <c r="AI135" s="10">
        <f ca="1">OFFSET(IND!AL$25,$E135,0)</f>
        <v>7.6352572344261063</v>
      </c>
      <c r="AJ135" s="10">
        <f ca="1">OFFSET(IND!AM$25,$E135,0)</f>
        <v>9.4920270417040022</v>
      </c>
      <c r="AK135" s="10">
        <f ca="1">OFFSET(IND!AN$25,$E135,0)</f>
        <v>12.13797722243439</v>
      </c>
      <c r="AL135" s="10">
        <f ca="1">OFFSET(IND!AO$25,$E135,0)</f>
        <v>16.509167148200532</v>
      </c>
      <c r="AM135" s="10">
        <f ca="1">OFFSET(IND!AP$25,$E135,0)</f>
        <v>21.011887136208792</v>
      </c>
    </row>
    <row r="136" spans="1:39">
      <c r="B136" s="4"/>
      <c r="C136" s="4"/>
      <c r="E136" s="141"/>
      <c r="F136" s="4"/>
      <c r="G136" s="10"/>
      <c r="H136" s="10"/>
      <c r="I136" s="10"/>
      <c r="J136" s="10"/>
      <c r="K136" s="10"/>
      <c r="L136" s="10"/>
      <c r="M136" s="10"/>
      <c r="N136" s="10"/>
      <c r="O136" s="218"/>
      <c r="P136" s="10"/>
      <c r="Q136" s="10"/>
      <c r="R136" s="10"/>
      <c r="S136" s="10"/>
      <c r="T136" s="218"/>
      <c r="U136" s="10"/>
      <c r="V136" s="10"/>
      <c r="W136" s="10"/>
      <c r="X136" s="10"/>
      <c r="Y136" s="221"/>
      <c r="Z136" s="10"/>
      <c r="AA136" s="10"/>
      <c r="AB136" s="10"/>
      <c r="AC136" s="10"/>
      <c r="AD136" s="10"/>
      <c r="AE136" s="10"/>
      <c r="AF136" s="10"/>
      <c r="AG136" s="10"/>
      <c r="AH136" s="10"/>
      <c r="AI136" s="10"/>
      <c r="AJ136" s="10"/>
      <c r="AK136" s="10"/>
      <c r="AL136" s="10"/>
      <c r="AM136" s="10"/>
    </row>
    <row r="137" spans="1:39">
      <c r="B137" s="4"/>
      <c r="C137" s="4"/>
      <c r="E137" s="141"/>
      <c r="F137" s="4"/>
      <c r="G137" s="10"/>
      <c r="H137" s="10"/>
      <c r="I137" s="10"/>
      <c r="J137" s="10"/>
      <c r="K137" s="10"/>
      <c r="L137" s="10"/>
      <c r="M137" s="10"/>
      <c r="N137" s="10"/>
      <c r="O137" s="218"/>
      <c r="P137" s="10"/>
      <c r="Q137" s="10"/>
      <c r="R137" s="10"/>
      <c r="S137" s="10"/>
      <c r="T137" s="218"/>
      <c r="U137" s="10"/>
      <c r="V137" s="10"/>
      <c r="W137" s="10"/>
      <c r="X137" s="10"/>
      <c r="Y137" s="221"/>
      <c r="Z137" s="10"/>
      <c r="AA137" s="10"/>
      <c r="AB137" s="10"/>
      <c r="AC137" s="10"/>
      <c r="AD137" s="10"/>
      <c r="AE137" s="10"/>
      <c r="AF137" s="10"/>
      <c r="AG137" s="10"/>
      <c r="AH137" s="10"/>
      <c r="AI137" s="10"/>
      <c r="AJ137" s="10"/>
      <c r="AK137" s="10"/>
      <c r="AL137" s="10"/>
      <c r="AM137" s="10"/>
    </row>
    <row r="138" spans="1:39">
      <c r="B138" s="4"/>
      <c r="C138" s="4"/>
      <c r="E138" s="141"/>
      <c r="F138" s="4"/>
      <c r="G138" s="10"/>
      <c r="H138" s="10"/>
      <c r="I138" s="10"/>
      <c r="J138" s="10"/>
      <c r="K138" s="10"/>
      <c r="L138" s="10"/>
      <c r="M138" s="10"/>
      <c r="N138" s="10"/>
      <c r="O138" s="218"/>
      <c r="P138" s="10"/>
      <c r="Q138" s="10"/>
      <c r="R138" s="10"/>
      <c r="S138" s="10"/>
      <c r="T138" s="218"/>
      <c r="U138" s="10"/>
      <c r="V138" s="10"/>
      <c r="W138" s="10"/>
      <c r="X138" s="10"/>
      <c r="Y138" s="221"/>
      <c r="Z138" s="10"/>
      <c r="AA138" s="10"/>
      <c r="AB138" s="10"/>
      <c r="AC138" s="10"/>
      <c r="AD138" s="10"/>
      <c r="AE138" s="10"/>
      <c r="AF138" s="10"/>
      <c r="AG138" s="10"/>
      <c r="AH138" s="10"/>
      <c r="AI138" s="10"/>
      <c r="AJ138" s="10"/>
      <c r="AK138" s="10"/>
      <c r="AL138" s="10"/>
      <c r="AM138" s="10"/>
    </row>
    <row r="139" spans="1:39">
      <c r="B139" s="4"/>
      <c r="C139" s="4"/>
      <c r="E139" s="141"/>
      <c r="F139" s="4"/>
      <c r="G139" s="10"/>
      <c r="H139" s="10"/>
      <c r="I139" s="10"/>
      <c r="J139" s="10"/>
      <c r="K139" s="10"/>
      <c r="L139" s="10"/>
      <c r="M139" s="10"/>
      <c r="N139" s="10"/>
      <c r="O139" s="218"/>
      <c r="P139" s="10"/>
      <c r="Q139" s="10"/>
      <c r="R139" s="10"/>
      <c r="S139" s="10"/>
      <c r="T139" s="218"/>
      <c r="U139" s="10"/>
      <c r="V139" s="10"/>
      <c r="W139" s="10"/>
      <c r="X139" s="10"/>
      <c r="Y139" s="221"/>
      <c r="Z139" s="10"/>
      <c r="AA139" s="10"/>
      <c r="AB139" s="10"/>
      <c r="AC139" s="10"/>
      <c r="AD139" s="10"/>
      <c r="AE139" s="10"/>
      <c r="AF139" s="10"/>
      <c r="AG139" s="10"/>
      <c r="AH139" s="10"/>
      <c r="AI139" s="10"/>
      <c r="AJ139" s="10"/>
      <c r="AK139" s="10"/>
      <c r="AL139" s="10"/>
      <c r="AM139" s="10"/>
    </row>
    <row r="140" spans="1:39">
      <c r="B140" s="4"/>
      <c r="C140" s="4"/>
      <c r="E140" s="141"/>
      <c r="F140" s="4"/>
      <c r="G140" s="10"/>
      <c r="H140" s="10"/>
      <c r="I140" s="10"/>
      <c r="J140" s="10"/>
      <c r="K140" s="10"/>
      <c r="L140" s="10"/>
      <c r="M140" s="10"/>
      <c r="N140" s="10"/>
      <c r="O140" s="218"/>
      <c r="P140" s="10"/>
      <c r="Q140" s="10"/>
      <c r="R140" s="10"/>
      <c r="S140" s="10"/>
      <c r="T140" s="218"/>
      <c r="U140" s="10"/>
      <c r="V140" s="10"/>
      <c r="W140" s="10"/>
      <c r="X140" s="10"/>
      <c r="Y140" s="221"/>
      <c r="Z140" s="10"/>
      <c r="AA140" s="10"/>
      <c r="AB140" s="10"/>
      <c r="AC140" s="10"/>
      <c r="AD140" s="10"/>
      <c r="AE140" s="10"/>
      <c r="AF140" s="10"/>
      <c r="AG140" s="10"/>
      <c r="AH140" s="10"/>
      <c r="AI140" s="10"/>
      <c r="AJ140" s="10"/>
      <c r="AK140" s="10"/>
      <c r="AL140" s="10"/>
      <c r="AM140" s="10"/>
    </row>
    <row r="141" spans="1:39">
      <c r="B141" s="4"/>
      <c r="C141" s="4"/>
      <c r="E141" s="141"/>
      <c r="F141" s="4"/>
      <c r="G141" s="10"/>
      <c r="H141" s="10"/>
      <c r="I141" s="10"/>
      <c r="J141" s="10"/>
      <c r="K141" s="10"/>
      <c r="L141" s="10"/>
      <c r="M141" s="10"/>
      <c r="N141" s="10"/>
      <c r="O141" s="218"/>
      <c r="P141" s="10"/>
      <c r="Q141" s="10"/>
      <c r="R141" s="10"/>
      <c r="S141" s="10"/>
      <c r="T141" s="218"/>
      <c r="U141" s="10"/>
      <c r="V141" s="10"/>
      <c r="W141" s="10"/>
      <c r="X141" s="10"/>
      <c r="Y141" s="221"/>
      <c r="Z141" s="10"/>
      <c r="AA141" s="10"/>
      <c r="AB141" s="10"/>
      <c r="AC141" s="10"/>
      <c r="AD141" s="10"/>
      <c r="AE141" s="10"/>
      <c r="AF141" s="10"/>
      <c r="AG141" s="10"/>
      <c r="AH141" s="10"/>
      <c r="AI141" s="10"/>
      <c r="AJ141" s="10"/>
      <c r="AK141" s="10"/>
      <c r="AL141" s="10"/>
      <c r="AM141" s="10"/>
    </row>
    <row r="142" spans="1:39">
      <c r="B142" s="4"/>
      <c r="C142" s="4"/>
      <c r="E142" s="141"/>
      <c r="F142" s="4"/>
      <c r="G142" s="10"/>
      <c r="H142" s="10"/>
      <c r="I142" s="10"/>
      <c r="J142" s="10"/>
      <c r="K142" s="10"/>
      <c r="L142" s="10"/>
      <c r="M142" s="10"/>
      <c r="N142" s="10"/>
      <c r="O142" s="218"/>
      <c r="P142" s="10"/>
      <c r="Q142" s="10"/>
      <c r="R142" s="10"/>
      <c r="S142" s="10"/>
      <c r="T142" s="218"/>
      <c r="U142" s="10"/>
      <c r="V142" s="10"/>
      <c r="W142" s="10"/>
      <c r="X142" s="10"/>
      <c r="Y142" s="221"/>
      <c r="Z142" s="10"/>
      <c r="AA142" s="10"/>
      <c r="AB142" s="10"/>
      <c r="AC142" s="10"/>
      <c r="AD142" s="10"/>
      <c r="AE142" s="10"/>
      <c r="AF142" s="10"/>
      <c r="AG142" s="10"/>
      <c r="AH142" s="10"/>
      <c r="AI142" s="10"/>
      <c r="AJ142" s="10"/>
      <c r="AK142" s="10"/>
      <c r="AL142" s="10"/>
      <c r="AM142" s="10"/>
    </row>
    <row r="143" spans="1:39">
      <c r="B143" s="4"/>
      <c r="C143" s="4"/>
      <c r="E143" s="141"/>
      <c r="F143" s="4"/>
      <c r="G143" s="10"/>
      <c r="H143" s="10"/>
      <c r="I143" s="10"/>
      <c r="J143" s="10"/>
      <c r="K143" s="10"/>
      <c r="L143" s="10"/>
      <c r="M143" s="10"/>
      <c r="N143" s="10"/>
      <c r="O143" s="218"/>
      <c r="P143" s="10"/>
      <c r="Q143" s="10"/>
      <c r="R143" s="10"/>
      <c r="S143" s="10"/>
      <c r="T143" s="218"/>
      <c r="U143" s="10"/>
      <c r="V143" s="10"/>
      <c r="W143" s="10"/>
      <c r="X143" s="10"/>
      <c r="Y143" s="221"/>
      <c r="Z143" s="10"/>
      <c r="AA143" s="10"/>
      <c r="AB143" s="10"/>
      <c r="AC143" s="10"/>
      <c r="AD143" s="10"/>
      <c r="AE143" s="10"/>
      <c r="AF143" s="10"/>
      <c r="AG143" s="10"/>
      <c r="AH143" s="10"/>
      <c r="AI143" s="10"/>
      <c r="AJ143" s="10"/>
      <c r="AK143" s="10"/>
      <c r="AL143" s="10"/>
      <c r="AM143" s="10"/>
    </row>
    <row r="144" spans="1:39">
      <c r="B144" s="4"/>
      <c r="C144" s="4"/>
      <c r="E144" s="141"/>
      <c r="F144" s="4"/>
      <c r="G144" s="10"/>
      <c r="H144" s="10"/>
      <c r="I144" s="10"/>
      <c r="J144" s="10"/>
      <c r="K144" s="10"/>
      <c r="L144" s="10"/>
      <c r="M144" s="10"/>
      <c r="N144" s="10"/>
      <c r="O144" s="218"/>
      <c r="P144" s="10"/>
      <c r="Q144" s="10"/>
      <c r="R144" s="10"/>
      <c r="S144" s="10"/>
      <c r="T144" s="218"/>
      <c r="U144" s="10"/>
      <c r="V144" s="10"/>
      <c r="W144" s="10"/>
      <c r="X144" s="10"/>
      <c r="Y144" s="221"/>
      <c r="Z144" s="10"/>
      <c r="AA144" s="10"/>
      <c r="AB144" s="10"/>
      <c r="AC144" s="10"/>
      <c r="AD144" s="10"/>
      <c r="AE144" s="10"/>
      <c r="AF144" s="10"/>
      <c r="AG144" s="10"/>
      <c r="AH144" s="10"/>
      <c r="AI144" s="10"/>
      <c r="AJ144" s="10"/>
      <c r="AK144" s="10"/>
      <c r="AL144" s="10"/>
      <c r="AM144" s="10"/>
    </row>
    <row r="145" spans="2:39">
      <c r="B145" s="4"/>
      <c r="C145" s="4"/>
      <c r="E145" s="141"/>
      <c r="F145" s="4"/>
      <c r="G145" s="10"/>
      <c r="H145" s="10"/>
      <c r="I145" s="10"/>
      <c r="J145" s="10"/>
      <c r="K145" s="10"/>
      <c r="L145" s="10"/>
      <c r="M145" s="10"/>
      <c r="N145" s="10"/>
      <c r="O145" s="218"/>
      <c r="P145" s="10"/>
      <c r="Q145" s="10"/>
      <c r="R145" s="10"/>
      <c r="S145" s="10"/>
      <c r="T145" s="218"/>
      <c r="U145" s="10"/>
      <c r="V145" s="10"/>
      <c r="W145" s="10"/>
      <c r="X145" s="10"/>
      <c r="Y145" s="221"/>
      <c r="Z145" s="10"/>
      <c r="AA145" s="10"/>
      <c r="AB145" s="10"/>
      <c r="AC145" s="10"/>
      <c r="AD145" s="10"/>
      <c r="AE145" s="10"/>
      <c r="AF145" s="10"/>
      <c r="AG145" s="10"/>
      <c r="AH145" s="10"/>
      <c r="AI145" s="10"/>
      <c r="AJ145" s="10"/>
      <c r="AK145" s="10"/>
      <c r="AL145" s="10"/>
      <c r="AM145" s="10"/>
    </row>
    <row r="146" spans="2:39">
      <c r="B146" s="4"/>
      <c r="C146" s="4"/>
      <c r="E146" s="141"/>
      <c r="F146" s="4"/>
      <c r="G146" s="10"/>
      <c r="H146" s="10"/>
      <c r="I146" s="10"/>
      <c r="J146" s="10"/>
      <c r="K146" s="10"/>
      <c r="L146" s="10"/>
      <c r="M146" s="10"/>
      <c r="N146" s="10"/>
      <c r="O146" s="218"/>
      <c r="P146" s="10"/>
      <c r="Q146" s="10"/>
      <c r="R146" s="10"/>
      <c r="S146" s="10"/>
      <c r="T146" s="218"/>
      <c r="U146" s="10"/>
      <c r="V146" s="10"/>
      <c r="W146" s="10"/>
      <c r="X146" s="10"/>
      <c r="Y146" s="221"/>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K4" sqref="K4:AO4"/>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01" t="s">
        <v>197</v>
      </c>
      <c r="C2" s="301"/>
    </row>
    <row r="3" spans="1:48">
      <c r="A3" s="4" t="s">
        <v>16</v>
      </c>
    </row>
    <row r="4" spans="1:48" ht="15.75" thickBot="1">
      <c r="A4" s="4" t="s">
        <v>16</v>
      </c>
      <c r="B4" s="301" t="s">
        <v>11</v>
      </c>
      <c r="C4" s="301"/>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38">
        <f>INDEX(Drivers!$C$7:$AG$22,$D$6,MATCH(K$4,Drivers!$C$5:$AG$5,0))</f>
        <v>69.819999999999993</v>
      </c>
      <c r="L6" s="138">
        <f>INDEX(Drivers!$C$7:$AG$22,$D$6,MATCH(L$4,Drivers!$C$5:$AG$5,0))</f>
        <v>72.77</v>
      </c>
      <c r="M6" s="138">
        <f>INDEX(Drivers!$C$7:$AG$22,$D$6,MATCH(M$4,Drivers!$C$5:$AG$5,0))</f>
        <v>75.510000000000005</v>
      </c>
      <c r="N6" s="138">
        <f>INDEX(Drivers!$C$7:$AG$22,$D$6,MATCH(N$4,Drivers!$C$5:$AG$5,0))</f>
        <v>74.36</v>
      </c>
      <c r="O6" s="138">
        <f>INDEX(Drivers!$C$7:$AG$22,$D$6,MATCH(O$4,Drivers!$C$5:$AG$5,0))</f>
        <v>73.55</v>
      </c>
      <c r="P6" s="138">
        <f>INDEX(Drivers!$C$7:$AG$22,$D$6,MATCH(P$4,Drivers!$C$5:$AG$5,0))</f>
        <v>76</v>
      </c>
      <c r="Q6" s="138">
        <f>INDEX(Drivers!$C$7:$AG$22,$D$6,MATCH(Q$4,Drivers!$C$5:$AG$5,0))</f>
        <v>74.78</v>
      </c>
      <c r="R6" s="138">
        <f>INDEX(Drivers!$C$7:$AG$22,$D$6,MATCH(R$4,Drivers!$C$5:$AG$5,0))</f>
        <v>73.53</v>
      </c>
      <c r="S6" s="138">
        <f>INDEX(Drivers!$C$7:$AG$22,$D$6,MATCH(S$4,Drivers!$C$5:$AG$5,0))</f>
        <v>70.959999999999994</v>
      </c>
      <c r="T6" s="138">
        <f>INDEX(Drivers!$C$7:$AG$22,$D$6,MATCH(T$4,Drivers!$C$5:$AG$5,0))</f>
        <v>73.969354882249334</v>
      </c>
      <c r="U6" s="138">
        <f>INDEX(Drivers!$C$7:$AG$22,$D$6,MATCH(U$4,Drivers!$C$5:$AG$5,0))</f>
        <v>76.547401572731289</v>
      </c>
      <c r="V6" s="138">
        <f>INDEX(Drivers!$C$7:$AG$22,$D$6,MATCH(V$4,Drivers!$C$5:$AG$5,0))</f>
        <v>78.949004002930323</v>
      </c>
      <c r="W6" s="138">
        <f>INDEX(Drivers!$C$7:$AG$22,$D$6,MATCH(W$4,Drivers!$C$5:$AG$5,0))</f>
        <v>81.644680200179067</v>
      </c>
      <c r="X6" s="138">
        <f>INDEX(Drivers!$C$7:$AG$22,$D$6,MATCH(X$4,Drivers!$C$5:$AG$5,0))</f>
        <v>84.605022787763843</v>
      </c>
      <c r="Y6" s="138">
        <f>INDEX(Drivers!$C$7:$AG$22,$D$6,MATCH(Y$4,Drivers!$C$5:$AG$5,0))</f>
        <v>87.75161209446027</v>
      </c>
      <c r="Z6" s="138">
        <f>INDEX(Drivers!$C$7:$AG$22,$D$6,MATCH(Z$4,Drivers!$C$5:$AG$5,0))</f>
        <v>90.996225990144666</v>
      </c>
      <c r="AA6" s="138">
        <f>INDEX(Drivers!$C$7:$AG$22,$D$6,MATCH(AA$4,Drivers!$C$5:$AG$5,0))</f>
        <v>94.231037426891902</v>
      </c>
      <c r="AB6" s="138">
        <f>INDEX(Drivers!$C$7:$AG$22,$D$6,MATCH(AB$4,Drivers!$C$5:$AG$5,0))</f>
        <v>97.887354596395895</v>
      </c>
      <c r="AC6" s="138">
        <f>INDEX(Drivers!$C$7:$AG$22,$D$6,MATCH(AC$4,Drivers!$C$5:$AG$5,0))</f>
        <v>101.55347422476528</v>
      </c>
      <c r="AD6" s="138">
        <f>INDEX(Drivers!$C$7:$AG$22,$D$6,MATCH(AD$4,Drivers!$C$5:$AG$5,0))</f>
        <v>105.19018647639355</v>
      </c>
      <c r="AE6" s="138">
        <f>INDEX(Drivers!$C$7:$AG$22,$D$6,MATCH(AE$4,Drivers!$C$5:$AG$5,0))</f>
        <v>108.90531839920246</v>
      </c>
      <c r="AF6" s="138">
        <f>INDEX(Drivers!$C$7:$AG$22,$D$6,MATCH(AF$4,Drivers!$C$5:$AG$5,0))</f>
        <v>112.62045032197796</v>
      </c>
      <c r="AG6" s="138">
        <f>INDEX(Drivers!$C$7:$AG$22,$D$6,MATCH(AG$4,Drivers!$C$5:$AG$5,0))</f>
        <v>116.58064371726222</v>
      </c>
      <c r="AH6" s="138">
        <f>INDEX(Drivers!$C$7:$AG$22,$D$6,MATCH(AH$4,Drivers!$C$5:$AG$5,0))</f>
        <v>120.24676334546632</v>
      </c>
      <c r="AI6" s="138">
        <f>INDEX(Drivers!$C$7:$AG$22,$D$6,MATCH(AI$4,Drivers!$C$5:$AG$5,0))</f>
        <v>124.06972231606426</v>
      </c>
      <c r="AJ6" s="138">
        <f>INDEX(Drivers!$C$7:$AG$22,$D$6,MATCH(AJ$4,Drivers!$C$5:$AG$5,0))</f>
        <v>128.60826078643456</v>
      </c>
      <c r="AK6" s="138">
        <f>INDEX(Drivers!$C$7:$AG$22,$D$6,MATCH(AK$4,Drivers!$C$5:$AG$5,0))</f>
        <v>133.53889761282349</v>
      </c>
      <c r="AL6" s="138">
        <f>INDEX(Drivers!$C$7:$AG$22,$D$6,MATCH(AL$4,Drivers!$C$5:$AG$5,0))</f>
        <v>138.763608206214</v>
      </c>
      <c r="AM6" s="138">
        <f>INDEX(Drivers!$C$7:$AG$22,$D$6,MATCH(AM$4,Drivers!$C$5:$AG$5,0))</f>
        <v>144.32160240220801</v>
      </c>
      <c r="AN6" s="138">
        <f>INDEX(Drivers!$C$7:$AG$22,$D$6,MATCH(AN$4,Drivers!$C$5:$AG$5,0))</f>
        <v>177.66956757848172</v>
      </c>
      <c r="AO6" s="138">
        <f>INDEX(Drivers!$C$7:$AG$22,$D$6,MATCH(AO$4,Drivers!$C$5:$AG$5,0))</f>
        <v>220.27105395611983</v>
      </c>
      <c r="AP6" s="138">
        <f>AO6</f>
        <v>220.27105395611983</v>
      </c>
      <c r="AQ6" s="138"/>
      <c r="AR6" s="138"/>
      <c r="AS6" s="24"/>
      <c r="AT6" s="24"/>
      <c r="AU6" s="24"/>
      <c r="AV6" s="24"/>
    </row>
    <row r="7" spans="1:48">
      <c r="A7" s="4" t="s">
        <v>16</v>
      </c>
      <c r="B7" s="25"/>
    </row>
    <row r="8" spans="1:48" ht="15.75" thickBot="1">
      <c r="A8" s="4" t="s">
        <v>16</v>
      </c>
      <c r="B8" s="301" t="s">
        <v>285</v>
      </c>
      <c r="C8" s="301"/>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01" t="s">
        <v>12</v>
      </c>
      <c r="C16" s="301"/>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2.7653346457741717</v>
      </c>
      <c r="U22" s="6">
        <f t="shared" si="2"/>
        <v>2.8617145836952469</v>
      </c>
      <c r="V22" s="6">
        <f t="shared" si="2"/>
        <v>2.9514981760515262</v>
      </c>
      <c r="W22" s="6">
        <f t="shared" si="2"/>
        <v>3.0522756776791571</v>
      </c>
      <c r="X22" s="6">
        <f t="shared" si="2"/>
        <v>3.1629476976506794</v>
      </c>
      <c r="Y22" s="6">
        <f t="shared" si="2"/>
        <v>3.2805825268266502</v>
      </c>
      <c r="Z22" s="6">
        <f t="shared" si="2"/>
        <v>3.4018819924253356</v>
      </c>
      <c r="AA22" s="6">
        <f t="shared" si="2"/>
        <v>3.5228149943803158</v>
      </c>
      <c r="AB22" s="6">
        <f t="shared" si="2"/>
        <v>3.6595059329570252</v>
      </c>
      <c r="AC22" s="6">
        <f t="shared" si="2"/>
        <v>3.7965633351747572</v>
      </c>
      <c r="AD22" s="6">
        <f t="shared" si="2"/>
        <v>3.9325213464640023</v>
      </c>
      <c r="AE22" s="6">
        <f t="shared" si="2"/>
        <v>4.0714110668910557</v>
      </c>
      <c r="AF22" s="6">
        <f t="shared" si="2"/>
        <v>4.2103007873168599</v>
      </c>
      <c r="AG22" s="6">
        <f t="shared" si="2"/>
        <v>4.3583520988009035</v>
      </c>
      <c r="AH22" s="6">
        <f t="shared" si="2"/>
        <v>4.495409501012456</v>
      </c>
      <c r="AI22" s="6">
        <f t="shared" si="2"/>
        <v>4.6383303215008418</v>
      </c>
      <c r="AJ22" s="6">
        <f t="shared" si="2"/>
        <v>4.808002987881034</v>
      </c>
      <c r="AK22" s="6">
        <f t="shared" si="2"/>
        <v>4.9923341999545805</v>
      </c>
      <c r="AL22" s="6">
        <f t="shared" si="2"/>
        <v>5.18765932129768</v>
      </c>
      <c r="AM22" s="6">
        <f t="shared" si="2"/>
        <v>5.3954442064796693</v>
      </c>
      <c r="AN22" s="6">
        <f t="shared" si="2"/>
        <v>6.6421535175831821</v>
      </c>
      <c r="AO22" s="6">
        <f t="shared" si="2"/>
        <v>8.2348045070246183</v>
      </c>
      <c r="AP22" s="6">
        <f t="shared" si="2"/>
        <v>8.2348045070246183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4.2345405663210673</v>
      </c>
      <c r="U23" s="6">
        <f t="shared" si="3"/>
        <v>4.3821265944822425</v>
      </c>
      <c r="V23" s="6">
        <f t="shared" si="3"/>
        <v>4.5196116777446562</v>
      </c>
      <c r="W23" s="6">
        <f t="shared" si="3"/>
        <v>4.6739316691666062</v>
      </c>
      <c r="X23" s="6">
        <f t="shared" si="3"/>
        <v>4.843403077931641</v>
      </c>
      <c r="Y23" s="6">
        <f t="shared" si="3"/>
        <v>5.0235365951965809</v>
      </c>
      <c r="Z23" s="6">
        <f t="shared" si="3"/>
        <v>5.209281748513062</v>
      </c>
      <c r="AA23" s="6">
        <f t="shared" si="3"/>
        <v>5.394465738222193</v>
      </c>
      <c r="AB23" s="6">
        <f t="shared" si="3"/>
        <v>5.6037797629591637</v>
      </c>
      <c r="AC23" s="6">
        <f t="shared" si="3"/>
        <v>5.8136549512993758</v>
      </c>
      <c r="AD23" s="6">
        <f t="shared" si="3"/>
        <v>6.0218466488215654</v>
      </c>
      <c r="AE23" s="6">
        <f t="shared" si="3"/>
        <v>6.2345276551844302</v>
      </c>
      <c r="AF23" s="6">
        <f t="shared" si="3"/>
        <v>6.4472086615453827</v>
      </c>
      <c r="AG23" s="6">
        <f t="shared" si="3"/>
        <v>6.6739187580374137</v>
      </c>
      <c r="AH23" s="6">
        <f t="shared" si="3"/>
        <v>6.8837939463681641</v>
      </c>
      <c r="AI23" s="6">
        <f t="shared" si="3"/>
        <v>7.1026477523821301</v>
      </c>
      <c r="AJ23" s="6">
        <f t="shared" si="3"/>
        <v>7.3624665015815198</v>
      </c>
      <c r="AK23" s="6">
        <f t="shared" si="3"/>
        <v>7.6447317949908973</v>
      </c>
      <c r="AL23" s="6">
        <f t="shared" si="3"/>
        <v>7.9438319965570567</v>
      </c>
      <c r="AM23" s="6">
        <f t="shared" si="3"/>
        <v>8.2620117607010002</v>
      </c>
      <c r="AN23" s="6">
        <f t="shared" si="3"/>
        <v>10.171090345582384</v>
      </c>
      <c r="AO23" s="6">
        <f t="shared" si="3"/>
        <v>12.609907373780823</v>
      </c>
      <c r="AP23" s="6">
        <f t="shared" si="3"/>
        <v>12.609907373780823</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15.186011255219906</v>
      </c>
      <c r="L24" s="6">
        <f t="shared" ref="L24:AP24" si="4">L$6/K$6*K24*L$17</f>
        <v>15.827643068495453</v>
      </c>
      <c r="M24" s="6">
        <f t="shared" si="4"/>
        <v>16.423599396758167</v>
      </c>
      <c r="N24" s="6">
        <f t="shared" si="4"/>
        <v>16.173471740735494</v>
      </c>
      <c r="O24" s="6">
        <f t="shared" si="4"/>
        <v>15.997294869971698</v>
      </c>
      <c r="P24" s="6">
        <f t="shared" si="4"/>
        <v>16.53017552845478</v>
      </c>
      <c r="Q24" s="6">
        <f t="shared" si="4"/>
        <v>16.264822710761166</v>
      </c>
      <c r="R24" s="6">
        <f t="shared" si="4"/>
        <v>15.992944823780002</v>
      </c>
      <c r="S24" s="6">
        <f t="shared" si="4"/>
        <v>15.433963888146726</v>
      </c>
      <c r="T24" s="6">
        <f t="shared" si="4"/>
        <v>16.088505525396645</v>
      </c>
      <c r="U24" s="6">
        <f t="shared" si="4"/>
        <v>16.64923663479426</v>
      </c>
      <c r="V24" s="6">
        <f t="shared" si="4"/>
        <v>17.171590710067335</v>
      </c>
      <c r="W24" s="6">
        <f t="shared" si="4"/>
        <v>17.75790650886206</v>
      </c>
      <c r="X24" s="6">
        <f t="shared" si="4"/>
        <v>18.401787858824381</v>
      </c>
      <c r="Y24" s="6">
        <f t="shared" si="4"/>
        <v>19.086178300346102</v>
      </c>
      <c r="Z24" s="6">
        <f t="shared" si="4"/>
        <v>19.79188931636882</v>
      </c>
      <c r="AA24" s="6">
        <f t="shared" si="4"/>
        <v>20.495468274933096</v>
      </c>
      <c r="AB24" s="6">
        <f t="shared" si="4"/>
        <v>21.290725703875253</v>
      </c>
      <c r="AC24" s="6">
        <f t="shared" si="4"/>
        <v>22.088115190260243</v>
      </c>
      <c r="AD24" s="6">
        <f t="shared" si="4"/>
        <v>22.87910850428521</v>
      </c>
      <c r="AE24" s="6">
        <f t="shared" si="4"/>
        <v>23.687158277908853</v>
      </c>
      <c r="AF24" s="6">
        <f t="shared" si="4"/>
        <v>24.495208051525232</v>
      </c>
      <c r="AG24" s="6">
        <f t="shared" si="4"/>
        <v>25.356559261402552</v>
      </c>
      <c r="AH24" s="6">
        <f t="shared" si="4"/>
        <v>26.153948747751596</v>
      </c>
      <c r="AI24" s="6">
        <f t="shared" si="4"/>
        <v>26.985451153305078</v>
      </c>
      <c r="AJ24" s="6">
        <f t="shared" si="4"/>
        <v>27.972593752750679</v>
      </c>
      <c r="AK24" s="6">
        <f t="shared" si="4"/>
        <v>29.045018650214789</v>
      </c>
      <c r="AL24" s="6">
        <f t="shared" si="4"/>
        <v>30.181405271190084</v>
      </c>
      <c r="AM24" s="6">
        <f t="shared" si="4"/>
        <v>31.390281845478427</v>
      </c>
      <c r="AN24" s="6">
        <f t="shared" si="4"/>
        <v>38.643541291275824</v>
      </c>
      <c r="AO24" s="6">
        <f t="shared" si="4"/>
        <v>47.909462970163105</v>
      </c>
      <c r="AP24" s="6">
        <f t="shared" si="4"/>
        <v>47.909462970163105</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5.23242365827097</v>
      </c>
      <c r="L25" s="6">
        <f t="shared" ref="L25:AP25" si="5">L$6/K$6*K25*L$17</f>
        <v>5.4535014267026423</v>
      </c>
      <c r="M25" s="6">
        <f t="shared" si="5"/>
        <v>5.6588414556866367</v>
      </c>
      <c r="N25" s="6">
        <f t="shared" si="5"/>
        <v>5.5726585968064928</v>
      </c>
      <c r="O25" s="6">
        <f t="shared" si="5"/>
        <v>5.5119558875083046</v>
      </c>
      <c r="P25" s="6">
        <f t="shared" si="5"/>
        <v>5.6955628477312192</v>
      </c>
      <c r="Q25" s="6">
        <f t="shared" si="5"/>
        <v>5.6041340757018503</v>
      </c>
      <c r="R25" s="6">
        <f t="shared" si="5"/>
        <v>5.5104570551799554</v>
      </c>
      <c r="S25" s="6">
        <f t="shared" si="5"/>
        <v>5.317857100986938</v>
      </c>
      <c r="T25" s="6">
        <f t="shared" si="5"/>
        <v>5.5433830202366465</v>
      </c>
      <c r="U25" s="6">
        <f t="shared" si="5"/>
        <v>5.7365860064211915</v>
      </c>
      <c r="V25" s="6">
        <f t="shared" si="5"/>
        <v>5.9165659745325421</v>
      </c>
      <c r="W25" s="6">
        <f t="shared" si="5"/>
        <v>6.1185843060925853</v>
      </c>
      <c r="X25" s="6">
        <f t="shared" si="5"/>
        <v>6.3404371647557998</v>
      </c>
      <c r="Y25" s="6">
        <f t="shared" si="5"/>
        <v>6.5762476536017012</v>
      </c>
      <c r="Z25" s="6">
        <f t="shared" si="5"/>
        <v>6.8194042635950236</v>
      </c>
      <c r="AA25" s="6">
        <f t="shared" si="5"/>
        <v>7.0618262614707294</v>
      </c>
      <c r="AB25" s="6">
        <f t="shared" si="5"/>
        <v>7.3358365802884764</v>
      </c>
      <c r="AC25" s="6">
        <f t="shared" si="5"/>
        <v>7.6105815112184612</v>
      </c>
      <c r="AD25" s="6">
        <f t="shared" si="5"/>
        <v>7.8831226058008683</v>
      </c>
      <c r="AE25" s="6">
        <f t="shared" si="5"/>
        <v>8.1615405973004815</v>
      </c>
      <c r="AF25" s="6">
        <f t="shared" si="5"/>
        <v>8.439958588797591</v>
      </c>
      <c r="AG25" s="6">
        <f t="shared" si="5"/>
        <v>8.7367418831661645</v>
      </c>
      <c r="AH25" s="6">
        <f t="shared" si="5"/>
        <v>9.0114868140837636</v>
      </c>
      <c r="AI25" s="6">
        <f t="shared" si="5"/>
        <v>9.2979855388382155</v>
      </c>
      <c r="AJ25" s="6">
        <f t="shared" si="5"/>
        <v>9.6381109479808469</v>
      </c>
      <c r="AK25" s="6">
        <f t="shared" si="5"/>
        <v>10.007620841718165</v>
      </c>
      <c r="AL25" s="6">
        <f t="shared" si="5"/>
        <v>10.399169098900568</v>
      </c>
      <c r="AM25" s="6">
        <f t="shared" si="5"/>
        <v>10.815694167987532</v>
      </c>
      <c r="AN25" s="6">
        <f t="shared" si="5"/>
        <v>13.314844582532519</v>
      </c>
      <c r="AO25" s="6">
        <f t="shared" si="5"/>
        <v>16.507468833461509</v>
      </c>
      <c r="AP25" s="6">
        <f t="shared" si="5"/>
        <v>16.507468833461509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9.3095057495086504</v>
      </c>
      <c r="U26" s="6">
        <f t="shared" si="6"/>
        <v>9.633969042797462</v>
      </c>
      <c r="V26" s="6">
        <f t="shared" si="6"/>
        <v>9.9362257228450677</v>
      </c>
      <c r="W26" s="6">
        <f t="shared" si="6"/>
        <v>10.275493424950213</v>
      </c>
      <c r="X26" s="6">
        <f t="shared" si="6"/>
        <v>10.648071046906049</v>
      </c>
      <c r="Y26" s="6">
        <f t="shared" si="6"/>
        <v>11.044088982829166</v>
      </c>
      <c r="Z26" s="6">
        <f t="shared" si="6"/>
        <v>11.452443926101196</v>
      </c>
      <c r="AA26" s="6">
        <f t="shared" si="6"/>
        <v>11.859565168633507</v>
      </c>
      <c r="AB26" s="6">
        <f t="shared" si="6"/>
        <v>12.319735542779801</v>
      </c>
      <c r="AC26" s="6">
        <f t="shared" si="6"/>
        <v>12.781139617656782</v>
      </c>
      <c r="AD26" s="6">
        <f t="shared" si="6"/>
        <v>13.238842590323459</v>
      </c>
      <c r="AE26" s="6">
        <f t="shared" si="6"/>
        <v>13.706415168868043</v>
      </c>
      <c r="AF26" s="6">
        <f t="shared" si="6"/>
        <v>14.17398774740842</v>
      </c>
      <c r="AG26" s="6">
        <f t="shared" si="6"/>
        <v>14.672402844325973</v>
      </c>
      <c r="AH26" s="6">
        <f t="shared" si="6"/>
        <v>15.133806919182152</v>
      </c>
      <c r="AI26" s="6">
        <f t="shared" si="6"/>
        <v>15.614950205798239</v>
      </c>
      <c r="AJ26" s="6">
        <f t="shared" si="6"/>
        <v>16.186153646081557</v>
      </c>
      <c r="AK26" s="6">
        <f t="shared" si="6"/>
        <v>16.806705115768931</v>
      </c>
      <c r="AL26" s="6">
        <f t="shared" si="6"/>
        <v>17.464267607507789</v>
      </c>
      <c r="AM26" s="6">
        <f t="shared" si="6"/>
        <v>18.163775924238543</v>
      </c>
      <c r="AN26" s="6">
        <f t="shared" si="6"/>
        <v>22.360825824662033</v>
      </c>
      <c r="AO26" s="6">
        <f t="shared" si="6"/>
        <v>27.722489218936268</v>
      </c>
      <c r="AP26" s="6">
        <f t="shared" si="6"/>
        <v>27.722489218936268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J3" sqref="J3:AN3"/>
    </sheetView>
  </sheetViews>
  <sheetFormatPr defaultColWidth="8.85546875" defaultRowHeight="15"/>
  <cols>
    <col min="1" max="1" width="8.85546875" style="199"/>
    <col min="2" max="2" width="11.85546875" style="199" customWidth="1"/>
    <col min="3" max="3" width="34.85546875" style="199" customWidth="1"/>
    <col min="4" max="4" width="8.85546875" style="199"/>
    <col min="5" max="5" width="6.42578125" style="199" customWidth="1"/>
    <col min="6" max="6" width="9.7109375" style="199" customWidth="1"/>
    <col min="7" max="8" width="6.42578125" style="199" customWidth="1"/>
    <col min="9" max="9" width="9.140625" style="199" customWidth="1"/>
    <col min="10" max="10" width="8.85546875" style="5" customWidth="1"/>
    <col min="11" max="11" width="8.42578125" style="199" customWidth="1"/>
    <col min="12" max="29" width="6.42578125" style="199" customWidth="1"/>
    <col min="30" max="46" width="6.140625" style="199" customWidth="1"/>
    <col min="47" max="47" width="10.42578125" style="199" customWidth="1"/>
    <col min="48" max="48" width="6.140625" style="199" customWidth="1"/>
    <col min="49" max="16384" width="8.85546875" style="199"/>
  </cols>
  <sheetData>
    <row r="1" spans="1:48">
      <c r="A1" s="199" t="s">
        <v>611</v>
      </c>
      <c r="B1" s="199" t="s">
        <v>17</v>
      </c>
      <c r="G1" s="199" t="s">
        <v>283</v>
      </c>
    </row>
    <row r="2" spans="1:48" ht="15.75" thickBot="1">
      <c r="A2" s="199" t="s">
        <v>16</v>
      </c>
      <c r="B2" s="301" t="s">
        <v>197</v>
      </c>
      <c r="C2" s="301"/>
      <c r="G2" s="199" t="s">
        <v>282</v>
      </c>
      <c r="H2" s="199">
        <v>1</v>
      </c>
    </row>
    <row r="3" spans="1:48">
      <c r="A3" s="199" t="s">
        <v>16</v>
      </c>
      <c r="G3" s="199" t="s">
        <v>284</v>
      </c>
      <c r="H3" s="199">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99" t="s">
        <v>16</v>
      </c>
      <c r="D4" s="199">
        <v>2012</v>
      </c>
      <c r="E4" s="199">
        <v>2020</v>
      </c>
      <c r="F4" s="199">
        <v>2030</v>
      </c>
      <c r="G4" s="199">
        <v>2050</v>
      </c>
      <c r="H4" s="199">
        <v>1</v>
      </c>
      <c r="I4" s="199" t="s">
        <v>392</v>
      </c>
      <c r="J4" s="199">
        <f>MATCH(J$3,$D$4:$G$4,$H4)</f>
        <v>1</v>
      </c>
      <c r="K4" s="199">
        <f t="shared" ref="K4:AP5" si="0">MATCH(K$3,$D$4:$G$4,$H4)</f>
        <v>1</v>
      </c>
      <c r="L4" s="199">
        <f t="shared" si="0"/>
        <v>1</v>
      </c>
      <c r="M4" s="199">
        <f t="shared" si="0"/>
        <v>1</v>
      </c>
      <c r="N4" s="199">
        <f t="shared" si="0"/>
        <v>1</v>
      </c>
      <c r="O4" s="199">
        <f t="shared" si="0"/>
        <v>1</v>
      </c>
      <c r="P4" s="199">
        <f t="shared" si="0"/>
        <v>1</v>
      </c>
      <c r="Q4" s="199">
        <f t="shared" si="0"/>
        <v>1</v>
      </c>
      <c r="R4" s="199">
        <f t="shared" si="0"/>
        <v>2</v>
      </c>
      <c r="S4" s="199">
        <f t="shared" si="0"/>
        <v>2</v>
      </c>
      <c r="T4" s="199">
        <f t="shared" si="0"/>
        <v>2</v>
      </c>
      <c r="U4" s="199">
        <f t="shared" si="0"/>
        <v>2</v>
      </c>
      <c r="V4" s="199">
        <f t="shared" si="0"/>
        <v>2</v>
      </c>
      <c r="W4" s="199">
        <f t="shared" si="0"/>
        <v>2</v>
      </c>
      <c r="X4" s="199">
        <f t="shared" si="0"/>
        <v>2</v>
      </c>
      <c r="Y4" s="199">
        <f t="shared" si="0"/>
        <v>2</v>
      </c>
      <c r="Z4" s="199">
        <f t="shared" si="0"/>
        <v>2</v>
      </c>
      <c r="AA4" s="199">
        <f t="shared" si="0"/>
        <v>2</v>
      </c>
      <c r="AB4" s="199">
        <f t="shared" si="0"/>
        <v>3</v>
      </c>
      <c r="AC4" s="199">
        <f t="shared" si="0"/>
        <v>3</v>
      </c>
      <c r="AD4" s="199">
        <f t="shared" si="0"/>
        <v>3</v>
      </c>
      <c r="AE4" s="199">
        <f t="shared" si="0"/>
        <v>3</v>
      </c>
      <c r="AF4" s="199">
        <f t="shared" si="0"/>
        <v>3</v>
      </c>
      <c r="AG4" s="199">
        <f t="shared" si="0"/>
        <v>3</v>
      </c>
      <c r="AH4" s="199">
        <f t="shared" si="0"/>
        <v>3</v>
      </c>
      <c r="AI4" s="199">
        <f t="shared" si="0"/>
        <v>3</v>
      </c>
      <c r="AJ4" s="199">
        <f t="shared" si="0"/>
        <v>3</v>
      </c>
      <c r="AK4" s="199">
        <f t="shared" si="0"/>
        <v>3</v>
      </c>
      <c r="AL4" s="199">
        <f t="shared" si="0"/>
        <v>3</v>
      </c>
      <c r="AM4" s="199">
        <f t="shared" si="0"/>
        <v>3</v>
      </c>
      <c r="AN4" s="199">
        <f t="shared" si="0"/>
        <v>4</v>
      </c>
      <c r="AO4" s="199">
        <f t="shared" si="0"/>
        <v>4</v>
      </c>
      <c r="AP4" s="199">
        <f t="shared" si="0"/>
        <v>4</v>
      </c>
    </row>
    <row r="5" spans="1:48">
      <c r="A5" s="199" t="s">
        <v>16</v>
      </c>
      <c r="D5" s="199">
        <f>INDEX($D4:$G4,0,COUNT($D4:$G4)-D6)</f>
        <v>2050</v>
      </c>
      <c r="E5" s="199">
        <f>INDEX($D4:$G4,0,COUNT($D4:$G4)-E6)</f>
        <v>2030</v>
      </c>
      <c r="F5" s="199">
        <f>INDEX($D4:$G4,0,COUNT($D4:$G4)-F6)</f>
        <v>2020</v>
      </c>
      <c r="G5" s="199">
        <f>INDEX($D4:$G4,0,COUNT($D4:$G4)-G6)</f>
        <v>2012</v>
      </c>
      <c r="H5" s="199">
        <v>0</v>
      </c>
      <c r="I5" s="199" t="s">
        <v>393</v>
      </c>
      <c r="J5" s="199">
        <f t="shared" ref="J5:Y5" si="1">MATCH(J$3,$D$4:$G$4,$H5)</f>
        <v>1</v>
      </c>
      <c r="K5" s="199" t="e">
        <f t="shared" si="1"/>
        <v>#N/A</v>
      </c>
      <c r="L5" s="199" t="e">
        <f t="shared" si="1"/>
        <v>#N/A</v>
      </c>
      <c r="M5" s="199" t="e">
        <f t="shared" si="1"/>
        <v>#N/A</v>
      </c>
      <c r="N5" s="199" t="e">
        <f t="shared" si="1"/>
        <v>#N/A</v>
      </c>
      <c r="O5" s="199" t="e">
        <f t="shared" si="1"/>
        <v>#N/A</v>
      </c>
      <c r="P5" s="199" t="e">
        <f t="shared" si="1"/>
        <v>#N/A</v>
      </c>
      <c r="Q5" s="199" t="e">
        <f t="shared" si="1"/>
        <v>#N/A</v>
      </c>
      <c r="R5" s="199">
        <f t="shared" si="1"/>
        <v>2</v>
      </c>
      <c r="S5" s="199" t="e">
        <f t="shared" si="1"/>
        <v>#N/A</v>
      </c>
      <c r="T5" s="199" t="e">
        <f t="shared" si="1"/>
        <v>#N/A</v>
      </c>
      <c r="U5" s="199" t="e">
        <f t="shared" si="1"/>
        <v>#N/A</v>
      </c>
      <c r="V5" s="199" t="e">
        <f t="shared" si="1"/>
        <v>#N/A</v>
      </c>
      <c r="W5" s="199" t="e">
        <f t="shared" si="1"/>
        <v>#N/A</v>
      </c>
      <c r="X5" s="199" t="e">
        <f t="shared" si="1"/>
        <v>#N/A</v>
      </c>
      <c r="Y5" s="199" t="e">
        <f t="shared" si="1"/>
        <v>#N/A</v>
      </c>
      <c r="Z5" s="199" t="e">
        <f t="shared" si="0"/>
        <v>#N/A</v>
      </c>
      <c r="AA5" s="199" t="e">
        <f t="shared" si="0"/>
        <v>#N/A</v>
      </c>
      <c r="AB5" s="199">
        <f t="shared" si="0"/>
        <v>3</v>
      </c>
      <c r="AC5" s="199" t="e">
        <f t="shared" si="0"/>
        <v>#N/A</v>
      </c>
      <c r="AD5" s="199" t="e">
        <f t="shared" si="0"/>
        <v>#N/A</v>
      </c>
      <c r="AE5" s="199" t="e">
        <f t="shared" si="0"/>
        <v>#N/A</v>
      </c>
      <c r="AF5" s="199" t="e">
        <f t="shared" si="0"/>
        <v>#N/A</v>
      </c>
      <c r="AG5" s="199" t="e">
        <f t="shared" si="0"/>
        <v>#N/A</v>
      </c>
      <c r="AH5" s="199" t="e">
        <f t="shared" si="0"/>
        <v>#N/A</v>
      </c>
      <c r="AI5" s="199" t="e">
        <f t="shared" si="0"/>
        <v>#N/A</v>
      </c>
      <c r="AJ5" s="199" t="e">
        <f t="shared" si="0"/>
        <v>#N/A</v>
      </c>
      <c r="AK5" s="199" t="e">
        <f t="shared" si="0"/>
        <v>#N/A</v>
      </c>
      <c r="AL5" s="199" t="e">
        <f t="shared" si="0"/>
        <v>#N/A</v>
      </c>
      <c r="AM5" s="199" t="e">
        <f t="shared" si="0"/>
        <v>#N/A</v>
      </c>
      <c r="AN5" s="199">
        <f t="shared" si="0"/>
        <v>4</v>
      </c>
      <c r="AO5" s="199" t="e">
        <f t="shared" si="0"/>
        <v>#N/A</v>
      </c>
      <c r="AP5" s="199" t="e">
        <f t="shared" si="0"/>
        <v>#N/A</v>
      </c>
    </row>
    <row r="6" spans="1:48">
      <c r="A6" s="199" t="s">
        <v>16</v>
      </c>
      <c r="D6" s="199">
        <v>0</v>
      </c>
      <c r="E6" s="199">
        <v>1</v>
      </c>
      <c r="F6" s="199">
        <v>2</v>
      </c>
      <c r="G6" s="199">
        <v>3</v>
      </c>
      <c r="H6" s="199">
        <v>-1</v>
      </c>
      <c r="I6" s="199" t="s">
        <v>391</v>
      </c>
      <c r="J6" s="199">
        <f>MATCH(J$3,$D$5:$G$5,$H6)</f>
        <v>4</v>
      </c>
      <c r="K6" s="199">
        <f t="shared" ref="K6:AP6" si="2">MATCH(K$3,$D$5:$G$5,$H6)</f>
        <v>3</v>
      </c>
      <c r="L6" s="199">
        <f t="shared" si="2"/>
        <v>3</v>
      </c>
      <c r="M6" s="199">
        <f t="shared" si="2"/>
        <v>3</v>
      </c>
      <c r="N6" s="199">
        <f t="shared" si="2"/>
        <v>3</v>
      </c>
      <c r="O6" s="199">
        <f t="shared" si="2"/>
        <v>3</v>
      </c>
      <c r="P6" s="199">
        <f t="shared" si="2"/>
        <v>3</v>
      </c>
      <c r="Q6" s="199">
        <f t="shared" si="2"/>
        <v>3</v>
      </c>
      <c r="R6" s="199">
        <f t="shared" si="2"/>
        <v>3</v>
      </c>
      <c r="S6" s="199">
        <f t="shared" si="2"/>
        <v>2</v>
      </c>
      <c r="T6" s="199">
        <f t="shared" si="2"/>
        <v>2</v>
      </c>
      <c r="U6" s="199">
        <f t="shared" si="2"/>
        <v>2</v>
      </c>
      <c r="V6" s="199">
        <f t="shared" si="2"/>
        <v>2</v>
      </c>
      <c r="W6" s="199">
        <f t="shared" si="2"/>
        <v>2</v>
      </c>
      <c r="X6" s="199">
        <f t="shared" si="2"/>
        <v>2</v>
      </c>
      <c r="Y6" s="199">
        <f t="shared" si="2"/>
        <v>2</v>
      </c>
      <c r="Z6" s="199">
        <f t="shared" si="2"/>
        <v>2</v>
      </c>
      <c r="AA6" s="199">
        <f t="shared" si="2"/>
        <v>2</v>
      </c>
      <c r="AB6" s="199">
        <f t="shared" si="2"/>
        <v>2</v>
      </c>
      <c r="AC6" s="199">
        <f t="shared" si="2"/>
        <v>1</v>
      </c>
      <c r="AD6" s="199">
        <f t="shared" si="2"/>
        <v>1</v>
      </c>
      <c r="AE6" s="199">
        <f t="shared" si="2"/>
        <v>1</v>
      </c>
      <c r="AF6" s="199">
        <f t="shared" si="2"/>
        <v>1</v>
      </c>
      <c r="AG6" s="199">
        <f t="shared" si="2"/>
        <v>1</v>
      </c>
      <c r="AH6" s="199">
        <f t="shared" si="2"/>
        <v>1</v>
      </c>
      <c r="AI6" s="199">
        <f t="shared" si="2"/>
        <v>1</v>
      </c>
      <c r="AJ6" s="199">
        <f t="shared" si="2"/>
        <v>1</v>
      </c>
      <c r="AK6" s="199">
        <f t="shared" si="2"/>
        <v>1</v>
      </c>
      <c r="AL6" s="199">
        <f t="shared" si="2"/>
        <v>1</v>
      </c>
      <c r="AM6" s="199">
        <f t="shared" si="2"/>
        <v>1</v>
      </c>
      <c r="AN6" s="199">
        <f>MATCH(AN$3,$D$5:$G$5,$H6)</f>
        <v>1</v>
      </c>
      <c r="AO6" s="199" t="e">
        <f t="shared" si="2"/>
        <v>#N/A</v>
      </c>
      <c r="AP6" s="199" t="e">
        <f t="shared" si="2"/>
        <v>#N/A</v>
      </c>
    </row>
    <row r="7" spans="1:48">
      <c r="A7" s="199" t="s">
        <v>16</v>
      </c>
      <c r="I7" s="199"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99" t="s">
        <v>16</v>
      </c>
      <c r="B8" s="14" t="s">
        <v>11</v>
      </c>
      <c r="C8" s="14"/>
      <c r="D8" s="14"/>
      <c r="E8" s="14"/>
      <c r="F8" s="14"/>
    </row>
    <row r="9" spans="1:48">
      <c r="A9" s="199" t="s">
        <v>16</v>
      </c>
      <c r="B9" s="199" t="s">
        <v>9</v>
      </c>
      <c r="C9" s="199" t="s">
        <v>10</v>
      </c>
      <c r="D9" s="199" t="s">
        <v>281</v>
      </c>
      <c r="E9" s="199"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99">
        <f>AN9+1</f>
        <v>32</v>
      </c>
      <c r="AP9" s="199">
        <f>AO9+1</f>
        <v>33</v>
      </c>
    </row>
    <row r="10" spans="1:48">
      <c r="A10" s="199" t="s">
        <v>16</v>
      </c>
      <c r="B10" s="200" t="str">
        <f>[4]IND!B10</f>
        <v>MI</v>
      </c>
      <c r="C10" s="200" t="str">
        <f>[4]IND!A10</f>
        <v>Mining</v>
      </c>
      <c r="D10" s="199">
        <f>[4]IND!M10</f>
        <v>1</v>
      </c>
      <c r="F10" s="200"/>
      <c r="G10" s="199">
        <f>MATCH(B10,Drivers!$A$7:$A$22,0)</f>
        <v>7</v>
      </c>
      <c r="H10" s="200"/>
      <c r="I10" s="200"/>
      <c r="J10" s="199">
        <f>INDEX(Drivers!$C$7:$AG$22,$G10,J$9)</f>
        <v>205.45</v>
      </c>
      <c r="K10" s="199">
        <f>INDEX(Drivers!$C$7:$AG$22,$G10,K$9)</f>
        <v>210.29</v>
      </c>
      <c r="L10" s="199">
        <f>INDEX(Drivers!$C$7:$AG$22,$G10,L$9)</f>
        <v>210.09</v>
      </c>
      <c r="M10" s="199">
        <f>INDEX(Drivers!$C$7:$AG$22,$G10,M$9)</f>
        <v>214.84</v>
      </c>
      <c r="N10" s="199">
        <f>INDEX(Drivers!$C$7:$AG$22,$G10,N$9)</f>
        <v>210.99</v>
      </c>
      <c r="O10" s="199">
        <f>INDEX(Drivers!$C$7:$AG$22,$G10,O$9)</f>
        <v>215.85</v>
      </c>
      <c r="P10" s="199">
        <f>INDEX(Drivers!$C$7:$AG$22,$G10,P$9)</f>
        <v>213.65</v>
      </c>
      <c r="Q10" s="199">
        <f>INDEX(Drivers!$C$7:$AG$22,$G10,Q$9)</f>
        <v>210.07</v>
      </c>
      <c r="R10" s="199">
        <f>INDEX(Drivers!$C$7:$AG$22,$G10,R$9)</f>
        <v>193.07</v>
      </c>
      <c r="S10" s="199">
        <f>INDEX(Drivers!$C$7:$AG$22,$G10,S$9)</f>
        <v>198.29404481500649</v>
      </c>
      <c r="T10" s="199">
        <f>INDEX(Drivers!$C$7:$AG$22,$G10,T$9)</f>
        <v>202.649007220024</v>
      </c>
      <c r="U10" s="199">
        <f>INDEX(Drivers!$C$7:$AG$22,$G10,U$9)</f>
        <v>207.25227888500945</v>
      </c>
      <c r="V10" s="199">
        <f>INDEX(Drivers!$C$7:$AG$22,$G10,V$9)</f>
        <v>212.74373367223615</v>
      </c>
      <c r="W10" s="199">
        <f>INDEX(Drivers!$C$7:$AG$22,$G10,W$9)</f>
        <v>218.7031559109507</v>
      </c>
      <c r="X10" s="199">
        <f>INDEX(Drivers!$C$7:$AG$22,$G10,X$9)</f>
        <v>225.76086910726582</v>
      </c>
      <c r="Y10" s="199">
        <f>INDEX(Drivers!$C$7:$AG$22,$G10,Y$9)</f>
        <v>233.64946328888254</v>
      </c>
      <c r="Z10" s="199">
        <f>INDEX(Drivers!$C$7:$AG$22,$G10,Z$9)</f>
        <v>242.36893845579499</v>
      </c>
      <c r="AA10" s="199">
        <f>INDEX(Drivers!$C$7:$AG$22,$G10,AA$9)</f>
        <v>251.96704638876358</v>
      </c>
      <c r="AB10" s="199">
        <f>INDEX(Drivers!$C$7:$AG$22,$G10,AB$9)</f>
        <v>261.95671892397382</v>
      </c>
      <c r="AC10" s="199">
        <f>INDEX(Drivers!$C$7:$AG$22,$G10,AC$9)</f>
        <v>271.64078006224878</v>
      </c>
      <c r="AD10" s="199">
        <f>INDEX(Drivers!$C$7:$AG$22,$G10,AD$9)</f>
        <v>282.06021862427485</v>
      </c>
      <c r="AE10" s="199">
        <f>INDEX(Drivers!$C$7:$AG$22,$G10,AE$9)</f>
        <v>292.79481893931535</v>
      </c>
      <c r="AF10" s="199">
        <f>INDEX(Drivers!$C$7:$AG$22,$G10,AF$9)</f>
        <v>303.90188314428747</v>
      </c>
      <c r="AG10" s="199">
        <f>INDEX(Drivers!$C$7:$AG$22,$G10,AG$9)</f>
        <v>314.89434307538914</v>
      </c>
      <c r="AH10" s="199">
        <f>INDEX(Drivers!$C$7:$AG$22,$G10,AH$9)</f>
        <v>325.60029232186952</v>
      </c>
      <c r="AI10" s="199">
        <f>INDEX(Drivers!$C$7:$AG$22,$G10,AI$9)</f>
        <v>336.6309536775172</v>
      </c>
      <c r="AJ10" s="199">
        <f>INDEX(Drivers!$C$7:$AG$22,$G10,AJ$9)</f>
        <v>349.23742379835801</v>
      </c>
      <c r="AK10" s="199">
        <f>INDEX(Drivers!$C$7:$AG$22,$G10,AK$9)</f>
        <v>362.74162739753228</v>
      </c>
      <c r="AL10" s="199">
        <f>INDEX(Drivers!$C$7:$AG$22,$G10,AL$9)</f>
        <v>376.895255215063</v>
      </c>
      <c r="AM10" s="199">
        <f>INDEX(Drivers!$C$7:$AG$22,$G10,AM$9)</f>
        <v>468.55002320824985</v>
      </c>
      <c r="AN10" s="199">
        <f>INDEX(Drivers!$C$7:$AG$22,$G10,AN$9)</f>
        <v>599.16069394718772</v>
      </c>
      <c r="AO10" s="199">
        <f>FORECAST(AO$3,$AL10:$AN10,$AL$3:$AN$3)</f>
        <v>814.93348222168424</v>
      </c>
      <c r="AP10" s="199">
        <f>FORECAST(AP$3,$AL10:$AN10,$AL$3:$AN$3)</f>
        <v>1037.1989209538078</v>
      </c>
    </row>
    <row r="11" spans="1:48">
      <c r="A11" s="199" t="s">
        <v>16</v>
      </c>
      <c r="B11" s="200" t="str">
        <f>[4]IND!B11</f>
        <v>FA</v>
      </c>
      <c r="C11" s="200" t="str">
        <f>[4]IND!A11</f>
        <v>Ferro Alloys</v>
      </c>
      <c r="D11" s="199">
        <f>[4]IND!M11</f>
        <v>0</v>
      </c>
      <c r="F11" s="200" t="s">
        <v>616</v>
      </c>
      <c r="G11" s="199">
        <f>G10</f>
        <v>7</v>
      </c>
      <c r="H11" s="200"/>
      <c r="I11" s="200"/>
      <c r="J11" s="199">
        <f>INDEX(Drivers!$C$7:$AG$22,$G11,J$9)</f>
        <v>205.45</v>
      </c>
      <c r="K11" s="199">
        <f>INDEX(Drivers!$C$7:$AG$22,$G11,K$9)</f>
        <v>210.29</v>
      </c>
      <c r="L11" s="199">
        <f>INDEX(Drivers!$C$7:$AG$22,$G11,L$9)</f>
        <v>210.09</v>
      </c>
      <c r="M11" s="199">
        <f>INDEX(Drivers!$C$7:$AG$22,$G11,M$9)</f>
        <v>214.84</v>
      </c>
      <c r="N11" s="199">
        <f>INDEX(Drivers!$C$7:$AG$22,$G11,N$9)</f>
        <v>210.99</v>
      </c>
      <c r="O11" s="199">
        <f>INDEX(Drivers!$C$7:$AG$22,$G11,O$9)</f>
        <v>215.85</v>
      </c>
      <c r="P11" s="199">
        <f>INDEX(Drivers!$C$7:$AG$22,$G11,P$9)</f>
        <v>213.65</v>
      </c>
      <c r="Q11" s="199">
        <f>INDEX(Drivers!$C$7:$AG$22,$G11,Q$9)</f>
        <v>210.07</v>
      </c>
      <c r="R11" s="199">
        <f>INDEX(Drivers!$C$7:$AG$22,$G11,R$9)</f>
        <v>193.07</v>
      </c>
      <c r="S11" s="199">
        <f>INDEX(Drivers!$C$7:$AG$22,$G11,S$9)</f>
        <v>198.29404481500649</v>
      </c>
      <c r="T11" s="199">
        <f>INDEX(Drivers!$C$7:$AG$22,$G11,T$9)</f>
        <v>202.649007220024</v>
      </c>
      <c r="U11" s="199">
        <f>INDEX(Drivers!$C$7:$AG$22,$G11,U$9)</f>
        <v>207.25227888500945</v>
      </c>
      <c r="V11" s="199">
        <f>INDEX(Drivers!$C$7:$AG$22,$G11,V$9)</f>
        <v>212.74373367223615</v>
      </c>
      <c r="W11" s="199">
        <f>INDEX(Drivers!$C$7:$AG$22,$G11,W$9)</f>
        <v>218.7031559109507</v>
      </c>
      <c r="X11" s="199">
        <f>INDEX(Drivers!$C$7:$AG$22,$G11,X$9)</f>
        <v>225.76086910726582</v>
      </c>
      <c r="Y11" s="199">
        <f>INDEX(Drivers!$C$7:$AG$22,$G11,Y$9)</f>
        <v>233.64946328888254</v>
      </c>
      <c r="Z11" s="199">
        <f>INDEX(Drivers!$C$7:$AG$22,$G11,Z$9)</f>
        <v>242.36893845579499</v>
      </c>
      <c r="AA11" s="199">
        <f>INDEX(Drivers!$C$7:$AG$22,$G11,AA$9)</f>
        <v>251.96704638876358</v>
      </c>
      <c r="AB11" s="199">
        <f>INDEX(Drivers!$C$7:$AG$22,$G11,AB$9)</f>
        <v>261.95671892397382</v>
      </c>
      <c r="AC11" s="199">
        <f>INDEX(Drivers!$C$7:$AG$22,$G11,AC$9)</f>
        <v>271.64078006224878</v>
      </c>
      <c r="AD11" s="199">
        <f>INDEX(Drivers!$C$7:$AG$22,$G11,AD$9)</f>
        <v>282.06021862427485</v>
      </c>
      <c r="AE11" s="199">
        <f>INDEX(Drivers!$C$7:$AG$22,$G11,AE$9)</f>
        <v>292.79481893931535</v>
      </c>
      <c r="AF11" s="199">
        <f>INDEX(Drivers!$C$7:$AG$22,$G11,AF$9)</f>
        <v>303.90188314428747</v>
      </c>
      <c r="AG11" s="199">
        <f>INDEX(Drivers!$C$7:$AG$22,$G11,AG$9)</f>
        <v>314.89434307538914</v>
      </c>
      <c r="AH11" s="199">
        <f>INDEX(Drivers!$C$7:$AG$22,$G11,AH$9)</f>
        <v>325.60029232186952</v>
      </c>
      <c r="AI11" s="199">
        <f>INDEX(Drivers!$C$7:$AG$22,$G11,AI$9)</f>
        <v>336.6309536775172</v>
      </c>
      <c r="AJ11" s="199">
        <f>INDEX(Drivers!$C$7:$AG$22,$G11,AJ$9)</f>
        <v>349.23742379835801</v>
      </c>
      <c r="AK11" s="199">
        <f>INDEX(Drivers!$C$7:$AG$22,$G11,AK$9)</f>
        <v>362.74162739753228</v>
      </c>
      <c r="AL11" s="199">
        <f>INDEX(Drivers!$C$7:$AG$22,$G11,AL$9)</f>
        <v>376.895255215063</v>
      </c>
      <c r="AM11" s="199">
        <f>INDEX(Drivers!$C$7:$AG$22,$G11,AM$9)</f>
        <v>468.55002320824985</v>
      </c>
      <c r="AN11" s="199">
        <f>INDEX(Drivers!$C$7:$AG$22,$G11,AN$9)</f>
        <v>599.16069394718772</v>
      </c>
      <c r="AO11" s="199">
        <f t="shared" ref="AO11:AP22" si="4">FORECAST(AO$3,$AL11:$AN11,$AL$3:$AN$3)</f>
        <v>814.93348222168424</v>
      </c>
      <c r="AP11" s="199">
        <f t="shared" si="4"/>
        <v>1037.1989209538078</v>
      </c>
    </row>
    <row r="12" spans="1:48">
      <c r="A12" s="199" t="s">
        <v>16</v>
      </c>
      <c r="B12" s="200" t="str">
        <f>[4]IND!B12</f>
        <v>IS</v>
      </c>
      <c r="C12" s="200" t="str">
        <f>[4]IND!A12</f>
        <v>Iron &amp; Steel</v>
      </c>
      <c r="D12" s="199">
        <f>[4]IND!M12</f>
        <v>0</v>
      </c>
      <c r="F12" s="200" t="s">
        <v>292</v>
      </c>
      <c r="G12" s="199">
        <f>MATCH(B12,Drivers!$A$7:$A$22,0)</f>
        <v>6</v>
      </c>
      <c r="H12" s="200"/>
      <c r="I12" s="200"/>
      <c r="J12" s="199">
        <f>INDEX(Drivers!$C$7:$AG$22,$G12,J$9)</f>
        <v>13.35</v>
      </c>
      <c r="K12" s="199">
        <f>INDEX(Drivers!$C$7:$AG$22,$G12,K$9)</f>
        <v>13.74</v>
      </c>
      <c r="L12" s="199">
        <f>INDEX(Drivers!$C$7:$AG$22,$G12,L$9)</f>
        <v>13.91</v>
      </c>
      <c r="M12" s="199">
        <f>INDEX(Drivers!$C$7:$AG$22,$G12,M$9)</f>
        <v>14.13</v>
      </c>
      <c r="N12" s="199">
        <f>INDEX(Drivers!$C$7:$AG$22,$G12,N$9)</f>
        <v>14.15</v>
      </c>
      <c r="O12" s="199">
        <f>INDEX(Drivers!$C$7:$AG$22,$G12,O$9)</f>
        <v>14.18</v>
      </c>
      <c r="P12" s="199">
        <f>INDEX(Drivers!$C$7:$AG$22,$G12,P$9)</f>
        <v>14.21</v>
      </c>
      <c r="Q12" s="199">
        <f>INDEX(Drivers!$C$7:$AG$22,$G12,Q$9)</f>
        <v>14.08</v>
      </c>
      <c r="R12" s="199">
        <f>INDEX(Drivers!$C$7:$AG$22,$G12,R$9)</f>
        <v>12.26</v>
      </c>
      <c r="S12" s="199">
        <f>INDEX(Drivers!$C$7:$AG$22,$G12,S$9)</f>
        <v>12.778840124390374</v>
      </c>
      <c r="T12" s="199">
        <f>INDEX(Drivers!$C$7:$AG$22,$G12,T$9)</f>
        <v>13.163166142179319</v>
      </c>
      <c r="U12" s="199">
        <f>INDEX(Drivers!$C$7:$AG$22,$G12,U$9)</f>
        <v>13.557100310408256</v>
      </c>
      <c r="V12" s="199">
        <f>INDEX(Drivers!$C$7:$AG$22,$G12,V$9)</f>
        <v>14.018291531880806</v>
      </c>
      <c r="W12" s="199">
        <f>INDEX(Drivers!$C$7:$AG$22,$G12,W$9)</f>
        <v>14.517915355188556</v>
      </c>
      <c r="X12" s="199">
        <f>INDEX(Drivers!$C$7:$AG$22,$G12,X$9)</f>
        <v>15.055971780327514</v>
      </c>
      <c r="Y12" s="199">
        <f>INDEX(Drivers!$C$7:$AG$22,$G12,Y$9)</f>
        <v>15.632460807293949</v>
      </c>
      <c r="Z12" s="199">
        <f>INDEX(Drivers!$C$7:$AG$22,$G12,Z$9)</f>
        <v>16.23777428561954</v>
      </c>
      <c r="AA12" s="199">
        <f>INDEX(Drivers!$C$7:$AG$22,$G12,AA$9)</f>
        <v>16.919952967623679</v>
      </c>
      <c r="AB12" s="199">
        <f>INDEX(Drivers!$C$7:$AG$22,$G12,AB$9)</f>
        <v>17.621347950516579</v>
      </c>
      <c r="AC12" s="199">
        <f>INDEX(Drivers!$C$7:$AG$22,$G12,AC$9)</f>
        <v>18.274702181055108</v>
      </c>
      <c r="AD12" s="199">
        <f>INDEX(Drivers!$C$7:$AG$22,$G12,AD$9)</f>
        <v>18.947272712484722</v>
      </c>
      <c r="AE12" s="199">
        <f>INDEX(Drivers!$C$7:$AG$22,$G12,AE$9)</f>
        <v>19.64866769526693</v>
      </c>
      <c r="AF12" s="199">
        <f>INDEX(Drivers!$C$7:$AG$22,$G12,AF$9)</f>
        <v>20.359670828476606</v>
      </c>
      <c r="AG12" s="199">
        <f>INDEX(Drivers!$C$7:$AG$22,$G12,AG$9)</f>
        <v>21.032241359807486</v>
      </c>
      <c r="AH12" s="199">
        <f>INDEX(Drivers!$C$7:$AG$22,$G12,AH$9)</f>
        <v>21.695203740646768</v>
      </c>
      <c r="AI12" s="199">
        <f>INDEX(Drivers!$C$7:$AG$22,$G12,AI$9)</f>
        <v>22.34855797099625</v>
      </c>
      <c r="AJ12" s="199">
        <f>INDEX(Drivers!$C$7:$AG$22,$G12,AJ$9)</f>
        <v>23.136426307758093</v>
      </c>
      <c r="AK12" s="199">
        <f>INDEX(Drivers!$C$7:$AG$22,$G12,AK$9)</f>
        <v>23.962727246325755</v>
      </c>
      <c r="AL12" s="199">
        <f>INDEX(Drivers!$C$7:$AG$22,$G12,AL$9)</f>
        <v>24.817852636238026</v>
      </c>
      <c r="AM12" s="199">
        <f>INDEX(Drivers!$C$7:$AG$22,$G12,AM$9)</f>
        <v>30.870987420063372</v>
      </c>
      <c r="AN12" s="199">
        <f>INDEX(Drivers!$C$7:$AG$22,$G12,AN$9)</f>
        <v>39.182037560263602</v>
      </c>
      <c r="AO12" s="199">
        <f t="shared" si="4"/>
        <v>53.169903258226896</v>
      </c>
      <c r="AP12" s="199">
        <f t="shared" si="4"/>
        <v>67.534088182252617</v>
      </c>
    </row>
    <row r="13" spans="1:48">
      <c r="A13" s="199" t="s">
        <v>16</v>
      </c>
      <c r="B13" s="200" t="str">
        <f>[4]IND!B14</f>
        <v>CP</v>
      </c>
      <c r="C13" s="200" t="str">
        <f>[4]IND!A14</f>
        <v>Chemicals</v>
      </c>
      <c r="D13" s="199">
        <f>[4]IND!M14</f>
        <v>1</v>
      </c>
      <c r="F13" s="200"/>
      <c r="G13" s="199">
        <f>MATCH(B13,Drivers!$A$7:$A$22,0)</f>
        <v>3</v>
      </c>
      <c r="H13" s="200"/>
      <c r="I13" s="200"/>
      <c r="J13" s="199">
        <f>INDEX(Drivers!$C$7:$AG$22,$G13,J$9)</f>
        <v>52.81</v>
      </c>
      <c r="K13" s="199">
        <f>INDEX(Drivers!$C$7:$AG$22,$G13,K$9)</f>
        <v>54.31</v>
      </c>
      <c r="L13" s="199">
        <f>INDEX(Drivers!$C$7:$AG$22,$G13,L$9)</f>
        <v>55.26</v>
      </c>
      <c r="M13" s="199">
        <f>INDEX(Drivers!$C$7:$AG$22,$G13,M$9)</f>
        <v>55.73</v>
      </c>
      <c r="N13" s="199">
        <f>INDEX(Drivers!$C$7:$AG$22,$G13,N$9)</f>
        <v>56.3</v>
      </c>
      <c r="O13" s="199">
        <f>INDEX(Drivers!$C$7:$AG$22,$G13,O$9)</f>
        <v>56.6</v>
      </c>
      <c r="P13" s="199">
        <f>INDEX(Drivers!$C$7:$AG$22,$G13,P$9)</f>
        <v>57.09</v>
      </c>
      <c r="Q13" s="199">
        <f>INDEX(Drivers!$C$7:$AG$22,$G13,Q$9)</f>
        <v>56.96</v>
      </c>
      <c r="R13" s="199">
        <f>INDEX(Drivers!$C$7:$AG$22,$G13,R$9)</f>
        <v>52.37</v>
      </c>
      <c r="S13" s="199">
        <f>INDEX(Drivers!$C$7:$AG$22,$G13,S$9)</f>
        <v>54.620084822891016</v>
      </c>
      <c r="T13" s="199">
        <f>INDEX(Drivers!$C$7:$AG$22,$G13,T$9)</f>
        <v>56.570802136994082</v>
      </c>
      <c r="U13" s="199">
        <f>INDEX(Drivers!$C$7:$AG$22,$G13,U$9)</f>
        <v>58.62774663158558</v>
      </c>
      <c r="V13" s="199">
        <f>INDEX(Drivers!$C$7:$AG$22,$G13,V$9)</f>
        <v>61.003372667703147</v>
      </c>
      <c r="W13" s="199">
        <f>INDEX(Drivers!$C$7:$AG$22,$G13,W$9)</f>
        <v>63.610767097641222</v>
      </c>
      <c r="X13" s="199">
        <f>INDEX(Drivers!$C$7:$AG$22,$G13,X$9)</f>
        <v>66.391987822930645</v>
      </c>
      <c r="Y13" s="199">
        <f>INDEX(Drivers!$C$7:$AG$22,$G13,Y$9)</f>
        <v>69.376005892799427</v>
      </c>
      <c r="Z13" s="199">
        <f>INDEX(Drivers!$C$7:$AG$22,$G13,Z$9)</f>
        <v>72.611106389295344</v>
      </c>
      <c r="AA13" s="199">
        <f>INDEX(Drivers!$C$7:$AG$22,$G13,AA$9)</f>
        <v>76.26145859138704</v>
      </c>
      <c r="AB13" s="199">
        <f>INDEX(Drivers!$C$7:$AG$22,$G13,AB$9)</f>
        <v>80.124265154454321</v>
      </c>
      <c r="AC13" s="199">
        <f>INDEX(Drivers!$C$7:$AG$22,$G13,AC$9)</f>
        <v>83.871187520555438</v>
      </c>
      <c r="AD13" s="199">
        <f>INDEX(Drivers!$C$7:$AG$22,$G13,AD$9)</f>
        <v>87.840221264040096</v>
      </c>
      <c r="AE13" s="199">
        <f>INDEX(Drivers!$C$7:$AG$22,$G13,AE$9)</f>
        <v>91.96376727003711</v>
      </c>
      <c r="AF13" s="199">
        <f>INDEX(Drivers!$C$7:$AG$22,$G13,AF$9)</f>
        <v>96.338395702641634</v>
      </c>
      <c r="AG13" s="199">
        <f>INDEX(Drivers!$C$7:$AG$22,$G13,AG$9)</f>
        <v>100.59713993828771</v>
      </c>
      <c r="AH13" s="199">
        <f>INDEX(Drivers!$C$7:$AG$22,$G13,AH$9)</f>
        <v>105.00073942003478</v>
      </c>
      <c r="AI13" s="199">
        <f>INDEX(Drivers!$C$7:$AG$22,$G13,AI$9)</f>
        <v>109.91616077143787</v>
      </c>
      <c r="AJ13" s="199">
        <f>INDEX(Drivers!$C$7:$AG$22,$G13,AJ$9)</f>
        <v>115.15026366430418</v>
      </c>
      <c r="AK13" s="199">
        <f>INDEX(Drivers!$C$7:$AG$22,$G13,AK$9)</f>
        <v>120.7127051150395</v>
      </c>
      <c r="AL13" s="199">
        <f>INDEX(Drivers!$C$7:$AG$22,$G13,AL$9)</f>
        <v>126.54554302518582</v>
      </c>
      <c r="AM13" s="199">
        <f>INDEX(Drivers!$C$7:$AG$22,$G13,AM$9)</f>
        <v>162.48895809432148</v>
      </c>
      <c r="AN13" s="199">
        <f>INDEX(Drivers!$C$7:$AG$22,$G13,AN$9)</f>
        <v>208.83297983447909</v>
      </c>
      <c r="AO13" s="199">
        <f t="shared" si="4"/>
        <v>289.38698219860453</v>
      </c>
      <c r="AP13" s="199">
        <f t="shared" si="4"/>
        <v>371.67441900789709</v>
      </c>
    </row>
    <row r="14" spans="1:48">
      <c r="A14" s="199" t="s">
        <v>16</v>
      </c>
      <c r="B14" s="200" t="str">
        <f>[4]IND!B15</f>
        <v>NF</v>
      </c>
      <c r="C14" s="200" t="str">
        <f>[4]IND!A15</f>
        <v>Precious &amp; Non-Ferrous metals</v>
      </c>
      <c r="D14" s="199">
        <f>[4]IND!M15</f>
        <v>1</v>
      </c>
      <c r="F14" s="200"/>
      <c r="G14" s="199">
        <f>MATCH(B14,Drivers!$A$7:$A$22,0)</f>
        <v>8</v>
      </c>
      <c r="H14" s="200"/>
      <c r="I14" s="200"/>
      <c r="J14" s="199">
        <f>INDEX(Drivers!$C$7:$AG$22,$G14,J$9)</f>
        <v>10.11</v>
      </c>
      <c r="K14" s="199">
        <f>INDEX(Drivers!$C$7:$AG$22,$G14,K$9)</f>
        <v>8.43</v>
      </c>
      <c r="L14" s="199">
        <f>INDEX(Drivers!$C$7:$AG$22,$G14,L$9)</f>
        <v>7.26</v>
      </c>
      <c r="M14" s="199">
        <f>INDEX(Drivers!$C$7:$AG$22,$G14,M$9)</f>
        <v>6.85</v>
      </c>
      <c r="N14" s="199">
        <f>INDEX(Drivers!$C$7:$AG$22,$G14,N$9)</f>
        <v>6.43</v>
      </c>
      <c r="O14" s="199">
        <f>INDEX(Drivers!$C$7:$AG$22,$G14,O$9)</f>
        <v>5.96</v>
      </c>
      <c r="P14" s="199">
        <f>INDEX(Drivers!$C$7:$AG$22,$G14,P$9)</f>
        <v>5.84</v>
      </c>
      <c r="Q14" s="199">
        <f>INDEX(Drivers!$C$7:$AG$22,$G14,Q$9)</f>
        <v>5.52</v>
      </c>
      <c r="R14" s="199">
        <f>INDEX(Drivers!$C$7:$AG$22,$G14,R$9)</f>
        <v>4.53</v>
      </c>
      <c r="S14" s="199">
        <f>INDEX(Drivers!$C$7:$AG$22,$G14,S$9)</f>
        <v>4.7307978715016317</v>
      </c>
      <c r="T14" s="199">
        <f>INDEX(Drivers!$C$7:$AG$22,$G14,T$9)</f>
        <v>4.8191489344975622</v>
      </c>
      <c r="U14" s="199">
        <f>INDEX(Drivers!$C$7:$AG$22,$G14,U$9)</f>
        <v>4.9074999974787676</v>
      </c>
      <c r="V14" s="199">
        <f>INDEX(Drivers!$C$7:$AG$22,$G14,V$9)</f>
        <v>5.0520744646627449</v>
      </c>
      <c r="W14" s="199">
        <f>INDEX(Drivers!$C$7:$AG$22,$G14,W$9)</f>
        <v>5.228776591371334</v>
      </c>
      <c r="X14" s="199">
        <f>INDEX(Drivers!$C$7:$AG$22,$G14,X$9)</f>
        <v>5.421542547824111</v>
      </c>
      <c r="Y14" s="199">
        <f>INDEX(Drivers!$C$7:$AG$22,$G14,Y$9)</f>
        <v>5.6384042489017565</v>
      </c>
      <c r="Z14" s="199">
        <f>INDEX(Drivers!$C$7:$AG$22,$G14,Z$9)</f>
        <v>5.863297864831841</v>
      </c>
      <c r="AA14" s="199">
        <f>INDEX(Drivers!$C$7:$AG$22,$G14,AA$9)</f>
        <v>6.1363829700245045</v>
      </c>
      <c r="AB14" s="199">
        <f>INDEX(Drivers!$C$7:$AG$22,$G14,AB$9)</f>
        <v>6.4415957347061434</v>
      </c>
      <c r="AC14" s="199">
        <f>INDEX(Drivers!$C$7:$AG$22,$G14,AC$9)</f>
        <v>6.7146808398290121</v>
      </c>
      <c r="AD14" s="199">
        <f>INDEX(Drivers!$C$7:$AG$22,$G14,AD$9)</f>
        <v>6.9797340300399977</v>
      </c>
      <c r="AE14" s="199">
        <f>INDEX(Drivers!$C$7:$AG$22,$G14,AE$9)</f>
        <v>7.2046276458290173</v>
      </c>
      <c r="AF14" s="199">
        <f>INDEX(Drivers!$C$7:$AG$22,$G14,AF$9)</f>
        <v>7.4054255169607703</v>
      </c>
      <c r="AG14" s="199">
        <f>INDEX(Drivers!$C$7:$AG$22,$G14,AG$9)</f>
        <v>7.5740957285646378</v>
      </c>
      <c r="AH14" s="199">
        <f>INDEX(Drivers!$C$7:$AG$22,$G14,AH$9)</f>
        <v>7.7026063657722439</v>
      </c>
      <c r="AI14" s="199">
        <f>INDEX(Drivers!$C$7:$AG$22,$G14,AI$9)</f>
        <v>7.8070212583419396</v>
      </c>
      <c r="AJ14" s="199">
        <f>INDEX(Drivers!$C$7:$AG$22,$G14,AJ$9)</f>
        <v>7.8873404062788577</v>
      </c>
      <c r="AK14" s="199">
        <f>INDEX(Drivers!$C$7:$AG$22,$G14,AK$9)</f>
        <v>7.9756914690807896</v>
      </c>
      <c r="AL14" s="199">
        <f>INDEX(Drivers!$C$7:$AG$22,$G14,AL$9)</f>
        <v>8.0640425318738256</v>
      </c>
      <c r="AM14" s="199">
        <f>INDEX(Drivers!$C$7:$AG$22,$G14,AM$9)</f>
        <v>9.3652127367630946</v>
      </c>
      <c r="AN14" s="199">
        <f>INDEX(Drivers!$C$7:$AG$22,$G14,AN$9)</f>
        <v>11.927393575148884</v>
      </c>
      <c r="AO14" s="199">
        <f t="shared" si="4"/>
        <v>15.580576179507943</v>
      </c>
      <c r="AP14" s="199">
        <f t="shared" si="4"/>
        <v>19.443927222783032</v>
      </c>
    </row>
    <row r="15" spans="1:48">
      <c r="A15" s="199" t="s">
        <v>16</v>
      </c>
      <c r="B15" s="200" t="str">
        <f>[4]IND!B16</f>
        <v>NM</v>
      </c>
      <c r="C15" s="200" t="str">
        <f>[4]IND!A16</f>
        <v>N.M.M Products</v>
      </c>
      <c r="D15" s="199">
        <f>[4]IND!M16</f>
        <v>0</v>
      </c>
      <c r="F15" s="200" t="s">
        <v>293</v>
      </c>
      <c r="G15" s="199">
        <f>MATCH(B15,Drivers!$A$7:$A$22,0)</f>
        <v>9</v>
      </c>
      <c r="H15" s="200"/>
      <c r="I15" s="200"/>
      <c r="J15" s="199">
        <f>INDEX(Drivers!$C$7:$AG$22,$G15,J$9)</f>
        <v>14.11</v>
      </c>
      <c r="K15" s="199">
        <f>INDEX(Drivers!$C$7:$AG$22,$G15,K$9)</f>
        <v>14.52</v>
      </c>
      <c r="L15" s="199">
        <f>INDEX(Drivers!$C$7:$AG$22,$G15,L$9)</f>
        <v>14.79</v>
      </c>
      <c r="M15" s="199">
        <f>INDEX(Drivers!$C$7:$AG$22,$G15,M$9)</f>
        <v>15.03</v>
      </c>
      <c r="N15" s="199">
        <f>INDEX(Drivers!$C$7:$AG$22,$G15,N$9)</f>
        <v>15.21</v>
      </c>
      <c r="O15" s="199">
        <f>INDEX(Drivers!$C$7:$AG$22,$G15,O$9)</f>
        <v>15.35</v>
      </c>
      <c r="P15" s="199">
        <f>INDEX(Drivers!$C$7:$AG$22,$G15,P$9)</f>
        <v>15.51</v>
      </c>
      <c r="Q15" s="199">
        <f>INDEX(Drivers!$C$7:$AG$22,$G15,Q$9)</f>
        <v>15.54</v>
      </c>
      <c r="R15" s="199">
        <f>INDEX(Drivers!$C$7:$AG$22,$G15,R$9)</f>
        <v>14.21</v>
      </c>
      <c r="S15" s="199">
        <f>INDEX(Drivers!$C$7:$AG$22,$G15,S$9)</f>
        <v>14.824012344662277</v>
      </c>
      <c r="T15" s="199">
        <f>INDEX(Drivers!$C$7:$AG$22,$G15,T$9)</f>
        <v>15.369801095329013</v>
      </c>
      <c r="U15" s="199">
        <f>INDEX(Drivers!$C$7:$AG$22,$G15,U$9)</f>
        <v>15.964320984497457</v>
      </c>
      <c r="V15" s="199">
        <f>INDEX(Drivers!$C$7:$AG$22,$G15,V$9)</f>
        <v>16.636810695282954</v>
      </c>
      <c r="W15" s="199">
        <f>INDEX(Drivers!$C$7:$AG$22,$G15,W$9)</f>
        <v>17.358031544559537</v>
      </c>
      <c r="X15" s="199">
        <f>INDEX(Drivers!$C$7:$AG$22,$G15,X$9)</f>
        <v>18.166968443145585</v>
      </c>
      <c r="Y15" s="199">
        <f>INDEX(Drivers!$C$7:$AG$22,$G15,Y$9)</f>
        <v>19.034382707918397</v>
      </c>
      <c r="Z15" s="199">
        <f>INDEX(Drivers!$C$7:$AG$22,$G15,Z$9)</f>
        <v>19.960274338873962</v>
      </c>
      <c r="AA15" s="199">
        <f>INDEX(Drivers!$C$7:$AG$22,$G15,AA$9)</f>
        <v>21.012866929936997</v>
      </c>
      <c r="AB15" s="199">
        <f>INDEX(Drivers!$C$7:$AG$22,$G15,AB$9)</f>
        <v>22.123936887172817</v>
      </c>
      <c r="AC15" s="199">
        <f>INDEX(Drivers!$C$7:$AG$22,$G15,AC$9)</f>
        <v>23.254499299766032</v>
      </c>
      <c r="AD15" s="199">
        <f>INDEX(Drivers!$C$7:$AG$22,$G15,AD$9)</f>
        <v>24.443539078528438</v>
      </c>
      <c r="AE15" s="199">
        <f>INDEX(Drivers!$C$7:$AG$22,$G15,AE$9)</f>
        <v>25.710548678862427</v>
      </c>
      <c r="AF15" s="199">
        <f>INDEX(Drivers!$C$7:$AG$22,$G15,AF$9)</f>
        <v>27.045781873062417</v>
      </c>
      <c r="AG15" s="199">
        <f>INDEX(Drivers!$C$7:$AG$22,$G15,AG$9)</f>
        <v>28.381015067214289</v>
      </c>
      <c r="AH15" s="199">
        <f>INDEX(Drivers!$C$7:$AG$22,$G15,AH$9)</f>
        <v>29.764979399826899</v>
      </c>
      <c r="AI15" s="199">
        <f>INDEX(Drivers!$C$7:$AG$22,$G15,AI$9)</f>
        <v>31.32437583101219</v>
      </c>
      <c r="AJ15" s="199">
        <f>INDEX(Drivers!$C$7:$AG$22,$G15,AJ$9)</f>
        <v>32.951995856053834</v>
      </c>
      <c r="AK15" s="199">
        <f>INDEX(Drivers!$C$7:$AG$22,$G15,AK$9)</f>
        <v>34.6575857026506</v>
      </c>
      <c r="AL15" s="199">
        <f>INDEX(Drivers!$C$7:$AG$22,$G15,AL$9)</f>
        <v>36.431399143100343</v>
      </c>
      <c r="AM15" s="199">
        <f>INDEX(Drivers!$C$7:$AG$22,$G15,AM$9)</f>
        <v>46.976817508952436</v>
      </c>
      <c r="AN15" s="199">
        <f>INDEX(Drivers!$C$7:$AG$22,$G15,AN$9)</f>
        <v>60.124478669174067</v>
      </c>
      <c r="AO15" s="199">
        <f t="shared" si="4"/>
        <v>83.383851062852955</v>
      </c>
      <c r="AP15" s="199">
        <f t="shared" si="4"/>
        <v>107.0769305889271</v>
      </c>
    </row>
    <row r="16" spans="1:48">
      <c r="A16" s="199" t="s">
        <v>16</v>
      </c>
      <c r="B16" s="200" t="str">
        <f t="shared" ref="B16:D18" si="5">B15</f>
        <v>NM</v>
      </c>
      <c r="C16" s="200" t="str">
        <f t="shared" si="5"/>
        <v>N.M.M Products</v>
      </c>
      <c r="D16" s="199">
        <f t="shared" si="5"/>
        <v>0</v>
      </c>
      <c r="F16" s="200" t="s">
        <v>297</v>
      </c>
      <c r="G16" s="199">
        <f>MATCH(B16,Drivers!$A$7:$A$22,0)</f>
        <v>9</v>
      </c>
      <c r="H16" s="200"/>
      <c r="I16" s="200"/>
      <c r="J16" s="199">
        <f>INDEX(Drivers!$C$7:$AG$22,$G16,J$9)</f>
        <v>14.11</v>
      </c>
      <c r="K16" s="199">
        <f>INDEX(Drivers!$C$7:$AG$22,$G16,K$9)</f>
        <v>14.52</v>
      </c>
      <c r="L16" s="199">
        <f>INDEX(Drivers!$C$7:$AG$22,$G16,L$9)</f>
        <v>14.79</v>
      </c>
      <c r="M16" s="199">
        <f>INDEX(Drivers!$C$7:$AG$22,$G16,M$9)</f>
        <v>15.03</v>
      </c>
      <c r="N16" s="199">
        <f>INDEX(Drivers!$C$7:$AG$22,$G16,N$9)</f>
        <v>15.21</v>
      </c>
      <c r="O16" s="199">
        <f>INDEX(Drivers!$C$7:$AG$22,$G16,O$9)</f>
        <v>15.35</v>
      </c>
      <c r="P16" s="199">
        <f>INDEX(Drivers!$C$7:$AG$22,$G16,P$9)</f>
        <v>15.51</v>
      </c>
      <c r="Q16" s="199">
        <f>INDEX(Drivers!$C$7:$AG$22,$G16,Q$9)</f>
        <v>15.54</v>
      </c>
      <c r="R16" s="199">
        <f>INDEX(Drivers!$C$7:$AG$22,$G16,R$9)</f>
        <v>14.21</v>
      </c>
      <c r="S16" s="199">
        <f>INDEX(Drivers!$C$7:$AG$22,$G16,S$9)</f>
        <v>14.824012344662277</v>
      </c>
      <c r="T16" s="199">
        <f>INDEX(Drivers!$C$7:$AG$22,$G16,T$9)</f>
        <v>15.369801095329013</v>
      </c>
      <c r="U16" s="199">
        <f>INDEX(Drivers!$C$7:$AG$22,$G16,U$9)</f>
        <v>15.964320984497457</v>
      </c>
      <c r="V16" s="199">
        <f>INDEX(Drivers!$C$7:$AG$22,$G16,V$9)</f>
        <v>16.636810695282954</v>
      </c>
      <c r="W16" s="199">
        <f>INDEX(Drivers!$C$7:$AG$22,$G16,W$9)</f>
        <v>17.358031544559537</v>
      </c>
      <c r="X16" s="199">
        <f>INDEX(Drivers!$C$7:$AG$22,$G16,X$9)</f>
        <v>18.166968443145585</v>
      </c>
      <c r="Y16" s="199">
        <f>INDEX(Drivers!$C$7:$AG$22,$G16,Y$9)</f>
        <v>19.034382707918397</v>
      </c>
      <c r="Z16" s="199">
        <f>INDEX(Drivers!$C$7:$AG$22,$G16,Z$9)</f>
        <v>19.960274338873962</v>
      </c>
      <c r="AA16" s="199">
        <f>INDEX(Drivers!$C$7:$AG$22,$G16,AA$9)</f>
        <v>21.012866929936997</v>
      </c>
      <c r="AB16" s="199">
        <f>INDEX(Drivers!$C$7:$AG$22,$G16,AB$9)</f>
        <v>22.123936887172817</v>
      </c>
      <c r="AC16" s="199">
        <f>INDEX(Drivers!$C$7:$AG$22,$G16,AC$9)</f>
        <v>23.254499299766032</v>
      </c>
      <c r="AD16" s="199">
        <f>INDEX(Drivers!$C$7:$AG$22,$G16,AD$9)</f>
        <v>24.443539078528438</v>
      </c>
      <c r="AE16" s="199">
        <f>INDEX(Drivers!$C$7:$AG$22,$G16,AE$9)</f>
        <v>25.710548678862427</v>
      </c>
      <c r="AF16" s="199">
        <f>INDEX(Drivers!$C$7:$AG$22,$G16,AF$9)</f>
        <v>27.045781873062417</v>
      </c>
      <c r="AG16" s="199">
        <f>INDEX(Drivers!$C$7:$AG$22,$G16,AG$9)</f>
        <v>28.381015067214289</v>
      </c>
      <c r="AH16" s="199">
        <f>INDEX(Drivers!$C$7:$AG$22,$G16,AH$9)</f>
        <v>29.764979399826899</v>
      </c>
      <c r="AI16" s="199">
        <f>INDEX(Drivers!$C$7:$AG$22,$G16,AI$9)</f>
        <v>31.32437583101219</v>
      </c>
      <c r="AJ16" s="199">
        <f>INDEX(Drivers!$C$7:$AG$22,$G16,AJ$9)</f>
        <v>32.951995856053834</v>
      </c>
      <c r="AK16" s="199">
        <f>INDEX(Drivers!$C$7:$AG$22,$G16,AK$9)</f>
        <v>34.6575857026506</v>
      </c>
      <c r="AL16" s="199">
        <f>INDEX(Drivers!$C$7:$AG$22,$G16,AL$9)</f>
        <v>36.431399143100343</v>
      </c>
      <c r="AM16" s="199">
        <f>INDEX(Drivers!$C$7:$AG$22,$G16,AM$9)</f>
        <v>46.976817508952436</v>
      </c>
      <c r="AN16" s="199">
        <f>INDEX(Drivers!$C$7:$AG$22,$G16,AN$9)</f>
        <v>60.124478669174067</v>
      </c>
      <c r="AO16" s="199">
        <f t="shared" si="4"/>
        <v>83.383851062852955</v>
      </c>
      <c r="AP16" s="199">
        <f t="shared" si="4"/>
        <v>107.0769305889271</v>
      </c>
    </row>
    <row r="17" spans="1:42">
      <c r="A17" s="199" t="s">
        <v>16</v>
      </c>
      <c r="B17" s="200" t="str">
        <f t="shared" si="5"/>
        <v>NM</v>
      </c>
      <c r="C17" s="200" t="str">
        <f t="shared" si="5"/>
        <v>N.M.M Products</v>
      </c>
      <c r="D17" s="199">
        <f t="shared" si="5"/>
        <v>0</v>
      </c>
      <c r="F17" s="200" t="s">
        <v>298</v>
      </c>
      <c r="G17" s="199">
        <f>MATCH(B17,Drivers!$A$7:$A$22,0)</f>
        <v>9</v>
      </c>
      <c r="H17" s="200"/>
      <c r="I17" s="200"/>
      <c r="J17" s="199">
        <f>INDEX(Drivers!$C$7:$AG$22,$G17,J$9)</f>
        <v>14.11</v>
      </c>
      <c r="K17" s="199">
        <f>INDEX(Drivers!$C$7:$AG$22,$G17,K$9)</f>
        <v>14.52</v>
      </c>
      <c r="L17" s="199">
        <f>INDEX(Drivers!$C$7:$AG$22,$G17,L$9)</f>
        <v>14.79</v>
      </c>
      <c r="M17" s="199">
        <f>INDEX(Drivers!$C$7:$AG$22,$G17,M$9)</f>
        <v>15.03</v>
      </c>
      <c r="N17" s="199">
        <f>INDEX(Drivers!$C$7:$AG$22,$G17,N$9)</f>
        <v>15.21</v>
      </c>
      <c r="O17" s="199">
        <f>INDEX(Drivers!$C$7:$AG$22,$G17,O$9)</f>
        <v>15.35</v>
      </c>
      <c r="P17" s="199">
        <f>INDEX(Drivers!$C$7:$AG$22,$G17,P$9)</f>
        <v>15.51</v>
      </c>
      <c r="Q17" s="199">
        <f>INDEX(Drivers!$C$7:$AG$22,$G17,Q$9)</f>
        <v>15.54</v>
      </c>
      <c r="R17" s="199">
        <f>INDEX(Drivers!$C$7:$AG$22,$G17,R$9)</f>
        <v>14.21</v>
      </c>
      <c r="S17" s="199">
        <f>INDEX(Drivers!$C$7:$AG$22,$G17,S$9)</f>
        <v>14.824012344662277</v>
      </c>
      <c r="T17" s="199">
        <f>INDEX(Drivers!$C$7:$AG$22,$G17,T$9)</f>
        <v>15.369801095329013</v>
      </c>
      <c r="U17" s="199">
        <f>INDEX(Drivers!$C$7:$AG$22,$G17,U$9)</f>
        <v>15.964320984497457</v>
      </c>
      <c r="V17" s="199">
        <f>INDEX(Drivers!$C$7:$AG$22,$G17,V$9)</f>
        <v>16.636810695282954</v>
      </c>
      <c r="W17" s="199">
        <f>INDEX(Drivers!$C$7:$AG$22,$G17,W$9)</f>
        <v>17.358031544559537</v>
      </c>
      <c r="X17" s="199">
        <f>INDEX(Drivers!$C$7:$AG$22,$G17,X$9)</f>
        <v>18.166968443145585</v>
      </c>
      <c r="Y17" s="199">
        <f>INDEX(Drivers!$C$7:$AG$22,$G17,Y$9)</f>
        <v>19.034382707918397</v>
      </c>
      <c r="Z17" s="199">
        <f>INDEX(Drivers!$C$7:$AG$22,$G17,Z$9)</f>
        <v>19.960274338873962</v>
      </c>
      <c r="AA17" s="199">
        <f>INDEX(Drivers!$C$7:$AG$22,$G17,AA$9)</f>
        <v>21.012866929936997</v>
      </c>
      <c r="AB17" s="199">
        <f>INDEX(Drivers!$C$7:$AG$22,$G17,AB$9)</f>
        <v>22.123936887172817</v>
      </c>
      <c r="AC17" s="199">
        <f>INDEX(Drivers!$C$7:$AG$22,$G17,AC$9)</f>
        <v>23.254499299766032</v>
      </c>
      <c r="AD17" s="199">
        <f>INDEX(Drivers!$C$7:$AG$22,$G17,AD$9)</f>
        <v>24.443539078528438</v>
      </c>
      <c r="AE17" s="199">
        <f>INDEX(Drivers!$C$7:$AG$22,$G17,AE$9)</f>
        <v>25.710548678862427</v>
      </c>
      <c r="AF17" s="199">
        <f>INDEX(Drivers!$C$7:$AG$22,$G17,AF$9)</f>
        <v>27.045781873062417</v>
      </c>
      <c r="AG17" s="199">
        <f>INDEX(Drivers!$C$7:$AG$22,$G17,AG$9)</f>
        <v>28.381015067214289</v>
      </c>
      <c r="AH17" s="199">
        <f>INDEX(Drivers!$C$7:$AG$22,$G17,AH$9)</f>
        <v>29.764979399826899</v>
      </c>
      <c r="AI17" s="199">
        <f>INDEX(Drivers!$C$7:$AG$22,$G17,AI$9)</f>
        <v>31.32437583101219</v>
      </c>
      <c r="AJ17" s="199">
        <f>INDEX(Drivers!$C$7:$AG$22,$G17,AJ$9)</f>
        <v>32.951995856053834</v>
      </c>
      <c r="AK17" s="199">
        <f>INDEX(Drivers!$C$7:$AG$22,$G17,AK$9)</f>
        <v>34.6575857026506</v>
      </c>
      <c r="AL17" s="199">
        <f>INDEX(Drivers!$C$7:$AG$22,$G17,AL$9)</f>
        <v>36.431399143100343</v>
      </c>
      <c r="AM17" s="199">
        <f>INDEX(Drivers!$C$7:$AG$22,$G17,AM$9)</f>
        <v>46.976817508952436</v>
      </c>
      <c r="AN17" s="199">
        <f>INDEX(Drivers!$C$7:$AG$22,$G17,AN$9)</f>
        <v>60.124478669174067</v>
      </c>
      <c r="AO17" s="199">
        <f t="shared" si="4"/>
        <v>83.383851062852955</v>
      </c>
      <c r="AP17" s="199">
        <f t="shared" si="4"/>
        <v>107.0769305889271</v>
      </c>
    </row>
    <row r="18" spans="1:42">
      <c r="A18" s="199" t="s">
        <v>16</v>
      </c>
      <c r="B18" s="200" t="str">
        <f t="shared" si="5"/>
        <v>NM</v>
      </c>
      <c r="C18" s="200" t="str">
        <f t="shared" si="5"/>
        <v>N.M.M Products</v>
      </c>
      <c r="D18" s="199">
        <f t="shared" si="5"/>
        <v>0</v>
      </c>
      <c r="F18" s="200" t="s">
        <v>299</v>
      </c>
      <c r="G18" s="199">
        <f>MATCH(B18,Drivers!$A$7:$A$22,0)</f>
        <v>9</v>
      </c>
      <c r="H18" s="200"/>
      <c r="I18" s="200"/>
      <c r="J18" s="199">
        <f>INDEX(Drivers!$C$7:$AG$22,$G18,J$9)</f>
        <v>14.11</v>
      </c>
      <c r="K18" s="199">
        <f>INDEX(Drivers!$C$7:$AG$22,$G18,K$9)</f>
        <v>14.52</v>
      </c>
      <c r="L18" s="199">
        <f>INDEX(Drivers!$C$7:$AG$22,$G18,L$9)</f>
        <v>14.79</v>
      </c>
      <c r="M18" s="199">
        <f>INDEX(Drivers!$C$7:$AG$22,$G18,M$9)</f>
        <v>15.03</v>
      </c>
      <c r="N18" s="199">
        <f>INDEX(Drivers!$C$7:$AG$22,$G18,N$9)</f>
        <v>15.21</v>
      </c>
      <c r="O18" s="199">
        <f>INDEX(Drivers!$C$7:$AG$22,$G18,O$9)</f>
        <v>15.35</v>
      </c>
      <c r="P18" s="199">
        <f>INDEX(Drivers!$C$7:$AG$22,$G18,P$9)</f>
        <v>15.51</v>
      </c>
      <c r="Q18" s="199">
        <f>INDEX(Drivers!$C$7:$AG$22,$G18,Q$9)</f>
        <v>15.54</v>
      </c>
      <c r="R18" s="199">
        <f>INDEX(Drivers!$C$7:$AG$22,$G18,R$9)</f>
        <v>14.21</v>
      </c>
      <c r="S18" s="199">
        <f>INDEX(Drivers!$C$7:$AG$22,$G18,S$9)</f>
        <v>14.824012344662277</v>
      </c>
      <c r="T18" s="199">
        <f>INDEX(Drivers!$C$7:$AG$22,$G18,T$9)</f>
        <v>15.369801095329013</v>
      </c>
      <c r="U18" s="199">
        <f>INDEX(Drivers!$C$7:$AG$22,$G18,U$9)</f>
        <v>15.964320984497457</v>
      </c>
      <c r="V18" s="199">
        <f>INDEX(Drivers!$C$7:$AG$22,$G18,V$9)</f>
        <v>16.636810695282954</v>
      </c>
      <c r="W18" s="199">
        <f>INDEX(Drivers!$C$7:$AG$22,$G18,W$9)</f>
        <v>17.358031544559537</v>
      </c>
      <c r="X18" s="199">
        <f>INDEX(Drivers!$C$7:$AG$22,$G18,X$9)</f>
        <v>18.166968443145585</v>
      </c>
      <c r="Y18" s="199">
        <f>INDEX(Drivers!$C$7:$AG$22,$G18,Y$9)</f>
        <v>19.034382707918397</v>
      </c>
      <c r="Z18" s="199">
        <f>INDEX(Drivers!$C$7:$AG$22,$G18,Z$9)</f>
        <v>19.960274338873962</v>
      </c>
      <c r="AA18" s="199">
        <f>INDEX(Drivers!$C$7:$AG$22,$G18,AA$9)</f>
        <v>21.012866929936997</v>
      </c>
      <c r="AB18" s="199">
        <f>INDEX(Drivers!$C$7:$AG$22,$G18,AB$9)</f>
        <v>22.123936887172817</v>
      </c>
      <c r="AC18" s="199">
        <f>INDEX(Drivers!$C$7:$AG$22,$G18,AC$9)</f>
        <v>23.254499299766032</v>
      </c>
      <c r="AD18" s="199">
        <f>INDEX(Drivers!$C$7:$AG$22,$G18,AD$9)</f>
        <v>24.443539078528438</v>
      </c>
      <c r="AE18" s="199">
        <f>INDEX(Drivers!$C$7:$AG$22,$G18,AE$9)</f>
        <v>25.710548678862427</v>
      </c>
      <c r="AF18" s="199">
        <f>INDEX(Drivers!$C$7:$AG$22,$G18,AF$9)</f>
        <v>27.045781873062417</v>
      </c>
      <c r="AG18" s="199">
        <f>INDEX(Drivers!$C$7:$AG$22,$G18,AG$9)</f>
        <v>28.381015067214289</v>
      </c>
      <c r="AH18" s="199">
        <f>INDEX(Drivers!$C$7:$AG$22,$G18,AH$9)</f>
        <v>29.764979399826899</v>
      </c>
      <c r="AI18" s="199">
        <f>INDEX(Drivers!$C$7:$AG$22,$G18,AI$9)</f>
        <v>31.32437583101219</v>
      </c>
      <c r="AJ18" s="199">
        <f>INDEX(Drivers!$C$7:$AG$22,$G18,AJ$9)</f>
        <v>32.951995856053834</v>
      </c>
      <c r="AK18" s="199">
        <f>INDEX(Drivers!$C$7:$AG$22,$G18,AK$9)</f>
        <v>34.6575857026506</v>
      </c>
      <c r="AL18" s="199">
        <f>INDEX(Drivers!$C$7:$AG$22,$G18,AL$9)</f>
        <v>36.431399143100343</v>
      </c>
      <c r="AM18" s="199">
        <f>INDEX(Drivers!$C$7:$AG$22,$G18,AM$9)</f>
        <v>46.976817508952436</v>
      </c>
      <c r="AN18" s="199">
        <f>INDEX(Drivers!$C$7:$AG$22,$G18,AN$9)</f>
        <v>60.124478669174067</v>
      </c>
      <c r="AO18" s="199">
        <f t="shared" si="4"/>
        <v>83.383851062852955</v>
      </c>
      <c r="AP18" s="199">
        <f t="shared" si="4"/>
        <v>107.0769305889271</v>
      </c>
    </row>
    <row r="19" spans="1:42">
      <c r="A19" s="199" t="s">
        <v>16</v>
      </c>
      <c r="B19" s="200" t="str">
        <f>[4]IND!B17</f>
        <v>FB</v>
      </c>
      <c r="C19" s="200" t="str">
        <f>[4]IND!A17</f>
        <v>Food, Beverage &amp; Tabacco</v>
      </c>
      <c r="D19" s="199">
        <f>[4]IND!M17</f>
        <v>1</v>
      </c>
      <c r="F19" s="200"/>
      <c r="G19" s="199">
        <f>MATCH(B19,Drivers!$A$7:$A$22,0)</f>
        <v>4</v>
      </c>
      <c r="H19" s="200"/>
      <c r="I19" s="200"/>
      <c r="J19" s="199">
        <f>INDEX(Drivers!$C$7:$AG$22,$G19,J$9)</f>
        <v>93.1</v>
      </c>
      <c r="K19" s="199">
        <f>INDEX(Drivers!$C$7:$AG$22,$G19,K$9)</f>
        <v>94.81</v>
      </c>
      <c r="L19" s="199">
        <f>INDEX(Drivers!$C$7:$AG$22,$G19,L$9)</f>
        <v>96.04</v>
      </c>
      <c r="M19" s="199">
        <f>INDEX(Drivers!$C$7:$AG$22,$G19,M$9)</f>
        <v>96.13</v>
      </c>
      <c r="N19" s="199">
        <f>INDEX(Drivers!$C$7:$AG$22,$G19,N$9)</f>
        <v>97.44</v>
      </c>
      <c r="O19" s="199">
        <f>INDEX(Drivers!$C$7:$AG$22,$G19,O$9)</f>
        <v>97.81</v>
      </c>
      <c r="P19" s="199">
        <f>INDEX(Drivers!$C$7:$AG$22,$G19,P$9)</f>
        <v>98.48</v>
      </c>
      <c r="Q19" s="199">
        <f>INDEX(Drivers!$C$7:$AG$22,$G19,Q$9)</f>
        <v>97.71</v>
      </c>
      <c r="R19" s="199">
        <f>INDEX(Drivers!$C$7:$AG$22,$G19,R$9)</f>
        <v>92.79</v>
      </c>
      <c r="S19" s="199">
        <f>INDEX(Drivers!$C$7:$AG$22,$G19,S$9)</f>
        <v>97.164896707550014</v>
      </c>
      <c r="T19" s="199">
        <f>INDEX(Drivers!$C$7:$AG$22,$G19,T$9)</f>
        <v>100.84274488289863</v>
      </c>
      <c r="U19" s="199">
        <f>INDEX(Drivers!$C$7:$AG$22,$G19,U$9)</f>
        <v>104.4472195285134</v>
      </c>
      <c r="V19" s="199">
        <f>INDEX(Drivers!$C$7:$AG$22,$G19,V$9)</f>
        <v>108.53779380835738</v>
      </c>
      <c r="W19" s="199">
        <f>INDEX(Drivers!$C$7:$AG$22,$G19,W$9)</f>
        <v>112.95854897181287</v>
      </c>
      <c r="X19" s="199">
        <f>INDEX(Drivers!$C$7:$AG$22,$G19,X$9)</f>
        <v>117.53522288584188</v>
      </c>
      <c r="Y19" s="199">
        <f>INDEX(Drivers!$C$7:$AG$22,$G19,Y$9)</f>
        <v>122.34118908014129</v>
      </c>
      <c r="Z19" s="199">
        <f>INDEX(Drivers!$C$7:$AG$22,$G19,Z$9)</f>
        <v>127.38561924592128</v>
      </c>
      <c r="AA19" s="199">
        <f>INDEX(Drivers!$C$7:$AG$22,$G19,AA$9)</f>
        <v>133.12709794378537</v>
      </c>
      <c r="AB19" s="199">
        <f>INDEX(Drivers!$C$7:$AG$22,$G19,AB$9)</f>
        <v>139.06118215706289</v>
      </c>
      <c r="AC19" s="199">
        <f>INDEX(Drivers!$C$7:$AG$22,$G19,AC$9)</f>
        <v>144.60088364818583</v>
      </c>
      <c r="AD19" s="199">
        <f>INDEX(Drivers!$C$7:$AG$22,$G19,AD$9)</f>
        <v>150.38822080199571</v>
      </c>
      <c r="AE19" s="199">
        <f>INDEX(Drivers!$C$7:$AG$22,$G19,AE$9)</f>
        <v>156.07466935243968</v>
      </c>
      <c r="AF19" s="199">
        <f>INDEX(Drivers!$C$7:$AG$22,$G19,AF$9)</f>
        <v>162.24721753707666</v>
      </c>
      <c r="AG19" s="199">
        <f>INDEX(Drivers!$C$7:$AG$22,$G19,AG$9)</f>
        <v>168.09875652926692</v>
      </c>
      <c r="AH19" s="199">
        <f>INDEX(Drivers!$C$7:$AG$22,$G19,AH$9)</f>
        <v>173.98698228627208</v>
      </c>
      <c r="AI19" s="199">
        <f>INDEX(Drivers!$C$7:$AG$22,$G19,AI$9)</f>
        <v>180.59977164896804</v>
      </c>
      <c r="AJ19" s="199">
        <f>INDEX(Drivers!$C$7:$AG$22,$G19,AJ$9)</f>
        <v>187.60694373373019</v>
      </c>
      <c r="AK19" s="199">
        <f>INDEX(Drivers!$C$7:$AG$22,$G19,AK$9)</f>
        <v>195.19193236478739</v>
      </c>
      <c r="AL19" s="199">
        <f>INDEX(Drivers!$C$7:$AG$22,$G19,AL$9)</f>
        <v>203.3914243069818</v>
      </c>
      <c r="AM19" s="199">
        <f>INDEX(Drivers!$C$7:$AG$22,$G19,AM$9)</f>
        <v>251.47860132383192</v>
      </c>
      <c r="AN19" s="199">
        <f>INDEX(Drivers!$C$7:$AG$22,$G19,AN$9)</f>
        <v>309.58126514248795</v>
      </c>
      <c r="AO19" s="199">
        <f t="shared" si="4"/>
        <v>414.10185817769525</v>
      </c>
      <c r="AP19" s="199">
        <f t="shared" si="4"/>
        <v>520.29169901319983</v>
      </c>
    </row>
    <row r="20" spans="1:42">
      <c r="A20" s="199" t="s">
        <v>16</v>
      </c>
      <c r="B20" s="200" t="str">
        <f>[4]IND!B18</f>
        <v>PP</v>
      </c>
      <c r="C20" s="200" t="str">
        <f>[4]IND!A18</f>
        <v>Pulp &amp; Paper Products</v>
      </c>
      <c r="D20" s="199">
        <f>[4]IND!M18</f>
        <v>0</v>
      </c>
      <c r="F20" s="200" t="s">
        <v>300</v>
      </c>
      <c r="G20" s="199">
        <f>MATCH(B20,Drivers!$A$7:$A$22,0)</f>
        <v>12</v>
      </c>
      <c r="H20" s="200"/>
      <c r="I20" s="200"/>
      <c r="J20" s="199">
        <f>INDEX(Drivers!$C$7:$AG$22,$G20,J$9)</f>
        <v>17.78</v>
      </c>
      <c r="K20" s="199">
        <f>INDEX(Drivers!$C$7:$AG$22,$G20,K$9)</f>
        <v>18.190000000000001</v>
      </c>
      <c r="L20" s="199">
        <f>INDEX(Drivers!$C$7:$AG$22,$G20,L$9)</f>
        <v>18.54</v>
      </c>
      <c r="M20" s="199">
        <f>INDEX(Drivers!$C$7:$AG$22,$G20,M$9)</f>
        <v>18.73</v>
      </c>
      <c r="N20" s="199">
        <f>INDEX(Drivers!$C$7:$AG$22,$G20,N$9)</f>
        <v>19.13</v>
      </c>
      <c r="O20" s="199">
        <f>INDEX(Drivers!$C$7:$AG$22,$G20,O$9)</f>
        <v>19.23</v>
      </c>
      <c r="P20" s="199">
        <f>INDEX(Drivers!$C$7:$AG$22,$G20,P$9)</f>
        <v>19.5</v>
      </c>
      <c r="Q20" s="199">
        <f>INDEX(Drivers!$C$7:$AG$22,$G20,Q$9)</f>
        <v>19.52</v>
      </c>
      <c r="R20" s="199">
        <f>INDEX(Drivers!$C$7:$AG$22,$G20,R$9)</f>
        <v>18.16</v>
      </c>
      <c r="S20" s="199">
        <f>INDEX(Drivers!$C$7:$AG$22,$G20,S$9)</f>
        <v>18.941916037731868</v>
      </c>
      <c r="T20" s="199">
        <f>INDEX(Drivers!$C$7:$AG$22,$G20,T$9)</f>
        <v>19.626092570589773</v>
      </c>
      <c r="U20" s="199">
        <f>INDEX(Drivers!$C$7:$AG$22,$G20,U$9)</f>
        <v>20.359138855827979</v>
      </c>
      <c r="V20" s="199">
        <f>INDEX(Drivers!$C$7:$AG$22,$G20,V$9)</f>
        <v>21.199698596337456</v>
      </c>
      <c r="W20" s="199">
        <f>INDEX(Drivers!$C$7:$AG$22,$G20,W$9)</f>
        <v>22.186867594037498</v>
      </c>
      <c r="X20" s="199">
        <f>INDEX(Drivers!$C$7:$AG$22,$G20,X$9)</f>
        <v>23.183810542175578</v>
      </c>
      <c r="Y20" s="199">
        <f>INDEX(Drivers!$C$7:$AG$22,$G20,Y$9)</f>
        <v>24.258945094120527</v>
      </c>
      <c r="Z20" s="199">
        <f>INDEX(Drivers!$C$7:$AG$22,$G20,Z$9)</f>
        <v>25.412271249867906</v>
      </c>
      <c r="AA20" s="199">
        <f>INDEX(Drivers!$C$7:$AG$22,$G20,AA$9)</f>
        <v>26.68288481133504</v>
      </c>
      <c r="AB20" s="199">
        <f>INDEX(Drivers!$C$7:$AG$22,$G20,AB$9)</f>
        <v>28.012142075635538</v>
      </c>
      <c r="AC20" s="199">
        <f>INDEX(Drivers!$C$7:$AG$22,$G20,AC$9)</f>
        <v>29.312077488450718</v>
      </c>
      <c r="AD20" s="199">
        <f>INDEX(Drivers!$C$7:$AG$22,$G20,AD$9)</f>
        <v>30.690204505057096</v>
      </c>
      <c r="AE20" s="199">
        <f>INDEX(Drivers!$C$7:$AG$22,$G20,AE$9)</f>
        <v>32.12697522449362</v>
      </c>
      <c r="AF20" s="199">
        <f>INDEX(Drivers!$C$7:$AG$22,$G20,AF$9)</f>
        <v>33.622389646758698</v>
      </c>
      <c r="AG20" s="199">
        <f>INDEX(Drivers!$C$7:$AG$22,$G20,AG$9)</f>
        <v>34.951646910847074</v>
      </c>
      <c r="AH20" s="199">
        <f>INDEX(Drivers!$C$7:$AG$22,$G20,AH$9)</f>
        <v>36.43728738254871</v>
      </c>
      <c r="AI20" s="199">
        <f>INDEX(Drivers!$C$7:$AG$22,$G20,AI$9)</f>
        <v>38.079311061856721</v>
      </c>
      <c r="AJ20" s="199">
        <f>INDEX(Drivers!$C$7:$AG$22,$G20,AJ$9)</f>
        <v>39.848396097331893</v>
      </c>
      <c r="AK20" s="199">
        <f>INDEX(Drivers!$C$7:$AG$22,$G20,AK$9)</f>
        <v>41.724994588015043</v>
      </c>
      <c r="AL20" s="199">
        <f>INDEX(Drivers!$C$7:$AG$22,$G20,AL$9)</f>
        <v>43.70910653390311</v>
      </c>
      <c r="AM20" s="199">
        <f>INDEX(Drivers!$C$7:$AG$22,$G20,AM$9)</f>
        <v>55.887448822774303</v>
      </c>
      <c r="AN20" s="199">
        <f>INDEX(Drivers!$C$7:$AG$22,$G20,AN$9)</f>
        <v>71.134811559944438</v>
      </c>
      <c r="AO20" s="199">
        <f t="shared" si="4"/>
        <v>98.049013177936104</v>
      </c>
      <c r="AP20" s="199">
        <f t="shared" si="4"/>
        <v>125.47471820397732</v>
      </c>
    </row>
    <row r="21" spans="1:42">
      <c r="A21" s="199" t="s">
        <v>16</v>
      </c>
      <c r="B21" s="200" t="str">
        <f>B20</f>
        <v>PP</v>
      </c>
      <c r="C21" s="200" t="str">
        <f>C20</f>
        <v>Pulp &amp; Paper Products</v>
      </c>
      <c r="D21" s="199">
        <f>D20</f>
        <v>0</v>
      </c>
      <c r="F21" s="200" t="s">
        <v>301</v>
      </c>
      <c r="G21" s="199">
        <f>MATCH(B21,Drivers!$A$7:$A$22,0)</f>
        <v>12</v>
      </c>
      <c r="H21" s="200"/>
      <c r="I21" s="200"/>
      <c r="J21" s="199">
        <f>INDEX(Drivers!$C$7:$AG$22,$G21,J$9)</f>
        <v>17.78</v>
      </c>
      <c r="K21" s="199">
        <f>INDEX(Drivers!$C$7:$AG$22,$G21,K$9)</f>
        <v>18.190000000000001</v>
      </c>
      <c r="L21" s="199">
        <f>INDEX(Drivers!$C$7:$AG$22,$G21,L$9)</f>
        <v>18.54</v>
      </c>
      <c r="M21" s="199">
        <f>INDEX(Drivers!$C$7:$AG$22,$G21,M$9)</f>
        <v>18.73</v>
      </c>
      <c r="N21" s="199">
        <f>INDEX(Drivers!$C$7:$AG$22,$G21,N$9)</f>
        <v>19.13</v>
      </c>
      <c r="O21" s="199">
        <f>INDEX(Drivers!$C$7:$AG$22,$G21,O$9)</f>
        <v>19.23</v>
      </c>
      <c r="P21" s="199">
        <f>INDEX(Drivers!$C$7:$AG$22,$G21,P$9)</f>
        <v>19.5</v>
      </c>
      <c r="Q21" s="199">
        <f>INDEX(Drivers!$C$7:$AG$22,$G21,Q$9)</f>
        <v>19.52</v>
      </c>
      <c r="R21" s="199">
        <f>INDEX(Drivers!$C$7:$AG$22,$G21,R$9)</f>
        <v>18.16</v>
      </c>
      <c r="S21" s="199">
        <f>INDEX(Drivers!$C$7:$AG$22,$G21,S$9)</f>
        <v>18.941916037731868</v>
      </c>
      <c r="T21" s="199">
        <f>INDEX(Drivers!$C$7:$AG$22,$G21,T$9)</f>
        <v>19.626092570589773</v>
      </c>
      <c r="U21" s="199">
        <f>INDEX(Drivers!$C$7:$AG$22,$G21,U$9)</f>
        <v>20.359138855827979</v>
      </c>
      <c r="V21" s="199">
        <f>INDEX(Drivers!$C$7:$AG$22,$G21,V$9)</f>
        <v>21.199698596337456</v>
      </c>
      <c r="W21" s="199">
        <f>INDEX(Drivers!$C$7:$AG$22,$G21,W$9)</f>
        <v>22.186867594037498</v>
      </c>
      <c r="X21" s="199">
        <f>INDEX(Drivers!$C$7:$AG$22,$G21,X$9)</f>
        <v>23.183810542175578</v>
      </c>
      <c r="Y21" s="199">
        <f>INDEX(Drivers!$C$7:$AG$22,$G21,Y$9)</f>
        <v>24.258945094120527</v>
      </c>
      <c r="Z21" s="199">
        <f>INDEX(Drivers!$C$7:$AG$22,$G21,Z$9)</f>
        <v>25.412271249867906</v>
      </c>
      <c r="AA21" s="199">
        <f>INDEX(Drivers!$C$7:$AG$22,$G21,AA$9)</f>
        <v>26.68288481133504</v>
      </c>
      <c r="AB21" s="199">
        <f>INDEX(Drivers!$C$7:$AG$22,$G21,AB$9)</f>
        <v>28.012142075635538</v>
      </c>
      <c r="AC21" s="199">
        <f>INDEX(Drivers!$C$7:$AG$22,$G21,AC$9)</f>
        <v>29.312077488450718</v>
      </c>
      <c r="AD21" s="199">
        <f>INDEX(Drivers!$C$7:$AG$22,$G21,AD$9)</f>
        <v>30.690204505057096</v>
      </c>
      <c r="AE21" s="199">
        <f>INDEX(Drivers!$C$7:$AG$22,$G21,AE$9)</f>
        <v>32.12697522449362</v>
      </c>
      <c r="AF21" s="199">
        <f>INDEX(Drivers!$C$7:$AG$22,$G21,AF$9)</f>
        <v>33.622389646758698</v>
      </c>
      <c r="AG21" s="199">
        <f>INDEX(Drivers!$C$7:$AG$22,$G21,AG$9)</f>
        <v>34.951646910847074</v>
      </c>
      <c r="AH21" s="199">
        <f>INDEX(Drivers!$C$7:$AG$22,$G21,AH$9)</f>
        <v>36.43728738254871</v>
      </c>
      <c r="AI21" s="199">
        <f>INDEX(Drivers!$C$7:$AG$22,$G21,AI$9)</f>
        <v>38.079311061856721</v>
      </c>
      <c r="AJ21" s="199">
        <f>INDEX(Drivers!$C$7:$AG$22,$G21,AJ$9)</f>
        <v>39.848396097331893</v>
      </c>
      <c r="AK21" s="199">
        <f>INDEX(Drivers!$C$7:$AG$22,$G21,AK$9)</f>
        <v>41.724994588015043</v>
      </c>
      <c r="AL21" s="199">
        <f>INDEX(Drivers!$C$7:$AG$22,$G21,AL$9)</f>
        <v>43.70910653390311</v>
      </c>
      <c r="AM21" s="199">
        <f>INDEX(Drivers!$C$7:$AG$22,$G21,AM$9)</f>
        <v>55.887448822774303</v>
      </c>
      <c r="AN21" s="199">
        <f>INDEX(Drivers!$C$7:$AG$22,$G21,AN$9)</f>
        <v>71.134811559944438</v>
      </c>
      <c r="AO21" s="199">
        <f t="shared" si="4"/>
        <v>98.049013177936104</v>
      </c>
      <c r="AP21" s="199">
        <f t="shared" si="4"/>
        <v>125.47471820397732</v>
      </c>
    </row>
    <row r="22" spans="1:42">
      <c r="A22" s="199" t="s">
        <v>16</v>
      </c>
      <c r="B22" s="200" t="str">
        <f>[4]IND!B19</f>
        <v>OT</v>
      </c>
      <c r="C22" s="200" t="str">
        <f>[4]IND!A19</f>
        <v>Other</v>
      </c>
      <c r="D22" s="199">
        <f>[4]IND!M19</f>
        <v>1</v>
      </c>
      <c r="F22" s="200"/>
      <c r="G22" s="199">
        <f>MATCH(B22,Drivers!$A$7:$A$22,0)</f>
        <v>10</v>
      </c>
      <c r="H22" s="200"/>
      <c r="I22" s="200"/>
      <c r="J22" s="199">
        <f>INDEX(Drivers!$C$7:$AG$22,$G22,J$9)</f>
        <v>235.5</v>
      </c>
      <c r="K22" s="199">
        <f>INDEX(Drivers!$C$7:$AG$22,$G22,K$9)</f>
        <v>241.63</v>
      </c>
      <c r="L22" s="199">
        <f>INDEX(Drivers!$C$7:$AG$22,$G22,L$9)</f>
        <v>245.65</v>
      </c>
      <c r="M22" s="199">
        <f>INDEX(Drivers!$C$7:$AG$22,$G22,M$9)</f>
        <v>248.47</v>
      </c>
      <c r="N22" s="199">
        <f>INDEX(Drivers!$C$7:$AG$22,$G22,N$9)</f>
        <v>251.07</v>
      </c>
      <c r="O22" s="199">
        <f>INDEX(Drivers!$C$7:$AG$22,$G22,O$9)</f>
        <v>252.54</v>
      </c>
      <c r="P22" s="199">
        <f>INDEX(Drivers!$C$7:$AG$22,$G22,P$9)</f>
        <v>254.74</v>
      </c>
      <c r="Q22" s="199">
        <f>INDEX(Drivers!$C$7:$AG$22,$G22,Q$9)</f>
        <v>254.67</v>
      </c>
      <c r="R22" s="199">
        <f>INDEX(Drivers!$C$7:$AG$22,$G22,R$9)</f>
        <v>230.24</v>
      </c>
      <c r="S22" s="199">
        <f>INDEX(Drivers!$C$7:$AG$22,$G22,S$9)</f>
        <v>240.59417139393693</v>
      </c>
      <c r="T22" s="199">
        <f>INDEX(Drivers!$C$7:$AG$22,$G22,T$9)</f>
        <v>249.7968040999923</v>
      </c>
      <c r="U22" s="199">
        <f>INDEX(Drivers!$C$7:$AG$22,$G22,U$9)</f>
        <v>259.56069095638566</v>
      </c>
      <c r="V22" s="199">
        <f>INDEX(Drivers!$C$7:$AG$22,$G22,V$9)</f>
        <v>270.67932921019093</v>
      </c>
      <c r="W22" s="199">
        <f>INDEX(Drivers!$C$7:$AG$22,$G22,W$9)</f>
        <v>282.67855587229479</v>
      </c>
      <c r="X22" s="199">
        <f>INDEX(Drivers!$C$7:$AG$22,$G22,X$9)</f>
        <v>295.97447315762054</v>
      </c>
      <c r="Y22" s="199">
        <f>INDEX(Drivers!$C$7:$AG$22,$G22,Y$9)</f>
        <v>310.18000923832312</v>
      </c>
      <c r="Z22" s="199">
        <f>INDEX(Drivers!$C$7:$AG$22,$G22,Z$9)</f>
        <v>325.51773041540525</v>
      </c>
      <c r="AA22" s="199">
        <f>INDEX(Drivers!$C$7:$AG$22,$G22,AA$9)</f>
        <v>342.87790189288529</v>
      </c>
      <c r="AB22" s="199">
        <f>INDEX(Drivers!$C$7:$AG$22,$G22,AB$9)</f>
        <v>361.07995459585732</v>
      </c>
      <c r="AC22" s="199">
        <f>INDEX(Drivers!$C$7:$AG$22,$G22,AC$9)</f>
        <v>379.78520067496476</v>
      </c>
      <c r="AD22" s="199">
        <f>INDEX(Drivers!$C$7:$AG$22,$G22,AD$9)</f>
        <v>399.56457107626096</v>
      </c>
      <c r="AE22" s="199">
        <f>INDEX(Drivers!$C$7:$AG$22,$G22,AE$9)</f>
        <v>420.26323706861029</v>
      </c>
      <c r="AF22" s="199">
        <f>INDEX(Drivers!$C$7:$AG$22,$G22,AF$9)</f>
        <v>442.34568484540824</v>
      </c>
      <c r="AG22" s="199">
        <f>INDEX(Drivers!$C$7:$AG$22,$G22,AG$9)</f>
        <v>464.31201107380878</v>
      </c>
      <c r="AH22" s="199">
        <f>INDEX(Drivers!$C$7:$AG$22,$G22,AH$9)</f>
        <v>487.28472405452015</v>
      </c>
      <c r="AI22" s="199">
        <f>INDEX(Drivers!$C$7:$AG$22,$G22,AI$9)</f>
        <v>513.10241496972685</v>
      </c>
      <c r="AJ22" s="199">
        <f>INDEX(Drivers!$C$7:$AG$22,$G22,AJ$9)</f>
        <v>540.24582689519559</v>
      </c>
      <c r="AK22" s="199">
        <f>INDEX(Drivers!$C$7:$AG$22,$G22,AK$9)</f>
        <v>568.79237419648973</v>
      </c>
      <c r="AL22" s="199">
        <f>INDEX(Drivers!$C$7:$AG$22,$G22,AL$9)</f>
        <v>598.4033690242585</v>
      </c>
      <c r="AM22" s="199">
        <f>INDEX(Drivers!$C$7:$AG$22,$G22,AM$9)</f>
        <v>773.82432138961917</v>
      </c>
      <c r="AN22" s="199">
        <f>INDEX(Drivers!$C$7:$AG$22,$G22,AN$9)</f>
        <v>994.85201186705478</v>
      </c>
      <c r="AO22" s="199">
        <f t="shared" si="4"/>
        <v>1383.6995316911634</v>
      </c>
      <c r="AP22" s="199">
        <f t="shared" si="4"/>
        <v>1780.1481745339552</v>
      </c>
    </row>
    <row r="23" spans="1:42">
      <c r="A23" s="199" t="s">
        <v>16</v>
      </c>
      <c r="B23" s="200"/>
    </row>
    <row r="24" spans="1:42" ht="15.75" thickBot="1">
      <c r="A24" s="199" t="s">
        <v>16</v>
      </c>
      <c r="B24" s="14" t="s">
        <v>291</v>
      </c>
      <c r="C24" s="14"/>
      <c r="D24" s="14"/>
      <c r="E24" s="14"/>
      <c r="F24" s="14"/>
    </row>
    <row r="25" spans="1:42">
      <c r="A25" s="199" t="s">
        <v>16</v>
      </c>
      <c r="B25" s="199" t="s">
        <v>9</v>
      </c>
      <c r="C25" s="199" t="s">
        <v>10</v>
      </c>
      <c r="D25" s="199" t="s">
        <v>281</v>
      </c>
      <c r="E25" s="199" t="s">
        <v>280</v>
      </c>
    </row>
    <row r="26" spans="1:42">
      <c r="A26" s="61" t="str">
        <f>IF(D10,"*","")</f>
        <v>*</v>
      </c>
      <c r="B26" s="22" t="s">
        <v>288</v>
      </c>
      <c r="C26" s="23" t="s">
        <v>137</v>
      </c>
      <c r="D26" s="61">
        <f t="shared" ref="D26:D38" si="6">F10</f>
        <v>0</v>
      </c>
      <c r="E26" s="23" t="s">
        <v>137</v>
      </c>
      <c r="F26" s="23" t="s">
        <v>137</v>
      </c>
      <c r="G26" s="23" t="s">
        <v>137</v>
      </c>
      <c r="H26" s="23" t="s">
        <v>137</v>
      </c>
      <c r="I26" s="22">
        <v>0</v>
      </c>
      <c r="J26" s="119">
        <v>0</v>
      </c>
      <c r="K26" s="199">
        <f t="shared" ref="K26:AP34" si="7">J26*K10/J10</f>
        <v>0</v>
      </c>
      <c r="L26" s="199">
        <f t="shared" si="7"/>
        <v>0</v>
      </c>
      <c r="M26" s="199">
        <f t="shared" si="7"/>
        <v>0</v>
      </c>
      <c r="N26" s="199">
        <f t="shared" si="7"/>
        <v>0</v>
      </c>
      <c r="O26" s="199">
        <f t="shared" si="7"/>
        <v>0</v>
      </c>
      <c r="P26" s="199">
        <f t="shared" si="7"/>
        <v>0</v>
      </c>
      <c r="Q26" s="199">
        <f t="shared" si="7"/>
        <v>0</v>
      </c>
      <c r="R26" s="199">
        <f t="shared" si="7"/>
        <v>0</v>
      </c>
      <c r="S26" s="199">
        <f t="shared" si="7"/>
        <v>0</v>
      </c>
      <c r="T26" s="199">
        <f t="shared" si="7"/>
        <v>0</v>
      </c>
      <c r="U26" s="199">
        <f t="shared" si="7"/>
        <v>0</v>
      </c>
      <c r="V26" s="199">
        <f t="shared" si="7"/>
        <v>0</v>
      </c>
      <c r="W26" s="199">
        <f t="shared" si="7"/>
        <v>0</v>
      </c>
      <c r="X26" s="199">
        <f t="shared" si="7"/>
        <v>0</v>
      </c>
      <c r="Y26" s="199">
        <f t="shared" si="7"/>
        <v>0</v>
      </c>
      <c r="Z26" s="199">
        <f t="shared" si="7"/>
        <v>0</v>
      </c>
      <c r="AA26" s="199">
        <f t="shared" si="7"/>
        <v>0</v>
      </c>
      <c r="AB26" s="199">
        <f t="shared" si="7"/>
        <v>0</v>
      </c>
      <c r="AC26" s="199">
        <f t="shared" si="7"/>
        <v>0</v>
      </c>
      <c r="AD26" s="199">
        <f t="shared" si="7"/>
        <v>0</v>
      </c>
      <c r="AE26" s="199">
        <f t="shared" si="7"/>
        <v>0</v>
      </c>
      <c r="AF26" s="199">
        <f t="shared" si="7"/>
        <v>0</v>
      </c>
      <c r="AG26" s="199">
        <f t="shared" si="7"/>
        <v>0</v>
      </c>
      <c r="AH26" s="199">
        <f t="shared" si="7"/>
        <v>0</v>
      </c>
      <c r="AI26" s="199">
        <f t="shared" si="7"/>
        <v>0</v>
      </c>
      <c r="AJ26" s="199">
        <f t="shared" si="7"/>
        <v>0</v>
      </c>
      <c r="AK26" s="199">
        <f t="shared" si="7"/>
        <v>0</v>
      </c>
      <c r="AL26" s="199">
        <f t="shared" si="7"/>
        <v>0</v>
      </c>
      <c r="AM26" s="199">
        <f t="shared" si="7"/>
        <v>0</v>
      </c>
      <c r="AN26" s="199">
        <f t="shared" si="7"/>
        <v>0</v>
      </c>
      <c r="AO26" s="199">
        <f t="shared" si="7"/>
        <v>0</v>
      </c>
      <c r="AP26" s="199">
        <f t="shared" si="7"/>
        <v>0</v>
      </c>
    </row>
    <row r="27" spans="1:42">
      <c r="A27" s="61" t="str">
        <f>IF(D11,"*","")</f>
        <v/>
      </c>
      <c r="B27" s="22" t="s">
        <v>288</v>
      </c>
      <c r="C27" s="23" t="s">
        <v>137</v>
      </c>
      <c r="D27" s="61" t="str">
        <f t="shared" si="6"/>
        <v>IFAM</v>
      </c>
      <c r="E27" s="23" t="s">
        <v>137</v>
      </c>
      <c r="F27" s="23" t="s">
        <v>137</v>
      </c>
      <c r="G27" s="23" t="s">
        <v>137</v>
      </c>
      <c r="H27" s="23" t="s">
        <v>137</v>
      </c>
      <c r="I27" s="22">
        <v>0</v>
      </c>
      <c r="J27" s="152">
        <f>'[4]FA-TSData'!J2</f>
        <v>4.0820999999999996</v>
      </c>
      <c r="K27" s="152">
        <f>'[4]FA-TSData'!K2</f>
        <v>4.1753999999999998</v>
      </c>
      <c r="L27" s="152">
        <f>'[4]FA-TSData'!L2</f>
        <v>4.8628999999999998</v>
      </c>
      <c r="M27" s="152">
        <f>'[4]FA-TSData'!M2</f>
        <v>4.4805999999999999</v>
      </c>
      <c r="N27" s="152">
        <f>'[4]FA-TSData'!N2</f>
        <v>4.3260612235437241</v>
      </c>
      <c r="O27" s="152">
        <f>'[4]FA-TSData'!O2</f>
        <v>4.372754104082464</v>
      </c>
      <c r="P27" s="199">
        <f>O27*P11/O11</f>
        <v>4.3281858435822027</v>
      </c>
      <c r="Q27" s="199">
        <f t="shared" si="7"/>
        <v>4.255661128768141</v>
      </c>
      <c r="R27" s="199">
        <f t="shared" si="7"/>
        <v>3.911270024902485</v>
      </c>
      <c r="S27" s="199">
        <f t="shared" si="7"/>
        <v>4.0171002931662345</v>
      </c>
      <c r="T27" s="199">
        <f t="shared" si="7"/>
        <v>4.1053244290460826</v>
      </c>
      <c r="U27" s="199">
        <f t="shared" si="7"/>
        <v>4.1985788884636026</v>
      </c>
      <c r="V27" s="199">
        <f t="shared" si="7"/>
        <v>4.309826428228388</v>
      </c>
      <c r="W27" s="199">
        <f t="shared" si="7"/>
        <v>4.4305541931220613</v>
      </c>
      <c r="X27" s="199">
        <f t="shared" si="7"/>
        <v>4.5735314659718362</v>
      </c>
      <c r="Y27" s="199">
        <f t="shared" si="7"/>
        <v>4.7333409752750821</v>
      </c>
      <c r="Z27" s="199">
        <f t="shared" si="7"/>
        <v>4.90998272103168</v>
      </c>
      <c r="AA27" s="199">
        <f t="shared" si="7"/>
        <v>5.104424073152666</v>
      </c>
      <c r="AB27" s="199">
        <f t="shared" si="7"/>
        <v>5.3067978585442832</v>
      </c>
      <c r="AC27" s="199">
        <f t="shared" si="7"/>
        <v>5.5029804765038728</v>
      </c>
      <c r="AD27" s="199">
        <f t="shared" si="7"/>
        <v>5.7140605910942579</v>
      </c>
      <c r="AE27" s="199">
        <f t="shared" si="7"/>
        <v>5.9315253470974003</v>
      </c>
      <c r="AF27" s="199">
        <f t="shared" si="7"/>
        <v>6.1565355884066397</v>
      </c>
      <c r="AG27" s="199">
        <f t="shared" si="7"/>
        <v>6.3792241419284688</v>
      </c>
      <c r="AH27" s="199">
        <f t="shared" si="7"/>
        <v>6.5961084759828843</v>
      </c>
      <c r="AI27" s="199">
        <f t="shared" si="7"/>
        <v>6.8195709254322807</v>
      </c>
      <c r="AJ27" s="199">
        <f t="shared" si="7"/>
        <v>7.074956581947915</v>
      </c>
      <c r="AK27" s="199">
        <f t="shared" si="7"/>
        <v>7.348528792791809</v>
      </c>
      <c r="AL27" s="199">
        <f t="shared" si="7"/>
        <v>7.6352572344261063</v>
      </c>
      <c r="AM27" s="199">
        <f t="shared" si="7"/>
        <v>9.4920270417040022</v>
      </c>
      <c r="AN27" s="199">
        <f t="shared" si="7"/>
        <v>12.13797722243439</v>
      </c>
      <c r="AO27" s="199">
        <f t="shared" si="7"/>
        <v>16.509167148200532</v>
      </c>
      <c r="AP27" s="199">
        <f t="shared" si="7"/>
        <v>21.011887136208792</v>
      </c>
    </row>
    <row r="28" spans="1:42">
      <c r="A28" s="61" t="str">
        <f>IF(D12,"*","")</f>
        <v/>
      </c>
      <c r="B28" s="22" t="s">
        <v>288</v>
      </c>
      <c r="C28" s="23" t="s">
        <v>137</v>
      </c>
      <c r="D28" s="61" t="str">
        <f t="shared" si="6"/>
        <v>IISCRS</v>
      </c>
      <c r="E28" s="23" t="s">
        <v>137</v>
      </c>
      <c r="F28" s="23" t="s">
        <v>137</v>
      </c>
      <c r="G28" s="23" t="s">
        <v>137</v>
      </c>
      <c r="H28" s="23" t="s">
        <v>137</v>
      </c>
      <c r="I28" s="22">
        <v>0</v>
      </c>
      <c r="J28" s="119">
        <f>'[4]IS-TSData'!J24</f>
        <v>6.94</v>
      </c>
      <c r="K28" s="119">
        <f>'[4]IS-TSData'!K24</f>
        <v>7.1000000000000005</v>
      </c>
      <c r="L28" s="119">
        <f>'[4]IS-TSData'!L24</f>
        <v>6.5</v>
      </c>
      <c r="M28" s="119">
        <f>'[4]IS-TSData'!M24</f>
        <v>6.4000000000000012</v>
      </c>
      <c r="N28" s="119">
        <f>'[4]IS-TSData'!N24</f>
        <v>6.0910000000000002</v>
      </c>
      <c r="O28" s="119">
        <f>'[4]IS-TSData'!O24</f>
        <v>6.23</v>
      </c>
      <c r="P28" s="119">
        <f>'[4]IS-TSData'!P24</f>
        <v>6.3</v>
      </c>
      <c r="Q28" s="119">
        <f>'[4]IS-TSData'!Q24</f>
        <v>6.1267974837582679</v>
      </c>
      <c r="R28" s="119">
        <f>'[4]IS-TSData'!R24</f>
        <v>5.0030232389251985</v>
      </c>
      <c r="S28" s="199">
        <f t="shared" si="7"/>
        <v>5.2147499273111597</v>
      </c>
      <c r="T28" s="199">
        <f t="shared" si="7"/>
        <v>5.3715845111873151</v>
      </c>
      <c r="U28" s="199">
        <f t="shared" si="7"/>
        <v>5.5323399596584437</v>
      </c>
      <c r="V28" s="199">
        <f t="shared" si="7"/>
        <v>5.7205414603611739</v>
      </c>
      <c r="W28" s="199">
        <f t="shared" si="7"/>
        <v>5.9244264194744964</v>
      </c>
      <c r="X28" s="199">
        <f t="shared" si="7"/>
        <v>6.1439948369967823</v>
      </c>
      <c r="Y28" s="199">
        <f t="shared" si="7"/>
        <v>6.3792467129265091</v>
      </c>
      <c r="Z28" s="199">
        <f t="shared" si="7"/>
        <v>6.6262611826571431</v>
      </c>
      <c r="AA28" s="199">
        <f t="shared" si="7"/>
        <v>6.9046425692122879</v>
      </c>
      <c r="AB28" s="199">
        <f t="shared" si="7"/>
        <v>7.1908656849609605</v>
      </c>
      <c r="AC28" s="199">
        <f t="shared" si="7"/>
        <v>7.4574844776717555</v>
      </c>
      <c r="AD28" s="199">
        <f t="shared" si="7"/>
        <v>7.7319449995770277</v>
      </c>
      <c r="AE28" s="199">
        <f t="shared" si="7"/>
        <v>8.0181681152805293</v>
      </c>
      <c r="AF28" s="199">
        <f t="shared" si="7"/>
        <v>8.3083120955738927</v>
      </c>
      <c r="AG28" s="199">
        <f t="shared" si="7"/>
        <v>8.5827726174388737</v>
      </c>
      <c r="AH28" s="199">
        <f t="shared" si="7"/>
        <v>8.8533122746878217</v>
      </c>
      <c r="AI28" s="199">
        <f t="shared" si="7"/>
        <v>9.1199310673214722</v>
      </c>
      <c r="AJ28" s="199">
        <f t="shared" si="7"/>
        <v>9.4414419643877725</v>
      </c>
      <c r="AK28" s="199">
        <f t="shared" si="7"/>
        <v>9.7786363198526765</v>
      </c>
      <c r="AL28" s="199">
        <f t="shared" si="7"/>
        <v>10.12759326911255</v>
      </c>
      <c r="AM28" s="199">
        <f t="shared" si="7"/>
        <v>12.597737966651266</v>
      </c>
      <c r="AN28" s="199">
        <f t="shared" si="7"/>
        <v>15.989285845223394</v>
      </c>
      <c r="AO28" s="199">
        <f t="shared" si="7"/>
        <v>21.697411224495418</v>
      </c>
      <c r="AP28" s="199">
        <f t="shared" si="7"/>
        <v>27.559103800606323</v>
      </c>
    </row>
    <row r="29" spans="1:42">
      <c r="A29" s="61" t="str">
        <f t="shared" ref="A29:A38" si="8">IF(D13,"*","")</f>
        <v>*</v>
      </c>
      <c r="B29" s="22" t="s">
        <v>288</v>
      </c>
      <c r="C29" s="23" t="s">
        <v>137</v>
      </c>
      <c r="D29" s="61">
        <f t="shared" si="6"/>
        <v>0</v>
      </c>
      <c r="E29" s="23" t="s">
        <v>137</v>
      </c>
      <c r="F29" s="23" t="s">
        <v>137</v>
      </c>
      <c r="G29" s="23" t="s">
        <v>137</v>
      </c>
      <c r="H29" s="23" t="s">
        <v>137</v>
      </c>
      <c r="I29" s="22">
        <v>0</v>
      </c>
      <c r="J29" s="119">
        <v>0</v>
      </c>
      <c r="K29" s="199">
        <f t="shared" si="7"/>
        <v>0</v>
      </c>
      <c r="L29" s="199">
        <f t="shared" si="7"/>
        <v>0</v>
      </c>
      <c r="M29" s="199">
        <f t="shared" si="7"/>
        <v>0</v>
      </c>
      <c r="N29" s="199">
        <f t="shared" si="7"/>
        <v>0</v>
      </c>
      <c r="O29" s="199">
        <f t="shared" si="7"/>
        <v>0</v>
      </c>
      <c r="P29" s="199">
        <f t="shared" si="7"/>
        <v>0</v>
      </c>
      <c r="Q29" s="199">
        <f t="shared" si="7"/>
        <v>0</v>
      </c>
      <c r="R29" s="199">
        <f t="shared" si="7"/>
        <v>0</v>
      </c>
      <c r="S29" s="199">
        <f t="shared" si="7"/>
        <v>0</v>
      </c>
      <c r="T29" s="199">
        <f t="shared" si="7"/>
        <v>0</v>
      </c>
      <c r="U29" s="199">
        <f t="shared" si="7"/>
        <v>0</v>
      </c>
      <c r="V29" s="199">
        <f t="shared" si="7"/>
        <v>0</v>
      </c>
      <c r="W29" s="199">
        <f t="shared" si="7"/>
        <v>0</v>
      </c>
      <c r="X29" s="199">
        <f t="shared" si="7"/>
        <v>0</v>
      </c>
      <c r="Y29" s="199">
        <f t="shared" si="7"/>
        <v>0</v>
      </c>
      <c r="Z29" s="199">
        <f t="shared" si="7"/>
        <v>0</v>
      </c>
      <c r="AA29" s="199">
        <f t="shared" si="7"/>
        <v>0</v>
      </c>
      <c r="AB29" s="199">
        <f t="shared" si="7"/>
        <v>0</v>
      </c>
      <c r="AC29" s="199">
        <f t="shared" si="7"/>
        <v>0</v>
      </c>
      <c r="AD29" s="199">
        <f t="shared" si="7"/>
        <v>0</v>
      </c>
      <c r="AE29" s="199">
        <f t="shared" si="7"/>
        <v>0</v>
      </c>
      <c r="AF29" s="199">
        <f t="shared" si="7"/>
        <v>0</v>
      </c>
      <c r="AG29" s="199">
        <f t="shared" si="7"/>
        <v>0</v>
      </c>
      <c r="AH29" s="199">
        <f t="shared" si="7"/>
        <v>0</v>
      </c>
      <c r="AI29" s="199">
        <f t="shared" si="7"/>
        <v>0</v>
      </c>
      <c r="AJ29" s="199">
        <f t="shared" si="7"/>
        <v>0</v>
      </c>
      <c r="AK29" s="199">
        <f t="shared" si="7"/>
        <v>0</v>
      </c>
      <c r="AL29" s="199">
        <f t="shared" si="7"/>
        <v>0</v>
      </c>
      <c r="AM29" s="199">
        <f t="shared" si="7"/>
        <v>0</v>
      </c>
      <c r="AN29" s="199">
        <f t="shared" si="7"/>
        <v>0</v>
      </c>
      <c r="AO29" s="199">
        <f t="shared" si="7"/>
        <v>0</v>
      </c>
      <c r="AP29" s="199">
        <f t="shared" si="7"/>
        <v>0</v>
      </c>
    </row>
    <row r="30" spans="1:42">
      <c r="A30" s="61" t="str">
        <f t="shared" si="8"/>
        <v>*</v>
      </c>
      <c r="B30" s="22" t="s">
        <v>288</v>
      </c>
      <c r="C30" s="23" t="s">
        <v>137</v>
      </c>
      <c r="D30" s="61">
        <f t="shared" si="6"/>
        <v>0</v>
      </c>
      <c r="E30" s="23" t="s">
        <v>137</v>
      </c>
      <c r="F30" s="23" t="s">
        <v>137</v>
      </c>
      <c r="G30" s="23" t="s">
        <v>137</v>
      </c>
      <c r="H30" s="23" t="s">
        <v>137</v>
      </c>
      <c r="I30" s="22">
        <v>0</v>
      </c>
      <c r="J30" s="119">
        <v>0</v>
      </c>
      <c r="K30" s="199">
        <f t="shared" si="7"/>
        <v>0</v>
      </c>
      <c r="L30" s="199">
        <f t="shared" si="7"/>
        <v>0</v>
      </c>
      <c r="M30" s="199">
        <f t="shared" si="7"/>
        <v>0</v>
      </c>
      <c r="N30" s="199">
        <f t="shared" si="7"/>
        <v>0</v>
      </c>
      <c r="O30" s="199">
        <f t="shared" si="7"/>
        <v>0</v>
      </c>
      <c r="P30" s="199">
        <f t="shared" si="7"/>
        <v>0</v>
      </c>
      <c r="Q30" s="199">
        <f t="shared" si="7"/>
        <v>0</v>
      </c>
      <c r="R30" s="199">
        <f t="shared" si="7"/>
        <v>0</v>
      </c>
      <c r="S30" s="199">
        <f t="shared" si="7"/>
        <v>0</v>
      </c>
      <c r="T30" s="199">
        <f t="shared" si="7"/>
        <v>0</v>
      </c>
      <c r="U30" s="199">
        <f t="shared" si="7"/>
        <v>0</v>
      </c>
      <c r="V30" s="199">
        <f t="shared" si="7"/>
        <v>0</v>
      </c>
      <c r="W30" s="199">
        <f t="shared" si="7"/>
        <v>0</v>
      </c>
      <c r="X30" s="199">
        <f t="shared" si="7"/>
        <v>0</v>
      </c>
      <c r="Y30" s="199">
        <f t="shared" si="7"/>
        <v>0</v>
      </c>
      <c r="Z30" s="199">
        <f t="shared" si="7"/>
        <v>0</v>
      </c>
      <c r="AA30" s="199">
        <f t="shared" si="7"/>
        <v>0</v>
      </c>
      <c r="AB30" s="199">
        <f t="shared" si="7"/>
        <v>0</v>
      </c>
      <c r="AC30" s="199">
        <f t="shared" si="7"/>
        <v>0</v>
      </c>
      <c r="AD30" s="199">
        <f t="shared" si="7"/>
        <v>0</v>
      </c>
      <c r="AE30" s="199">
        <f t="shared" si="7"/>
        <v>0</v>
      </c>
      <c r="AF30" s="199">
        <f t="shared" si="7"/>
        <v>0</v>
      </c>
      <c r="AG30" s="199">
        <f t="shared" si="7"/>
        <v>0</v>
      </c>
      <c r="AH30" s="199">
        <f t="shared" si="7"/>
        <v>0</v>
      </c>
      <c r="AI30" s="199">
        <f t="shared" si="7"/>
        <v>0</v>
      </c>
      <c r="AJ30" s="199">
        <f t="shared" si="7"/>
        <v>0</v>
      </c>
      <c r="AK30" s="199">
        <f t="shared" si="7"/>
        <v>0</v>
      </c>
      <c r="AL30" s="199">
        <f t="shared" si="7"/>
        <v>0</v>
      </c>
      <c r="AM30" s="199">
        <f t="shared" si="7"/>
        <v>0</v>
      </c>
      <c r="AN30" s="199">
        <f t="shared" si="7"/>
        <v>0</v>
      </c>
      <c r="AO30" s="199">
        <f t="shared" si="7"/>
        <v>0</v>
      </c>
      <c r="AP30" s="199">
        <f t="shared" si="7"/>
        <v>0</v>
      </c>
    </row>
    <row r="31" spans="1:42">
      <c r="A31" s="61" t="str">
        <f t="shared" si="8"/>
        <v/>
      </c>
      <c r="B31" s="22" t="s">
        <v>288</v>
      </c>
      <c r="C31" s="23" t="s">
        <v>137</v>
      </c>
      <c r="D31" s="61" t="str">
        <f t="shared" si="6"/>
        <v>INMCEM</v>
      </c>
      <c r="E31" s="23" t="s">
        <v>137</v>
      </c>
      <c r="F31" s="23" t="s">
        <v>137</v>
      </c>
      <c r="G31" s="23" t="s">
        <v>137</v>
      </c>
      <c r="H31" s="23" t="s">
        <v>137</v>
      </c>
      <c r="I31" s="22">
        <v>0</v>
      </c>
      <c r="J31" s="119">
        <f>'[4]NMM-TSData'!J14</f>
        <v>14.27</v>
      </c>
      <c r="K31" s="119">
        <f>'[4]NMM-TSData'!K14</f>
        <v>14.368</v>
      </c>
      <c r="L31" s="119">
        <f>'[4]NMM-TSData'!L14</f>
        <v>14.465999999999999</v>
      </c>
      <c r="M31" s="119">
        <f>'[4]NMM-TSData'!M14</f>
        <v>14.564</v>
      </c>
      <c r="N31" s="119">
        <f>'[4]NMM-TSData'!N14</f>
        <v>14.662000000000001</v>
      </c>
      <c r="O31" s="119">
        <f>'[4]NMM-TSData'!O14</f>
        <v>14.759960880300349</v>
      </c>
      <c r="P31" s="199">
        <f t="shared" si="7"/>
        <v>14.913810635404458</v>
      </c>
      <c r="Q31" s="199">
        <f t="shared" si="7"/>
        <v>14.942657464486476</v>
      </c>
      <c r="R31" s="199">
        <f t="shared" si="7"/>
        <v>13.663781375183582</v>
      </c>
      <c r="S31" s="199">
        <f t="shared" si="7"/>
        <v>14.25419168054102</v>
      </c>
      <c r="T31" s="199">
        <f t="shared" si="7"/>
        <v>14.779000840720109</v>
      </c>
      <c r="U31" s="199">
        <f t="shared" si="7"/>
        <v>15.350667961676898</v>
      </c>
      <c r="V31" s="199">
        <f t="shared" si="7"/>
        <v>15.997307819891779</v>
      </c>
      <c r="W31" s="199">
        <f t="shared" si="7"/>
        <v>16.690805638874146</v>
      </c>
      <c r="X31" s="199">
        <f t="shared" si="7"/>
        <v>17.468647787262523</v>
      </c>
      <c r="Y31" s="199">
        <f t="shared" si="7"/>
        <v>18.302719488569441</v>
      </c>
      <c r="Z31" s="199">
        <f t="shared" si="7"/>
        <v>19.193020742791045</v>
      </c>
      <c r="AA31" s="199">
        <f t="shared" si="7"/>
        <v>20.205152695037587</v>
      </c>
      <c r="AB31" s="199">
        <f t="shared" si="7"/>
        <v>21.273514200189229</v>
      </c>
      <c r="AC31" s="199">
        <f t="shared" si="7"/>
        <v>22.360618889610326</v>
      </c>
      <c r="AD31" s="199">
        <f t="shared" si="7"/>
        <v>23.503953131933066</v>
      </c>
      <c r="AE31" s="199">
        <f t="shared" si="7"/>
        <v>24.722260111470177</v>
      </c>
      <c r="AF31" s="199">
        <f t="shared" si="7"/>
        <v>26.006168236061079</v>
      </c>
      <c r="AG31" s="199">
        <f t="shared" si="7"/>
        <v>27.290076360605713</v>
      </c>
      <c r="AH31" s="199">
        <f t="shared" si="7"/>
        <v>28.620842445888652</v>
      </c>
      <c r="AI31" s="199">
        <f t="shared" si="7"/>
        <v>30.12029718993913</v>
      </c>
      <c r="AJ31" s="199">
        <f t="shared" si="7"/>
        <v>31.685353079034122</v>
      </c>
      <c r="AK31" s="199">
        <f t="shared" si="7"/>
        <v>33.325381705327651</v>
      </c>
      <c r="AL31" s="199">
        <f t="shared" si="7"/>
        <v>35.031011476662449</v>
      </c>
      <c r="AM31" s="199">
        <f t="shared" si="7"/>
        <v>45.17107418326686</v>
      </c>
      <c r="AN31" s="199">
        <f t="shared" si="7"/>
        <v>57.813351993841167</v>
      </c>
      <c r="AO31" s="199">
        <f t="shared" si="7"/>
        <v>80.178656660358328</v>
      </c>
      <c r="AP31" s="199">
        <f t="shared" si="7"/>
        <v>102.96099717753745</v>
      </c>
    </row>
    <row r="32" spans="1:42">
      <c r="A32" s="61" t="str">
        <f t="shared" si="8"/>
        <v/>
      </c>
      <c r="B32" s="22" t="s">
        <v>288</v>
      </c>
      <c r="C32" s="23" t="s">
        <v>137</v>
      </c>
      <c r="D32" s="61" t="str">
        <f t="shared" si="6"/>
        <v>INMLIM</v>
      </c>
      <c r="E32" s="23" t="s">
        <v>137</v>
      </c>
      <c r="F32" s="23" t="s">
        <v>137</v>
      </c>
      <c r="G32" s="23" t="s">
        <v>137</v>
      </c>
      <c r="H32" s="23" t="s">
        <v>137</v>
      </c>
      <c r="I32" s="22">
        <v>0</v>
      </c>
      <c r="J32" s="151">
        <f>'[4]NMM-TSData'!J16</f>
        <v>1.2</v>
      </c>
      <c r="K32" s="151">
        <f>'[4]NMM-TSData'!K16</f>
        <v>1.1733333333333333</v>
      </c>
      <c r="L32" s="151">
        <f>'[4]NMM-TSData'!L16</f>
        <v>1.1466666666666667</v>
      </c>
      <c r="M32" s="151">
        <f>'[4]NMM-TSData'!M16</f>
        <v>1.1200000000000001</v>
      </c>
      <c r="N32" s="151">
        <f>'[4]NMM-TSData'!N16</f>
        <v>1.1200000000000001</v>
      </c>
      <c r="O32" s="151">
        <f>'[4]NMM-TSData'!O16</f>
        <v>1.3591716472036741</v>
      </c>
      <c r="P32" s="199">
        <f t="shared" si="7"/>
        <v>1.373338908672898</v>
      </c>
      <c r="Q32" s="199">
        <f t="shared" si="7"/>
        <v>1.3759952701983773</v>
      </c>
      <c r="R32" s="199">
        <f t="shared" si="7"/>
        <v>1.2582299092354532</v>
      </c>
      <c r="S32" s="199">
        <f t="shared" si="7"/>
        <v>1.3125978681864638</v>
      </c>
      <c r="T32" s="199">
        <f t="shared" si="7"/>
        <v>1.3609249427968184</v>
      </c>
      <c r="U32" s="199">
        <f t="shared" si="7"/>
        <v>1.4135669347874646</v>
      </c>
      <c r="V32" s="199">
        <f t="shared" si="7"/>
        <v>1.4731127945878455</v>
      </c>
      <c r="W32" s="199">
        <f t="shared" si="7"/>
        <v>1.5369735717675777</v>
      </c>
      <c r="X32" s="199">
        <f t="shared" si="7"/>
        <v>1.6086012002324004</v>
      </c>
      <c r="Y32" s="199">
        <f t="shared" si="7"/>
        <v>1.6854067295522197</v>
      </c>
      <c r="Z32" s="199">
        <f t="shared" si="7"/>
        <v>1.7673901597266806</v>
      </c>
      <c r="AA32" s="199">
        <f t="shared" si="7"/>
        <v>1.8605923750901678</v>
      </c>
      <c r="AB32" s="199">
        <f t="shared" si="7"/>
        <v>1.9589724913074138</v>
      </c>
      <c r="AC32" s="199">
        <f t="shared" si="7"/>
        <v>2.0590785744729434</v>
      </c>
      <c r="AD32" s="199">
        <f t="shared" si="7"/>
        <v>2.1643625584919137</v>
      </c>
      <c r="AE32" s="199">
        <f t="shared" si="7"/>
        <v>2.2765504103165921</v>
      </c>
      <c r="AF32" s="199">
        <f t="shared" si="7"/>
        <v>2.3947791464704569</v>
      </c>
      <c r="AG32" s="199">
        <f t="shared" si="7"/>
        <v>2.513007882620061</v>
      </c>
      <c r="AH32" s="199">
        <f t="shared" si="7"/>
        <v>2.6355515361463291</v>
      </c>
      <c r="AI32" s="199">
        <f t="shared" si="7"/>
        <v>2.7736288922386834</v>
      </c>
      <c r="AJ32" s="199">
        <f t="shared" si="7"/>
        <v>2.91774713265937</v>
      </c>
      <c r="AK32" s="199">
        <f t="shared" si="7"/>
        <v>3.0687692408843072</v>
      </c>
      <c r="AL32" s="199">
        <f t="shared" si="7"/>
        <v>3.2258322334372775</v>
      </c>
      <c r="AM32" s="199">
        <f t="shared" si="7"/>
        <v>4.1595803540084217</v>
      </c>
      <c r="AN32" s="199">
        <f t="shared" si="7"/>
        <v>5.3237450625435487</v>
      </c>
      <c r="AO32" s="199">
        <f t="shared" si="7"/>
        <v>7.3832551269891633</v>
      </c>
      <c r="AP32" s="199">
        <f t="shared" si="7"/>
        <v>9.4811679560954722</v>
      </c>
    </row>
    <row r="33" spans="1:42">
      <c r="A33" s="61" t="str">
        <f t="shared" si="8"/>
        <v/>
      </c>
      <c r="B33" s="22" t="s">
        <v>288</v>
      </c>
      <c r="C33" s="23" t="s">
        <v>137</v>
      </c>
      <c r="D33" s="61" t="str">
        <f t="shared" si="6"/>
        <v>INMGLA</v>
      </c>
      <c r="E33" s="23" t="s">
        <v>137</v>
      </c>
      <c r="F33" s="23" t="s">
        <v>137</v>
      </c>
      <c r="G33" s="23" t="s">
        <v>137</v>
      </c>
      <c r="H33" s="23" t="s">
        <v>137</v>
      </c>
      <c r="I33" s="22">
        <v>0</v>
      </c>
      <c r="J33" s="119">
        <f>'[4]NMM-TSData'!J15</f>
        <v>1.27</v>
      </c>
      <c r="K33" s="119">
        <f>'[4]NMM-TSData'!K15</f>
        <v>1.2484871200000001</v>
      </c>
      <c r="L33" s="119">
        <f>'[4]NMM-TSData'!L15</f>
        <v>1.2269742400000001</v>
      </c>
      <c r="M33" s="119">
        <f>'[4]NMM-TSData'!M15</f>
        <v>1.2054613600000001</v>
      </c>
      <c r="N33" s="119">
        <f>'[4]NMM-TSData'!N15</f>
        <v>1.1839484800000002</v>
      </c>
      <c r="O33" s="119">
        <f>'[4]NMM-TSData'!O15</f>
        <v>1.1624356</v>
      </c>
      <c r="P33" s="199">
        <f t="shared" si="7"/>
        <v>1.17455219257329</v>
      </c>
      <c r="Q33" s="199">
        <f t="shared" si="7"/>
        <v>1.1768240536807819</v>
      </c>
      <c r="R33" s="199">
        <f t="shared" si="7"/>
        <v>1.0761048779153095</v>
      </c>
      <c r="S33" s="199">
        <f t="shared" si="7"/>
        <v>1.1226032367605798</v>
      </c>
      <c r="T33" s="199">
        <f t="shared" si="7"/>
        <v>1.1639351112787906</v>
      </c>
      <c r="U33" s="199">
        <f t="shared" si="7"/>
        <v>1.2089573317398625</v>
      </c>
      <c r="V33" s="199">
        <f t="shared" si="7"/>
        <v>1.2598841057105965</v>
      </c>
      <c r="W33" s="199">
        <f t="shared" si="7"/>
        <v>1.3145012256233872</v>
      </c>
      <c r="X33" s="199">
        <f t="shared" si="7"/>
        <v>1.3757609682338114</v>
      </c>
      <c r="Y33" s="199">
        <f t="shared" si="7"/>
        <v>1.4414491259745112</v>
      </c>
      <c r="Z33" s="199">
        <f t="shared" si="7"/>
        <v>1.5115656988451829</v>
      </c>
      <c r="AA33" s="199">
        <f t="shared" si="7"/>
        <v>1.5912771711675227</v>
      </c>
      <c r="AB33" s="199">
        <f t="shared" si="7"/>
        <v>1.6754170586190793</v>
      </c>
      <c r="AC33" s="199">
        <f t="shared" si="7"/>
        <v>1.7610330844445021</v>
      </c>
      <c r="AD33" s="199">
        <f t="shared" si="7"/>
        <v>1.85107752539887</v>
      </c>
      <c r="AE33" s="199">
        <f t="shared" si="7"/>
        <v>1.9470265198594565</v>
      </c>
      <c r="AF33" s="199">
        <f t="shared" si="7"/>
        <v>2.0481419986372926</v>
      </c>
      <c r="AG33" s="199">
        <f t="shared" si="7"/>
        <v>2.1492574774114845</v>
      </c>
      <c r="AH33" s="199">
        <f t="shared" si="7"/>
        <v>2.2540633021254353</v>
      </c>
      <c r="AI33" s="199">
        <f t="shared" si="7"/>
        <v>2.3721543722311509</v>
      </c>
      <c r="AJ33" s="199">
        <f t="shared" si="7"/>
        <v>2.4954119266533854</v>
      </c>
      <c r="AK33" s="199">
        <f t="shared" si="7"/>
        <v>2.6245740345805917</v>
      </c>
      <c r="AL33" s="199">
        <f t="shared" si="7"/>
        <v>2.7589026268240615</v>
      </c>
      <c r="AM33" s="199">
        <f t="shared" si="7"/>
        <v>3.5574934884110516</v>
      </c>
      <c r="AN33" s="199">
        <f t="shared" si="7"/>
        <v>4.5531488232240109</v>
      </c>
      <c r="AO33" s="199">
        <f t="shared" si="7"/>
        <v>6.3145509407529721</v>
      </c>
      <c r="AP33" s="199">
        <f t="shared" si="7"/>
        <v>8.108797137152953</v>
      </c>
    </row>
    <row r="34" spans="1:42">
      <c r="A34" s="61" t="str">
        <f t="shared" si="8"/>
        <v/>
      </c>
      <c r="B34" s="22" t="s">
        <v>288</v>
      </c>
      <c r="C34" s="23" t="s">
        <v>137</v>
      </c>
      <c r="D34" s="61" t="str">
        <f t="shared" si="6"/>
        <v>INMBRI</v>
      </c>
      <c r="E34" s="23" t="s">
        <v>137</v>
      </c>
      <c r="F34" s="23" t="s">
        <v>137</v>
      </c>
      <c r="G34" s="23" t="s">
        <v>137</v>
      </c>
      <c r="H34" s="23" t="s">
        <v>137</v>
      </c>
      <c r="I34" s="22">
        <v>0</v>
      </c>
      <c r="J34" s="152">
        <f>'[4]NMM-TSData'!J13</f>
        <v>3.2959999999999998</v>
      </c>
      <c r="K34" s="152">
        <f>'[4]NMM-TSData'!K13</f>
        <v>4.5590000000000002</v>
      </c>
      <c r="L34" s="152">
        <f>'[4]NMM-TSData'!L13</f>
        <v>5.8220999999999998</v>
      </c>
      <c r="M34" s="152">
        <f>'[4]NMM-TSData'!M13</f>
        <v>7.0850999999999997</v>
      </c>
      <c r="N34" s="152">
        <f>'[4]NMM-TSData'!N13</f>
        <v>8.3482000000000003</v>
      </c>
      <c r="O34" s="152">
        <f>'[4]NMM-TSData'!O13</f>
        <v>9.6111784370000013</v>
      </c>
      <c r="P34" s="199">
        <f t="shared" si="7"/>
        <v>9.7113601014899036</v>
      </c>
      <c r="Q34" s="199">
        <f t="shared" si="7"/>
        <v>9.7301441635817607</v>
      </c>
      <c r="R34" s="199">
        <f t="shared" si="7"/>
        <v>8.8973840775094484</v>
      </c>
      <c r="S34" s="199">
        <f t="shared" si="7"/>
        <v>9.2818389444195386</v>
      </c>
      <c r="T34" s="199">
        <f t="shared" si="7"/>
        <v>9.6235766038049011</v>
      </c>
      <c r="U34" s="199">
        <f t="shared" si="7"/>
        <v>9.9958265542376932</v>
      </c>
      <c r="V34" s="199">
        <f t="shared" si="7"/>
        <v>10.416896170355344</v>
      </c>
      <c r="W34" s="199">
        <f t="shared" si="7"/>
        <v>10.868478077513776</v>
      </c>
      <c r="X34" s="199">
        <f t="shared" si="7"/>
        <v>11.374982108561586</v>
      </c>
      <c r="Y34" s="199">
        <f t="shared" si="7"/>
        <v>11.918100888856744</v>
      </c>
      <c r="Z34" s="199">
        <f t="shared" si="7"/>
        <v>12.497834418396737</v>
      </c>
      <c r="AA34" s="199">
        <f t="shared" si="7"/>
        <v>13.156899904661948</v>
      </c>
      <c r="AB34" s="199">
        <f t="shared" si="7"/>
        <v>13.852580140165754</v>
      </c>
      <c r="AC34" s="199">
        <f t="shared" si="7"/>
        <v>14.56046529206143</v>
      </c>
      <c r="AD34" s="199">
        <f t="shared" si="7"/>
        <v>15.304965193193448</v>
      </c>
      <c r="AE34" s="199">
        <f t="shared" si="7"/>
        <v>16.098284759981855</v>
      </c>
      <c r="AF34" s="199">
        <f t="shared" si="7"/>
        <v>16.934321534213879</v>
      </c>
      <c r="AG34" s="199">
        <f t="shared" si="7"/>
        <v>17.770358308415776</v>
      </c>
      <c r="AH34" s="199">
        <f t="shared" si="7"/>
        <v>18.636907373639449</v>
      </c>
      <c r="AI34" s="199">
        <f t="shared" si="7"/>
        <v>19.613300686612924</v>
      </c>
      <c r="AJ34" s="199">
        <f t="shared" si="7"/>
        <v>20.632411207023974</v>
      </c>
      <c r="AK34" s="199">
        <f t="shared" si="7"/>
        <v>21.700341393081107</v>
      </c>
      <c r="AL34" s="199">
        <f t="shared" si="7"/>
        <v>22.810988786573702</v>
      </c>
      <c r="AM34" s="199">
        <f t="shared" si="7"/>
        <v>29.413848565532749</v>
      </c>
      <c r="AN34" s="199">
        <f t="shared" si="7"/>
        <v>37.646064685409264</v>
      </c>
      <c r="AO34" s="199">
        <f t="shared" si="7"/>
        <v>52.209581194091975</v>
      </c>
      <c r="AP34" s="199">
        <f t="shared" ref="AP34" si="9">AO34*AP18/AO18</f>
        <v>67.044657092927807</v>
      </c>
    </row>
    <row r="35" spans="1:42">
      <c r="A35" s="61" t="str">
        <f t="shared" si="8"/>
        <v>*</v>
      </c>
      <c r="B35" s="22" t="s">
        <v>288</v>
      </c>
      <c r="C35" s="23" t="s">
        <v>137</v>
      </c>
      <c r="D35" s="61">
        <f t="shared" si="6"/>
        <v>0</v>
      </c>
      <c r="E35" s="23" t="s">
        <v>137</v>
      </c>
      <c r="F35" s="23" t="s">
        <v>137</v>
      </c>
      <c r="G35" s="23" t="s">
        <v>137</v>
      </c>
      <c r="H35" s="23" t="s">
        <v>137</v>
      </c>
      <c r="I35" s="22">
        <v>0</v>
      </c>
      <c r="J35" s="119">
        <v>0</v>
      </c>
      <c r="K35" s="199">
        <f t="shared" ref="K35:AP37" si="10">J35*K19/J19</f>
        <v>0</v>
      </c>
      <c r="L35" s="199">
        <f t="shared" si="10"/>
        <v>0</v>
      </c>
      <c r="M35" s="199">
        <f t="shared" si="10"/>
        <v>0</v>
      </c>
      <c r="N35" s="199">
        <f t="shared" si="10"/>
        <v>0</v>
      </c>
      <c r="O35" s="199">
        <f t="shared" si="10"/>
        <v>0</v>
      </c>
      <c r="P35" s="199">
        <f t="shared" si="10"/>
        <v>0</v>
      </c>
      <c r="Q35" s="199">
        <f t="shared" si="10"/>
        <v>0</v>
      </c>
      <c r="R35" s="199">
        <f t="shared" si="10"/>
        <v>0</v>
      </c>
      <c r="S35" s="199">
        <f t="shared" si="10"/>
        <v>0</v>
      </c>
      <c r="T35" s="199">
        <f t="shared" si="10"/>
        <v>0</v>
      </c>
      <c r="U35" s="199">
        <f t="shared" si="10"/>
        <v>0</v>
      </c>
      <c r="V35" s="199">
        <f t="shared" si="10"/>
        <v>0</v>
      </c>
      <c r="W35" s="199">
        <f t="shared" si="10"/>
        <v>0</v>
      </c>
      <c r="X35" s="199">
        <f t="shared" si="10"/>
        <v>0</v>
      </c>
      <c r="Y35" s="199">
        <f t="shared" si="10"/>
        <v>0</v>
      </c>
      <c r="Z35" s="199">
        <f t="shared" si="10"/>
        <v>0</v>
      </c>
      <c r="AA35" s="199">
        <f t="shared" si="10"/>
        <v>0</v>
      </c>
      <c r="AB35" s="199">
        <f t="shared" si="10"/>
        <v>0</v>
      </c>
      <c r="AC35" s="199">
        <f t="shared" si="10"/>
        <v>0</v>
      </c>
      <c r="AD35" s="199">
        <f t="shared" si="10"/>
        <v>0</v>
      </c>
      <c r="AE35" s="199">
        <f t="shared" si="10"/>
        <v>0</v>
      </c>
      <c r="AF35" s="199">
        <f t="shared" si="10"/>
        <v>0</v>
      </c>
      <c r="AG35" s="199">
        <f t="shared" si="10"/>
        <v>0</v>
      </c>
      <c r="AH35" s="199">
        <f t="shared" si="10"/>
        <v>0</v>
      </c>
      <c r="AI35" s="199">
        <f t="shared" si="10"/>
        <v>0</v>
      </c>
      <c r="AJ35" s="199">
        <f t="shared" si="10"/>
        <v>0</v>
      </c>
      <c r="AK35" s="199">
        <f t="shared" si="10"/>
        <v>0</v>
      </c>
      <c r="AL35" s="199">
        <f t="shared" si="10"/>
        <v>0</v>
      </c>
      <c r="AM35" s="199">
        <f t="shared" si="10"/>
        <v>0</v>
      </c>
      <c r="AN35" s="199">
        <f t="shared" si="10"/>
        <v>0</v>
      </c>
      <c r="AO35" s="199">
        <f t="shared" si="10"/>
        <v>0</v>
      </c>
      <c r="AP35" s="199">
        <f t="shared" si="10"/>
        <v>0</v>
      </c>
    </row>
    <row r="36" spans="1:42">
      <c r="A36" s="61" t="str">
        <f t="shared" si="8"/>
        <v/>
      </c>
      <c r="B36" s="22" t="s">
        <v>288</v>
      </c>
      <c r="C36" s="23" t="s">
        <v>137</v>
      </c>
      <c r="D36" s="61" t="str">
        <f t="shared" si="6"/>
        <v>IPPPAP</v>
      </c>
      <c r="E36" s="23" t="s">
        <v>137</v>
      </c>
      <c r="F36" s="23" t="s">
        <v>137</v>
      </c>
      <c r="G36" s="23" t="s">
        <v>137</v>
      </c>
      <c r="H36" s="23" t="s">
        <v>137</v>
      </c>
      <c r="I36" s="22">
        <v>0</v>
      </c>
      <c r="J36" s="151">
        <f>'[4]PP-TSData'!J29</f>
        <v>2.0533000000000001</v>
      </c>
      <c r="K36" s="151">
        <f>'[4]PP-TSData'!K29</f>
        <v>2.0786519999999999</v>
      </c>
      <c r="L36" s="151">
        <f>'[4]PP-TSData'!L29</f>
        <v>2.1040039999999998</v>
      </c>
      <c r="M36" s="151">
        <f>'[4]PP-TSData'!M29</f>
        <v>2.1293559999999996</v>
      </c>
      <c r="N36" s="151">
        <f>'[4]PP-TSData'!N29</f>
        <v>2.1547079999999994</v>
      </c>
      <c r="O36" s="151">
        <f>'[4]PP-TSData'!O29</f>
        <v>2.1800600000000001</v>
      </c>
      <c r="P36" s="199">
        <f t="shared" si="10"/>
        <v>2.2106692667706707</v>
      </c>
      <c r="Q36" s="199">
        <f t="shared" si="10"/>
        <v>2.2129366198647946</v>
      </c>
      <c r="R36" s="199">
        <f t="shared" si="10"/>
        <v>2.0587566094643788</v>
      </c>
      <c r="S36" s="199">
        <f t="shared" si="10"/>
        <v>2.147400596839196</v>
      </c>
      <c r="T36" s="199">
        <f t="shared" si="10"/>
        <v>2.224964085774308</v>
      </c>
      <c r="U36" s="199">
        <f t="shared" si="10"/>
        <v>2.3080678239228472</v>
      </c>
      <c r="V36" s="199">
        <f t="shared" si="10"/>
        <v>2.4033601103448485</v>
      </c>
      <c r="W36" s="199">
        <f t="shared" si="10"/>
        <v>2.515273144412761</v>
      </c>
      <c r="X36" s="199">
        <f t="shared" si="10"/>
        <v>2.6282942283190485</v>
      </c>
      <c r="Y36" s="199">
        <f t="shared" si="10"/>
        <v>2.7501797109666359</v>
      </c>
      <c r="Z36" s="199">
        <f t="shared" si="10"/>
        <v>2.8809295923550202</v>
      </c>
      <c r="AA36" s="199">
        <f t="shared" si="10"/>
        <v>3.0249760718564263</v>
      </c>
      <c r="AB36" s="199">
        <f t="shared" si="10"/>
        <v>3.1756708504113376</v>
      </c>
      <c r="AC36" s="199">
        <f t="shared" si="10"/>
        <v>3.3230414794317151</v>
      </c>
      <c r="AD36" s="199">
        <f t="shared" si="10"/>
        <v>3.4792765071916163</v>
      </c>
      <c r="AE36" s="199">
        <f t="shared" si="10"/>
        <v>3.6421598340046577</v>
      </c>
      <c r="AF36" s="199">
        <f t="shared" si="10"/>
        <v>3.811691459870659</v>
      </c>
      <c r="AG36" s="199">
        <f t="shared" si="10"/>
        <v>3.9623862384015229</v>
      </c>
      <c r="AH36" s="199">
        <f t="shared" si="10"/>
        <v>4.1308098144149321</v>
      </c>
      <c r="AI36" s="199">
        <f t="shared" si="10"/>
        <v>4.3169621879101072</v>
      </c>
      <c r="AJ36" s="199">
        <f t="shared" si="10"/>
        <v>4.517519209357741</v>
      </c>
      <c r="AK36" s="199">
        <f t="shared" si="10"/>
        <v>4.7302647790716623</v>
      </c>
      <c r="AL36" s="199">
        <f t="shared" si="10"/>
        <v>4.9551988970515239</v>
      </c>
      <c r="AM36" s="199">
        <f t="shared" si="10"/>
        <v>6.3358290005500431</v>
      </c>
      <c r="AN36" s="199">
        <f t="shared" si="10"/>
        <v>8.0643867545175478</v>
      </c>
      <c r="AO36" s="199">
        <f t="shared" si="10"/>
        <v>11.115586670238759</v>
      </c>
      <c r="AP36" s="199">
        <f t="shared" si="10"/>
        <v>14.224774527704771</v>
      </c>
    </row>
    <row r="37" spans="1:42">
      <c r="A37" s="61" t="str">
        <f t="shared" si="8"/>
        <v/>
      </c>
      <c r="B37" s="22" t="s">
        <v>288</v>
      </c>
      <c r="C37" s="23" t="s">
        <v>137</v>
      </c>
      <c r="D37" s="61" t="str">
        <f t="shared" si="6"/>
        <v>IPPPULPD</v>
      </c>
      <c r="E37" s="23" t="s">
        <v>137</v>
      </c>
      <c r="F37" s="23" t="s">
        <v>137</v>
      </c>
      <c r="G37" s="23" t="s">
        <v>137</v>
      </c>
      <c r="H37" s="23" t="s">
        <v>137</v>
      </c>
      <c r="I37" s="22">
        <v>0</v>
      </c>
      <c r="J37" s="151">
        <f>'[4]PP-TSData'!J28</f>
        <v>0.73711514499999997</v>
      </c>
      <c r="K37" s="151">
        <f>'[4]PP-TSData'!K28</f>
        <v>0.73711514499999997</v>
      </c>
      <c r="L37" s="151">
        <f>'[4]PP-TSData'!L28</f>
        <v>0.73711514499999997</v>
      </c>
      <c r="M37" s="151">
        <f>'[4]PP-TSData'!M28</f>
        <v>0.73711514499999997</v>
      </c>
      <c r="N37" s="151">
        <f>'[4]PP-TSData'!N28</f>
        <v>0.7</v>
      </c>
      <c r="O37" s="151">
        <f>'[4]PP-TSData'!O28</f>
        <v>0.65910719806663931</v>
      </c>
      <c r="P37" s="199">
        <f t="shared" si="10"/>
        <v>0.66836143329690412</v>
      </c>
      <c r="Q37" s="199">
        <f t="shared" si="10"/>
        <v>0.66904693220284961</v>
      </c>
      <c r="R37" s="199">
        <f t="shared" si="10"/>
        <v>0.62243300659855272</v>
      </c>
      <c r="S37" s="199">
        <f t="shared" si="10"/>
        <v>0.64923313601887622</v>
      </c>
      <c r="T37" s="199">
        <f t="shared" si="10"/>
        <v>0.67268324925626166</v>
      </c>
      <c r="U37" s="199">
        <f t="shared" si="10"/>
        <v>0.69780837058317335</v>
      </c>
      <c r="V37" s="199">
        <f t="shared" si="10"/>
        <v>0.72661850970822917</v>
      </c>
      <c r="W37" s="199">
        <f t="shared" si="10"/>
        <v>0.76045367310356593</v>
      </c>
      <c r="X37" s="199">
        <f t="shared" si="10"/>
        <v>0.79462383811550485</v>
      </c>
      <c r="Y37" s="199">
        <f t="shared" si="10"/>
        <v>0.83147401607063054</v>
      </c>
      <c r="Z37" s="199">
        <f t="shared" si="10"/>
        <v>0.87100420696879088</v>
      </c>
      <c r="AA37" s="199">
        <f t="shared" si="10"/>
        <v>0.91455441728205544</v>
      </c>
      <c r="AB37" s="199">
        <f t="shared" si="10"/>
        <v>0.96011463730196323</v>
      </c>
      <c r="AC37" s="199">
        <f t="shared" si="10"/>
        <v>1.0046698524661968</v>
      </c>
      <c r="AD37" s="199">
        <f t="shared" si="10"/>
        <v>1.0519050805730801</v>
      </c>
      <c r="AE37" s="199">
        <f t="shared" si="10"/>
        <v>1.1011503183864964</v>
      </c>
      <c r="AF37" s="199">
        <f t="shared" si="10"/>
        <v>1.1524055659063912</v>
      </c>
      <c r="AG37" s="199">
        <f t="shared" si="10"/>
        <v>1.1979657859190285</v>
      </c>
      <c r="AH37" s="199">
        <f t="shared" si="10"/>
        <v>1.248886031818023</v>
      </c>
      <c r="AI37" s="199">
        <f t="shared" si="10"/>
        <v>1.3051663036031389</v>
      </c>
      <c r="AJ37" s="199">
        <f t="shared" si="10"/>
        <v>1.3658015964202819</v>
      </c>
      <c r="AK37" s="199">
        <f t="shared" si="10"/>
        <v>1.4301219070333997</v>
      </c>
      <c r="AL37" s="199">
        <f t="shared" si="10"/>
        <v>1.4981272354423874</v>
      </c>
      <c r="AM37" s="199">
        <f t="shared" si="10"/>
        <v>1.9155392512049643</v>
      </c>
      <c r="AN37" s="199">
        <f t="shared" si="10"/>
        <v>2.4381417749492122</v>
      </c>
      <c r="AO37" s="199">
        <f t="shared" si="10"/>
        <v>3.3606245631257639</v>
      </c>
      <c r="AP37" s="199">
        <f t="shared" si="10"/>
        <v>4.3006391026325845</v>
      </c>
    </row>
    <row r="38" spans="1:42">
      <c r="A38" s="61" t="str">
        <f t="shared" si="8"/>
        <v>*</v>
      </c>
      <c r="B38" s="22" t="s">
        <v>288</v>
      </c>
      <c r="C38" s="23" t="s">
        <v>137</v>
      </c>
      <c r="D38" s="61">
        <f t="shared" si="6"/>
        <v>0</v>
      </c>
      <c r="E38" s="23" t="s">
        <v>137</v>
      </c>
      <c r="F38" s="23" t="s">
        <v>137</v>
      </c>
      <c r="G38" s="23" t="s">
        <v>137</v>
      </c>
      <c r="H38" s="23" t="s">
        <v>137</v>
      </c>
      <c r="I38" s="22">
        <v>0</v>
      </c>
      <c r="J38" s="119">
        <v>0</v>
      </c>
      <c r="K38" s="199">
        <f t="shared" ref="K38:AP38" si="11">J38*K22/J22</f>
        <v>0</v>
      </c>
      <c r="L38" s="199">
        <f t="shared" si="11"/>
        <v>0</v>
      </c>
      <c r="M38" s="199">
        <f t="shared" si="11"/>
        <v>0</v>
      </c>
      <c r="N38" s="199">
        <f t="shared" si="11"/>
        <v>0</v>
      </c>
      <c r="O38" s="199">
        <f t="shared" si="11"/>
        <v>0</v>
      </c>
      <c r="P38" s="199">
        <f t="shared" si="11"/>
        <v>0</v>
      </c>
      <c r="Q38" s="199">
        <f t="shared" si="11"/>
        <v>0</v>
      </c>
      <c r="R38" s="199">
        <f t="shared" si="11"/>
        <v>0</v>
      </c>
      <c r="S38" s="199">
        <f t="shared" si="11"/>
        <v>0</v>
      </c>
      <c r="T38" s="199">
        <f t="shared" si="11"/>
        <v>0</v>
      </c>
      <c r="U38" s="199">
        <f t="shared" si="11"/>
        <v>0</v>
      </c>
      <c r="V38" s="199">
        <f t="shared" si="11"/>
        <v>0</v>
      </c>
      <c r="W38" s="199">
        <f t="shared" si="11"/>
        <v>0</v>
      </c>
      <c r="X38" s="199">
        <f t="shared" si="11"/>
        <v>0</v>
      </c>
      <c r="Y38" s="199">
        <f t="shared" si="11"/>
        <v>0</v>
      </c>
      <c r="Z38" s="199">
        <f t="shared" si="11"/>
        <v>0</v>
      </c>
      <c r="AA38" s="199">
        <f t="shared" si="11"/>
        <v>0</v>
      </c>
      <c r="AB38" s="199">
        <f t="shared" si="11"/>
        <v>0</v>
      </c>
      <c r="AC38" s="199">
        <f t="shared" si="11"/>
        <v>0</v>
      </c>
      <c r="AD38" s="199">
        <f t="shared" si="11"/>
        <v>0</v>
      </c>
      <c r="AE38" s="199">
        <f t="shared" si="11"/>
        <v>0</v>
      </c>
      <c r="AF38" s="199">
        <f t="shared" si="11"/>
        <v>0</v>
      </c>
      <c r="AG38" s="199">
        <f t="shared" si="11"/>
        <v>0</v>
      </c>
      <c r="AH38" s="199">
        <f t="shared" si="11"/>
        <v>0</v>
      </c>
      <c r="AI38" s="199">
        <f t="shared" si="11"/>
        <v>0</v>
      </c>
      <c r="AJ38" s="199">
        <f t="shared" si="11"/>
        <v>0</v>
      </c>
      <c r="AK38" s="199">
        <f t="shared" si="11"/>
        <v>0</v>
      </c>
      <c r="AL38" s="199">
        <f t="shared" si="11"/>
        <v>0</v>
      </c>
      <c r="AM38" s="199">
        <f t="shared" si="11"/>
        <v>0</v>
      </c>
      <c r="AN38" s="199">
        <f t="shared" si="11"/>
        <v>0</v>
      </c>
      <c r="AO38" s="199">
        <f t="shared" si="11"/>
        <v>0</v>
      </c>
      <c r="AP38" s="199">
        <f t="shared" si="11"/>
        <v>0</v>
      </c>
    </row>
    <row r="39" spans="1:42">
      <c r="A39" s="199" t="s">
        <v>16</v>
      </c>
      <c r="B39" s="200"/>
    </row>
    <row r="40" spans="1:42" ht="15.75" thickBot="1">
      <c r="A40" s="199" t="s">
        <v>16</v>
      </c>
      <c r="B40" s="14" t="s">
        <v>290</v>
      </c>
      <c r="C40" s="14"/>
      <c r="D40" s="199">
        <v>2010</v>
      </c>
      <c r="E40" s="199">
        <v>2020</v>
      </c>
      <c r="F40" s="199">
        <v>2030</v>
      </c>
      <c r="G40" s="199">
        <v>2050</v>
      </c>
    </row>
    <row r="41" spans="1:42">
      <c r="A41" s="199" t="s">
        <v>16</v>
      </c>
      <c r="B41" s="200" t="str">
        <f t="shared" ref="B41:C52" si="12">B10</f>
        <v>MI</v>
      </c>
      <c r="C41" s="200" t="str">
        <f t="shared" si="12"/>
        <v>Mining</v>
      </c>
      <c r="D41" s="199">
        <v>1</v>
      </c>
      <c r="E41" s="199">
        <v>1.0220604419830652</v>
      </c>
      <c r="F41" s="199">
        <v>1.0684529596700734</v>
      </c>
      <c r="G41" s="199">
        <f>F41</f>
        <v>1.0684529596700734</v>
      </c>
      <c r="J41" s="199">
        <f>IF(J$7=-1,K41,IF(J$7=99,I41,IF(J$7=0,INDEX($D41:$G41,0,J$5),(INDEX($D41:$G41,0,J$7+1)-INDEX($D41:$G41,0,J$7))/(INDEX($D$4:$G$4,0,J$7+1)-INDEX($D$4:$G$4,0,J$7))+I41)))</f>
        <v>1</v>
      </c>
      <c r="K41" s="199">
        <f t="shared" ref="K41:Z42" si="13">IF(K$7=-1,L41,IF(K$7=99,J41,IF(K$7=0,INDEX($D41:$G41,0,K$5),(INDEX($D41:$G41,0,K$7+1)-INDEX($D41:$G41,0,K$7))/(INDEX($D$4:$G$4,0,K$7+1)-INDEX($D$4:$G$4,0,K$7))+J41)))</f>
        <v>1.0027575552478831</v>
      </c>
      <c r="L41" s="199">
        <f t="shared" si="13"/>
        <v>1.0055151104957663</v>
      </c>
      <c r="M41" s="199">
        <f t="shared" si="13"/>
        <v>1.0082726657436494</v>
      </c>
      <c r="N41" s="199">
        <f t="shared" si="13"/>
        <v>1.0110302209915325</v>
      </c>
      <c r="O41" s="199">
        <f t="shared" si="13"/>
        <v>1.0137877762394156</v>
      </c>
      <c r="P41" s="199">
        <f t="shared" si="13"/>
        <v>1.0165453314872988</v>
      </c>
      <c r="Q41" s="199">
        <f t="shared" si="13"/>
        <v>1.0193028867351819</v>
      </c>
      <c r="R41" s="199">
        <f t="shared" si="13"/>
        <v>1.0220604419830652</v>
      </c>
      <c r="S41" s="199">
        <f t="shared" si="13"/>
        <v>1.0266996937517661</v>
      </c>
      <c r="T41" s="199">
        <f t="shared" si="13"/>
        <v>1.0313389455204669</v>
      </c>
      <c r="U41" s="199">
        <f t="shared" si="13"/>
        <v>1.0359781972891677</v>
      </c>
      <c r="V41" s="199">
        <f t="shared" si="13"/>
        <v>1.0406174490578686</v>
      </c>
      <c r="W41" s="199">
        <f t="shared" si="13"/>
        <v>1.0452567008265694</v>
      </c>
      <c r="X41" s="199">
        <f t="shared" si="13"/>
        <v>1.0498959525952702</v>
      </c>
      <c r="Y41" s="199">
        <f t="shared" si="13"/>
        <v>1.0545352043639711</v>
      </c>
      <c r="Z41" s="199">
        <f t="shared" si="13"/>
        <v>1.0591744561326719</v>
      </c>
      <c r="AA41" s="199">
        <f t="shared" ref="AA41:AP42" si="14">IF(AA$7=-1,AB41,IF(AA$7=99,Z41,IF(AA$7=0,INDEX($D41:$G41,0,AA$5),(INDEX($D41:$G41,0,AA$7+1)-INDEX($D41:$G41,0,AA$7))/(INDEX($D$4:$G$4,0,AA$7+1)-INDEX($D$4:$G$4,0,AA$7))+Z41)))</f>
        <v>1.0638137079013728</v>
      </c>
      <c r="AB41" s="199">
        <f t="shared" si="14"/>
        <v>1.0684529596700734</v>
      </c>
      <c r="AC41" s="199">
        <f t="shared" si="14"/>
        <v>1.0684529596700734</v>
      </c>
      <c r="AD41" s="199">
        <f t="shared" si="14"/>
        <v>1.0684529596700734</v>
      </c>
      <c r="AE41" s="199">
        <f t="shared" si="14"/>
        <v>1.0684529596700734</v>
      </c>
      <c r="AF41" s="199">
        <f t="shared" si="14"/>
        <v>1.0684529596700734</v>
      </c>
      <c r="AG41" s="199">
        <f t="shared" si="14"/>
        <v>1.0684529596700734</v>
      </c>
      <c r="AH41" s="199">
        <f t="shared" si="14"/>
        <v>1.0684529596700734</v>
      </c>
      <c r="AI41" s="199">
        <f t="shared" si="14"/>
        <v>1.0684529596700734</v>
      </c>
      <c r="AJ41" s="199">
        <f t="shared" si="14"/>
        <v>1.0684529596700734</v>
      </c>
      <c r="AK41" s="199">
        <f t="shared" si="14"/>
        <v>1.0684529596700734</v>
      </c>
      <c r="AL41" s="199">
        <f t="shared" si="14"/>
        <v>1.0684529596700734</v>
      </c>
      <c r="AM41" s="199">
        <f t="shared" si="14"/>
        <v>1.0684529596700734</v>
      </c>
      <c r="AN41" s="199">
        <f t="shared" si="14"/>
        <v>1.0684529596700734</v>
      </c>
      <c r="AO41" s="199">
        <f t="shared" si="14"/>
        <v>1.0684529596700734</v>
      </c>
      <c r="AP41" s="199">
        <f t="shared" si="14"/>
        <v>1.0684529596700734</v>
      </c>
    </row>
    <row r="42" spans="1:42">
      <c r="A42" s="199" t="s">
        <v>16</v>
      </c>
      <c r="B42" s="200" t="str">
        <f t="shared" si="12"/>
        <v>FA</v>
      </c>
      <c r="C42" s="200" t="str">
        <f t="shared" si="12"/>
        <v>Ferro Alloys</v>
      </c>
      <c r="D42" s="199">
        <v>1</v>
      </c>
      <c r="E42" s="199">
        <v>1</v>
      </c>
      <c r="F42" s="199">
        <v>1</v>
      </c>
      <c r="G42" s="199">
        <v>1</v>
      </c>
      <c r="J42" s="199">
        <f>IF(J$7=-1,K42,IF(J$7=99,I42,IF(J$7=0,INDEX($D42:$G42,0,J$5),(INDEX($D42:$G42,0,J$7+1)-INDEX($D42:$G42,0,J$7))/(INDEX($D$4:$G$4,0,J$7+1)-INDEX($D$4:$G$4,0,J$7))+I42)))</f>
        <v>1</v>
      </c>
      <c r="K42" s="199">
        <f t="shared" si="13"/>
        <v>1</v>
      </c>
      <c r="L42" s="199">
        <f t="shared" si="13"/>
        <v>1</v>
      </c>
      <c r="M42" s="199">
        <f t="shared" si="13"/>
        <v>1</v>
      </c>
      <c r="N42" s="199">
        <f t="shared" si="13"/>
        <v>1</v>
      </c>
      <c r="O42" s="199">
        <f t="shared" si="13"/>
        <v>1</v>
      </c>
      <c r="P42" s="199">
        <f t="shared" si="13"/>
        <v>1</v>
      </c>
      <c r="Q42" s="199">
        <f t="shared" si="13"/>
        <v>1</v>
      </c>
      <c r="R42" s="199">
        <f t="shared" si="13"/>
        <v>1</v>
      </c>
      <c r="S42" s="199">
        <f t="shared" si="13"/>
        <v>1</v>
      </c>
      <c r="T42" s="199">
        <f t="shared" si="13"/>
        <v>1</v>
      </c>
      <c r="U42" s="199">
        <f t="shared" si="13"/>
        <v>1</v>
      </c>
      <c r="V42" s="199">
        <f t="shared" si="13"/>
        <v>1</v>
      </c>
      <c r="W42" s="199">
        <f t="shared" si="13"/>
        <v>1</v>
      </c>
      <c r="X42" s="199">
        <f t="shared" si="13"/>
        <v>1</v>
      </c>
      <c r="Y42" s="199">
        <f t="shared" si="13"/>
        <v>1</v>
      </c>
      <c r="Z42" s="199">
        <f t="shared" si="13"/>
        <v>1</v>
      </c>
      <c r="AA42" s="199">
        <f t="shared" si="14"/>
        <v>1</v>
      </c>
      <c r="AB42" s="199">
        <f t="shared" si="14"/>
        <v>1</v>
      </c>
      <c r="AC42" s="199">
        <f t="shared" si="14"/>
        <v>1</v>
      </c>
      <c r="AD42" s="199">
        <f t="shared" si="14"/>
        <v>1</v>
      </c>
      <c r="AE42" s="199">
        <f t="shared" si="14"/>
        <v>1</v>
      </c>
      <c r="AF42" s="199">
        <f t="shared" si="14"/>
        <v>1</v>
      </c>
      <c r="AG42" s="199">
        <f t="shared" si="14"/>
        <v>1</v>
      </c>
      <c r="AH42" s="199">
        <f t="shared" si="14"/>
        <v>1</v>
      </c>
      <c r="AI42" s="199">
        <f t="shared" si="14"/>
        <v>1</v>
      </c>
      <c r="AJ42" s="199">
        <f t="shared" si="14"/>
        <v>1</v>
      </c>
      <c r="AK42" s="199">
        <f t="shared" si="14"/>
        <v>1</v>
      </c>
      <c r="AL42" s="199">
        <f t="shared" si="14"/>
        <v>1</v>
      </c>
      <c r="AM42" s="199">
        <f t="shared" si="14"/>
        <v>1</v>
      </c>
      <c r="AN42" s="199">
        <f t="shared" si="14"/>
        <v>1</v>
      </c>
      <c r="AO42" s="199">
        <f t="shared" si="14"/>
        <v>1</v>
      </c>
      <c r="AP42" s="199">
        <f t="shared" si="14"/>
        <v>1</v>
      </c>
    </row>
    <row r="43" spans="1:42">
      <c r="A43" s="199" t="s">
        <v>16</v>
      </c>
      <c r="B43" s="200" t="str">
        <f t="shared" si="12"/>
        <v>IS</v>
      </c>
      <c r="C43" s="200" t="str">
        <f t="shared" si="12"/>
        <v>Iron &amp; Steel</v>
      </c>
      <c r="D43" s="199">
        <v>1</v>
      </c>
      <c r="E43" s="199">
        <v>1</v>
      </c>
      <c r="F43" s="199">
        <v>1</v>
      </c>
      <c r="G43" s="199">
        <v>1</v>
      </c>
      <c r="J43" s="199">
        <f t="shared" ref="J43:AP48" si="15">IF(J$7=-1,K43,IF(J$7=99,I43,IF(J$7=0,INDEX($D43:$G43,0,J$5),(INDEX($D43:$G43,0,J$7+1)-INDEX($D43:$G43,0,J$7))/(INDEX($D$4:$G$4,0,J$7+1)-INDEX($D$4:$G$4,0,J$7))+I43)))</f>
        <v>1</v>
      </c>
      <c r="K43" s="199">
        <f t="shared" si="15"/>
        <v>1</v>
      </c>
      <c r="L43" s="199">
        <f t="shared" si="15"/>
        <v>1</v>
      </c>
      <c r="M43" s="199">
        <f t="shared" si="15"/>
        <v>1</v>
      </c>
      <c r="N43" s="199">
        <f t="shared" si="15"/>
        <v>1</v>
      </c>
      <c r="O43" s="199">
        <f t="shared" si="15"/>
        <v>1</v>
      </c>
      <c r="P43" s="199">
        <f t="shared" si="15"/>
        <v>1</v>
      </c>
      <c r="Q43" s="199">
        <f t="shared" si="15"/>
        <v>1</v>
      </c>
      <c r="R43" s="199">
        <f t="shared" si="15"/>
        <v>1</v>
      </c>
      <c r="S43" s="199">
        <f t="shared" si="15"/>
        <v>1</v>
      </c>
      <c r="T43" s="199">
        <f t="shared" si="15"/>
        <v>1</v>
      </c>
      <c r="U43" s="199">
        <f t="shared" si="15"/>
        <v>1</v>
      </c>
      <c r="V43" s="199">
        <f t="shared" si="15"/>
        <v>1</v>
      </c>
      <c r="W43" s="199">
        <f t="shared" si="15"/>
        <v>1</v>
      </c>
      <c r="X43" s="199">
        <f t="shared" si="15"/>
        <v>1</v>
      </c>
      <c r="Y43" s="199">
        <f t="shared" si="15"/>
        <v>1</v>
      </c>
      <c r="Z43" s="199">
        <f t="shared" si="15"/>
        <v>1</v>
      </c>
      <c r="AA43" s="199">
        <f t="shared" si="15"/>
        <v>1</v>
      </c>
      <c r="AB43" s="199">
        <f t="shared" si="15"/>
        <v>1</v>
      </c>
      <c r="AC43" s="199">
        <f t="shared" si="15"/>
        <v>1</v>
      </c>
      <c r="AD43" s="199">
        <f t="shared" si="15"/>
        <v>1</v>
      </c>
      <c r="AE43" s="199">
        <f t="shared" si="15"/>
        <v>1</v>
      </c>
      <c r="AF43" s="199">
        <f t="shared" si="15"/>
        <v>1</v>
      </c>
      <c r="AG43" s="199">
        <f t="shared" si="15"/>
        <v>1</v>
      </c>
      <c r="AH43" s="199">
        <f t="shared" si="15"/>
        <v>1</v>
      </c>
      <c r="AI43" s="199">
        <f t="shared" si="15"/>
        <v>1</v>
      </c>
      <c r="AJ43" s="199">
        <f t="shared" si="15"/>
        <v>1</v>
      </c>
      <c r="AK43" s="199">
        <f t="shared" si="15"/>
        <v>1</v>
      </c>
      <c r="AL43" s="199">
        <f t="shared" si="15"/>
        <v>1</v>
      </c>
      <c r="AM43" s="199">
        <f t="shared" si="15"/>
        <v>1</v>
      </c>
      <c r="AN43" s="199">
        <f t="shared" si="15"/>
        <v>1</v>
      </c>
      <c r="AO43" s="199">
        <f t="shared" si="15"/>
        <v>1</v>
      </c>
      <c r="AP43" s="199">
        <f t="shared" si="15"/>
        <v>1</v>
      </c>
    </row>
    <row r="44" spans="1:42">
      <c r="A44" s="199" t="s">
        <v>16</v>
      </c>
      <c r="B44" s="200" t="str">
        <f t="shared" si="12"/>
        <v>CP</v>
      </c>
      <c r="C44" s="200" t="str">
        <f t="shared" si="12"/>
        <v>Chemicals</v>
      </c>
      <c r="D44" s="199">
        <v>1</v>
      </c>
      <c r="E44" s="199">
        <v>1</v>
      </c>
      <c r="F44" s="199">
        <v>1</v>
      </c>
      <c r="G44" s="199">
        <v>1</v>
      </c>
      <c r="J44" s="199">
        <f t="shared" si="15"/>
        <v>1</v>
      </c>
      <c r="K44" s="199">
        <f t="shared" si="15"/>
        <v>1</v>
      </c>
      <c r="L44" s="199">
        <f t="shared" si="15"/>
        <v>1</v>
      </c>
      <c r="M44" s="199">
        <f t="shared" si="15"/>
        <v>1</v>
      </c>
      <c r="N44" s="199">
        <f t="shared" si="15"/>
        <v>1</v>
      </c>
      <c r="O44" s="199">
        <f t="shared" si="15"/>
        <v>1</v>
      </c>
      <c r="P44" s="199">
        <f t="shared" si="15"/>
        <v>1</v>
      </c>
      <c r="Q44" s="199">
        <f t="shared" si="15"/>
        <v>1</v>
      </c>
      <c r="R44" s="199">
        <f t="shared" si="15"/>
        <v>1</v>
      </c>
      <c r="S44" s="199">
        <f t="shared" si="15"/>
        <v>1</v>
      </c>
      <c r="T44" s="199">
        <f t="shared" si="15"/>
        <v>1</v>
      </c>
      <c r="U44" s="199">
        <f t="shared" si="15"/>
        <v>1</v>
      </c>
      <c r="V44" s="199">
        <f t="shared" si="15"/>
        <v>1</v>
      </c>
      <c r="W44" s="199">
        <f t="shared" si="15"/>
        <v>1</v>
      </c>
      <c r="X44" s="199">
        <f t="shared" si="15"/>
        <v>1</v>
      </c>
      <c r="Y44" s="199">
        <f t="shared" si="15"/>
        <v>1</v>
      </c>
      <c r="Z44" s="199">
        <f t="shared" si="15"/>
        <v>1</v>
      </c>
      <c r="AA44" s="199">
        <f t="shared" si="15"/>
        <v>1</v>
      </c>
      <c r="AB44" s="199">
        <f t="shared" si="15"/>
        <v>1</v>
      </c>
      <c r="AC44" s="199">
        <f t="shared" si="15"/>
        <v>1</v>
      </c>
      <c r="AD44" s="199">
        <f t="shared" si="15"/>
        <v>1</v>
      </c>
      <c r="AE44" s="199">
        <f t="shared" si="15"/>
        <v>1</v>
      </c>
      <c r="AF44" s="199">
        <f t="shared" si="15"/>
        <v>1</v>
      </c>
      <c r="AG44" s="199">
        <f t="shared" si="15"/>
        <v>1</v>
      </c>
      <c r="AH44" s="199">
        <f t="shared" si="15"/>
        <v>1</v>
      </c>
      <c r="AI44" s="199">
        <f t="shared" si="15"/>
        <v>1</v>
      </c>
      <c r="AJ44" s="199">
        <f t="shared" si="15"/>
        <v>1</v>
      </c>
      <c r="AK44" s="199">
        <f t="shared" si="15"/>
        <v>1</v>
      </c>
      <c r="AL44" s="199">
        <f t="shared" si="15"/>
        <v>1</v>
      </c>
      <c r="AM44" s="199">
        <f t="shared" si="15"/>
        <v>1</v>
      </c>
      <c r="AN44" s="199">
        <f t="shared" si="15"/>
        <v>1</v>
      </c>
      <c r="AO44" s="199">
        <f t="shared" si="15"/>
        <v>1</v>
      </c>
      <c r="AP44" s="199">
        <f t="shared" si="15"/>
        <v>1</v>
      </c>
    </row>
    <row r="45" spans="1:42">
      <c r="A45" s="199" t="s">
        <v>16</v>
      </c>
      <c r="B45" s="200" t="str">
        <f t="shared" si="12"/>
        <v>NF</v>
      </c>
      <c r="C45" s="200" t="str">
        <f t="shared" si="12"/>
        <v>Precious &amp; Non-Ferrous metals</v>
      </c>
      <c r="D45" s="199">
        <v>1</v>
      </c>
      <c r="E45" s="199">
        <v>1</v>
      </c>
      <c r="F45" s="199">
        <v>1</v>
      </c>
      <c r="G45" s="199">
        <v>1</v>
      </c>
      <c r="J45" s="199">
        <f t="shared" si="15"/>
        <v>1</v>
      </c>
      <c r="K45" s="199">
        <f t="shared" si="15"/>
        <v>1</v>
      </c>
      <c r="L45" s="199">
        <f t="shared" si="15"/>
        <v>1</v>
      </c>
      <c r="M45" s="199">
        <f t="shared" si="15"/>
        <v>1</v>
      </c>
      <c r="N45" s="199">
        <f t="shared" si="15"/>
        <v>1</v>
      </c>
      <c r="O45" s="199">
        <f t="shared" si="15"/>
        <v>1</v>
      </c>
      <c r="P45" s="199">
        <f t="shared" si="15"/>
        <v>1</v>
      </c>
      <c r="Q45" s="199">
        <f t="shared" si="15"/>
        <v>1</v>
      </c>
      <c r="R45" s="199">
        <f t="shared" si="15"/>
        <v>1</v>
      </c>
      <c r="S45" s="199">
        <f t="shared" si="15"/>
        <v>1</v>
      </c>
      <c r="T45" s="199">
        <f t="shared" si="15"/>
        <v>1</v>
      </c>
      <c r="U45" s="199">
        <f t="shared" si="15"/>
        <v>1</v>
      </c>
      <c r="V45" s="199">
        <f t="shared" si="15"/>
        <v>1</v>
      </c>
      <c r="W45" s="199">
        <f t="shared" si="15"/>
        <v>1</v>
      </c>
      <c r="X45" s="199">
        <f t="shared" si="15"/>
        <v>1</v>
      </c>
      <c r="Y45" s="199">
        <f t="shared" si="15"/>
        <v>1</v>
      </c>
      <c r="Z45" s="199">
        <f t="shared" si="15"/>
        <v>1</v>
      </c>
      <c r="AA45" s="199">
        <f t="shared" si="15"/>
        <v>1</v>
      </c>
      <c r="AB45" s="199">
        <f t="shared" si="15"/>
        <v>1</v>
      </c>
      <c r="AC45" s="199">
        <f t="shared" si="15"/>
        <v>1</v>
      </c>
      <c r="AD45" s="199">
        <f t="shared" si="15"/>
        <v>1</v>
      </c>
      <c r="AE45" s="199">
        <f t="shared" si="15"/>
        <v>1</v>
      </c>
      <c r="AF45" s="199">
        <f t="shared" si="15"/>
        <v>1</v>
      </c>
      <c r="AG45" s="199">
        <f t="shared" si="15"/>
        <v>1</v>
      </c>
      <c r="AH45" s="199">
        <f t="shared" si="15"/>
        <v>1</v>
      </c>
      <c r="AI45" s="199">
        <f t="shared" si="15"/>
        <v>1</v>
      </c>
      <c r="AJ45" s="199">
        <f t="shared" si="15"/>
        <v>1</v>
      </c>
      <c r="AK45" s="199">
        <f t="shared" si="15"/>
        <v>1</v>
      </c>
      <c r="AL45" s="199">
        <f t="shared" si="15"/>
        <v>1</v>
      </c>
      <c r="AM45" s="199">
        <f t="shared" si="15"/>
        <v>1</v>
      </c>
      <c r="AN45" s="199">
        <f t="shared" si="15"/>
        <v>1</v>
      </c>
      <c r="AO45" s="199">
        <f t="shared" si="15"/>
        <v>1</v>
      </c>
      <c r="AP45" s="199">
        <f t="shared" si="15"/>
        <v>1</v>
      </c>
    </row>
    <row r="46" spans="1:42">
      <c r="A46" s="199" t="s">
        <v>16</v>
      </c>
      <c r="B46" s="200" t="str">
        <f t="shared" si="12"/>
        <v>NM</v>
      </c>
      <c r="C46" s="200" t="str">
        <f t="shared" si="12"/>
        <v>N.M.M Products</v>
      </c>
      <c r="D46" s="199">
        <v>1</v>
      </c>
      <c r="E46" s="199">
        <v>1</v>
      </c>
      <c r="F46" s="199">
        <v>1</v>
      </c>
      <c r="G46" s="199">
        <v>1</v>
      </c>
      <c r="J46" s="199">
        <f t="shared" si="15"/>
        <v>1</v>
      </c>
      <c r="K46" s="199">
        <f t="shared" si="15"/>
        <v>1</v>
      </c>
      <c r="L46" s="199">
        <f t="shared" si="15"/>
        <v>1</v>
      </c>
      <c r="M46" s="199">
        <f t="shared" si="15"/>
        <v>1</v>
      </c>
      <c r="N46" s="199">
        <f t="shared" si="15"/>
        <v>1</v>
      </c>
      <c r="O46" s="199">
        <f t="shared" si="15"/>
        <v>1</v>
      </c>
      <c r="P46" s="199">
        <f t="shared" si="15"/>
        <v>1</v>
      </c>
      <c r="Q46" s="199">
        <f t="shared" si="15"/>
        <v>1</v>
      </c>
      <c r="R46" s="199">
        <f t="shared" si="15"/>
        <v>1</v>
      </c>
      <c r="S46" s="199">
        <f t="shared" si="15"/>
        <v>1</v>
      </c>
      <c r="T46" s="199">
        <f t="shared" si="15"/>
        <v>1</v>
      </c>
      <c r="U46" s="199">
        <f t="shared" si="15"/>
        <v>1</v>
      </c>
      <c r="V46" s="199">
        <f t="shared" si="15"/>
        <v>1</v>
      </c>
      <c r="W46" s="199">
        <f t="shared" si="15"/>
        <v>1</v>
      </c>
      <c r="X46" s="199">
        <f t="shared" si="15"/>
        <v>1</v>
      </c>
      <c r="Y46" s="199">
        <f t="shared" si="15"/>
        <v>1</v>
      </c>
      <c r="Z46" s="199">
        <f t="shared" si="15"/>
        <v>1</v>
      </c>
      <c r="AA46" s="199">
        <f t="shared" si="15"/>
        <v>1</v>
      </c>
      <c r="AB46" s="199">
        <f t="shared" si="15"/>
        <v>1</v>
      </c>
      <c r="AC46" s="199">
        <f t="shared" si="15"/>
        <v>1</v>
      </c>
      <c r="AD46" s="199">
        <f t="shared" si="15"/>
        <v>1</v>
      </c>
      <c r="AE46" s="199">
        <f t="shared" si="15"/>
        <v>1</v>
      </c>
      <c r="AF46" s="199">
        <f t="shared" si="15"/>
        <v>1</v>
      </c>
      <c r="AG46" s="199">
        <f t="shared" si="15"/>
        <v>1</v>
      </c>
      <c r="AH46" s="199">
        <f t="shared" si="15"/>
        <v>1</v>
      </c>
      <c r="AI46" s="199">
        <f t="shared" si="15"/>
        <v>1</v>
      </c>
      <c r="AJ46" s="199">
        <f t="shared" si="15"/>
        <v>1</v>
      </c>
      <c r="AK46" s="199">
        <f t="shared" si="15"/>
        <v>1</v>
      </c>
      <c r="AL46" s="199">
        <f t="shared" si="15"/>
        <v>1</v>
      </c>
      <c r="AM46" s="199">
        <f t="shared" si="15"/>
        <v>1</v>
      </c>
      <c r="AN46" s="199">
        <f t="shared" si="15"/>
        <v>1</v>
      </c>
      <c r="AO46" s="199">
        <f t="shared" si="15"/>
        <v>1</v>
      </c>
      <c r="AP46" s="199">
        <f t="shared" si="15"/>
        <v>1</v>
      </c>
    </row>
    <row r="47" spans="1:42">
      <c r="A47" s="199" t="s">
        <v>16</v>
      </c>
      <c r="B47" s="200" t="str">
        <f t="shared" si="12"/>
        <v>NM</v>
      </c>
      <c r="C47" s="200" t="str">
        <f t="shared" si="12"/>
        <v>N.M.M Products</v>
      </c>
      <c r="D47" s="199">
        <v>1</v>
      </c>
      <c r="E47" s="199">
        <v>1</v>
      </c>
      <c r="F47" s="199">
        <v>1</v>
      </c>
      <c r="G47" s="199">
        <v>1</v>
      </c>
      <c r="J47" s="199">
        <f t="shared" si="15"/>
        <v>1</v>
      </c>
      <c r="K47" s="199">
        <f t="shared" si="15"/>
        <v>1</v>
      </c>
      <c r="L47" s="199">
        <f t="shared" si="15"/>
        <v>1</v>
      </c>
      <c r="M47" s="199">
        <f t="shared" si="15"/>
        <v>1</v>
      </c>
      <c r="N47" s="199">
        <f t="shared" si="15"/>
        <v>1</v>
      </c>
      <c r="O47" s="199">
        <f t="shared" si="15"/>
        <v>1</v>
      </c>
      <c r="P47" s="199">
        <f t="shared" si="15"/>
        <v>1</v>
      </c>
      <c r="Q47" s="199">
        <f t="shared" si="15"/>
        <v>1</v>
      </c>
      <c r="R47" s="199">
        <f t="shared" si="15"/>
        <v>1</v>
      </c>
      <c r="S47" s="199">
        <f t="shared" si="15"/>
        <v>1</v>
      </c>
      <c r="T47" s="199">
        <f t="shared" si="15"/>
        <v>1</v>
      </c>
      <c r="U47" s="199">
        <f t="shared" si="15"/>
        <v>1</v>
      </c>
      <c r="V47" s="199">
        <f t="shared" si="15"/>
        <v>1</v>
      </c>
      <c r="W47" s="199">
        <f t="shared" si="15"/>
        <v>1</v>
      </c>
      <c r="X47" s="199">
        <f t="shared" si="15"/>
        <v>1</v>
      </c>
      <c r="Y47" s="199">
        <f t="shared" si="15"/>
        <v>1</v>
      </c>
      <c r="Z47" s="199">
        <f t="shared" si="15"/>
        <v>1</v>
      </c>
      <c r="AA47" s="199">
        <f t="shared" si="15"/>
        <v>1</v>
      </c>
      <c r="AB47" s="199">
        <f t="shared" si="15"/>
        <v>1</v>
      </c>
      <c r="AC47" s="199">
        <f t="shared" si="15"/>
        <v>1</v>
      </c>
      <c r="AD47" s="199">
        <f t="shared" si="15"/>
        <v>1</v>
      </c>
      <c r="AE47" s="199">
        <f t="shared" si="15"/>
        <v>1</v>
      </c>
      <c r="AF47" s="199">
        <f t="shared" si="15"/>
        <v>1</v>
      </c>
      <c r="AG47" s="199">
        <f t="shared" si="15"/>
        <v>1</v>
      </c>
      <c r="AH47" s="199">
        <f t="shared" si="15"/>
        <v>1</v>
      </c>
      <c r="AI47" s="199">
        <f t="shared" si="15"/>
        <v>1</v>
      </c>
      <c r="AJ47" s="199">
        <f t="shared" si="15"/>
        <v>1</v>
      </c>
      <c r="AK47" s="199">
        <f t="shared" si="15"/>
        <v>1</v>
      </c>
      <c r="AL47" s="199">
        <f t="shared" si="15"/>
        <v>1</v>
      </c>
      <c r="AM47" s="199">
        <f t="shared" si="15"/>
        <v>1</v>
      </c>
      <c r="AN47" s="199">
        <f t="shared" si="15"/>
        <v>1</v>
      </c>
      <c r="AO47" s="199">
        <f t="shared" si="15"/>
        <v>1</v>
      </c>
      <c r="AP47" s="199">
        <f t="shared" si="15"/>
        <v>1</v>
      </c>
    </row>
    <row r="48" spans="1:42">
      <c r="A48" s="199" t="s">
        <v>16</v>
      </c>
      <c r="B48" s="200" t="str">
        <f t="shared" si="12"/>
        <v>NM</v>
      </c>
      <c r="C48" s="200" t="str">
        <f t="shared" si="12"/>
        <v>N.M.M Products</v>
      </c>
      <c r="D48" s="199">
        <v>1</v>
      </c>
      <c r="E48" s="199">
        <v>1</v>
      </c>
      <c r="F48" s="199">
        <v>1</v>
      </c>
      <c r="G48" s="199">
        <v>1</v>
      </c>
      <c r="J48" s="199">
        <f>IF(J$7=-1,K48,IF(J$7=99,I48,IF(J$7=0,INDEX($D48:$G48,0,J$5),(INDEX($D48:$G48,0,J$7+1)-INDEX($D48:$G48,0,J$7))/(INDEX($D$4:$G$4,0,J$7+1)-INDEX($D$4:$G$4,0,J$7))+I48)))</f>
        <v>1</v>
      </c>
      <c r="K48" s="199">
        <f t="shared" si="15"/>
        <v>1</v>
      </c>
      <c r="L48" s="199">
        <f t="shared" si="15"/>
        <v>1</v>
      </c>
      <c r="M48" s="199">
        <f t="shared" si="15"/>
        <v>1</v>
      </c>
      <c r="N48" s="199">
        <f t="shared" si="15"/>
        <v>1</v>
      </c>
      <c r="O48" s="199">
        <f t="shared" si="15"/>
        <v>1</v>
      </c>
      <c r="P48" s="199">
        <f t="shared" si="15"/>
        <v>1</v>
      </c>
      <c r="Q48" s="199">
        <f t="shared" si="15"/>
        <v>1</v>
      </c>
      <c r="R48" s="199">
        <f t="shared" si="15"/>
        <v>1</v>
      </c>
      <c r="S48" s="199">
        <f t="shared" si="15"/>
        <v>1</v>
      </c>
      <c r="T48" s="199">
        <f t="shared" si="15"/>
        <v>1</v>
      </c>
      <c r="U48" s="199">
        <f t="shared" si="15"/>
        <v>1</v>
      </c>
      <c r="V48" s="199">
        <f t="shared" si="15"/>
        <v>1</v>
      </c>
      <c r="W48" s="199">
        <f t="shared" si="15"/>
        <v>1</v>
      </c>
      <c r="X48" s="199">
        <f t="shared" si="15"/>
        <v>1</v>
      </c>
      <c r="Y48" s="199">
        <f t="shared" si="15"/>
        <v>1</v>
      </c>
      <c r="Z48" s="199">
        <f t="shared" si="15"/>
        <v>1</v>
      </c>
      <c r="AA48" s="199">
        <f t="shared" si="15"/>
        <v>1</v>
      </c>
      <c r="AB48" s="199">
        <f t="shared" si="15"/>
        <v>1</v>
      </c>
      <c r="AC48" s="199">
        <f t="shared" si="15"/>
        <v>1</v>
      </c>
      <c r="AD48" s="199">
        <f t="shared" si="15"/>
        <v>1</v>
      </c>
      <c r="AE48" s="199">
        <f t="shared" si="15"/>
        <v>1</v>
      </c>
      <c r="AF48" s="199">
        <f t="shared" si="15"/>
        <v>1</v>
      </c>
      <c r="AG48" s="199">
        <f t="shared" si="15"/>
        <v>1</v>
      </c>
      <c r="AH48" s="199">
        <f t="shared" si="15"/>
        <v>1</v>
      </c>
      <c r="AI48" s="199">
        <f t="shared" si="15"/>
        <v>1</v>
      </c>
      <c r="AJ48" s="199">
        <f t="shared" si="15"/>
        <v>1</v>
      </c>
      <c r="AK48" s="199">
        <f t="shared" si="15"/>
        <v>1</v>
      </c>
      <c r="AL48" s="199">
        <f t="shared" si="15"/>
        <v>1</v>
      </c>
      <c r="AM48" s="199">
        <f t="shared" si="15"/>
        <v>1</v>
      </c>
      <c r="AN48" s="199">
        <f t="shared" si="15"/>
        <v>1</v>
      </c>
      <c r="AO48" s="199">
        <f t="shared" si="15"/>
        <v>1</v>
      </c>
      <c r="AP48" s="199">
        <f t="shared" si="15"/>
        <v>1</v>
      </c>
    </row>
    <row r="49" spans="1:42">
      <c r="A49" s="199" t="s">
        <v>16</v>
      </c>
      <c r="B49" s="200" t="str">
        <f t="shared" si="12"/>
        <v>NM</v>
      </c>
      <c r="C49" s="200" t="str">
        <f t="shared" si="12"/>
        <v>N.M.M Products</v>
      </c>
      <c r="D49" s="199">
        <v>1</v>
      </c>
      <c r="E49" s="199">
        <v>1</v>
      </c>
      <c r="F49" s="199">
        <v>1</v>
      </c>
      <c r="G49" s="199">
        <v>1</v>
      </c>
      <c r="J49" s="199">
        <f t="shared" ref="J49:AP53" si="16">IF(J$7=-1,K49,IF(J$7=99,I49,IF(J$7=0,INDEX($D49:$G49,0,J$5),(INDEX($D49:$G49,0,J$7+1)-INDEX($D49:$G49,0,J$7))/(INDEX($D$4:$G$4,0,J$7+1)-INDEX($D$4:$G$4,0,J$7))+I49)))</f>
        <v>1</v>
      </c>
      <c r="K49" s="199">
        <f t="shared" si="16"/>
        <v>1</v>
      </c>
      <c r="L49" s="199">
        <f t="shared" si="16"/>
        <v>1</v>
      </c>
      <c r="M49" s="199">
        <f t="shared" si="16"/>
        <v>1</v>
      </c>
      <c r="N49" s="199">
        <f t="shared" si="16"/>
        <v>1</v>
      </c>
      <c r="O49" s="199">
        <f t="shared" si="16"/>
        <v>1</v>
      </c>
      <c r="P49" s="199">
        <f t="shared" si="16"/>
        <v>1</v>
      </c>
      <c r="Q49" s="199">
        <f t="shared" si="16"/>
        <v>1</v>
      </c>
      <c r="R49" s="199">
        <f t="shared" si="16"/>
        <v>1</v>
      </c>
      <c r="S49" s="199">
        <f t="shared" si="16"/>
        <v>1</v>
      </c>
      <c r="T49" s="199">
        <f t="shared" si="16"/>
        <v>1</v>
      </c>
      <c r="U49" s="199">
        <f t="shared" si="16"/>
        <v>1</v>
      </c>
      <c r="V49" s="199">
        <f t="shared" si="16"/>
        <v>1</v>
      </c>
      <c r="W49" s="199">
        <f t="shared" si="16"/>
        <v>1</v>
      </c>
      <c r="X49" s="199">
        <f t="shared" si="16"/>
        <v>1</v>
      </c>
      <c r="Y49" s="199">
        <f t="shared" si="16"/>
        <v>1</v>
      </c>
      <c r="Z49" s="199">
        <f t="shared" si="16"/>
        <v>1</v>
      </c>
      <c r="AA49" s="199">
        <f t="shared" si="16"/>
        <v>1</v>
      </c>
      <c r="AB49" s="199">
        <f t="shared" si="16"/>
        <v>1</v>
      </c>
      <c r="AC49" s="199">
        <f t="shared" si="16"/>
        <v>1</v>
      </c>
      <c r="AD49" s="199">
        <f t="shared" si="16"/>
        <v>1</v>
      </c>
      <c r="AE49" s="199">
        <f t="shared" si="16"/>
        <v>1</v>
      </c>
      <c r="AF49" s="199">
        <f t="shared" si="16"/>
        <v>1</v>
      </c>
      <c r="AG49" s="199">
        <f t="shared" si="16"/>
        <v>1</v>
      </c>
      <c r="AH49" s="199">
        <f t="shared" si="16"/>
        <v>1</v>
      </c>
      <c r="AI49" s="199">
        <f t="shared" si="16"/>
        <v>1</v>
      </c>
      <c r="AJ49" s="199">
        <f t="shared" si="16"/>
        <v>1</v>
      </c>
      <c r="AK49" s="199">
        <f t="shared" si="16"/>
        <v>1</v>
      </c>
      <c r="AL49" s="199">
        <f t="shared" si="16"/>
        <v>1</v>
      </c>
      <c r="AM49" s="199">
        <f t="shared" si="16"/>
        <v>1</v>
      </c>
      <c r="AN49" s="199">
        <f t="shared" si="16"/>
        <v>1</v>
      </c>
      <c r="AO49" s="199">
        <f t="shared" si="16"/>
        <v>1</v>
      </c>
      <c r="AP49" s="199">
        <f t="shared" si="16"/>
        <v>1</v>
      </c>
    </row>
    <row r="50" spans="1:42">
      <c r="A50" s="199" t="s">
        <v>16</v>
      </c>
      <c r="B50" s="200" t="str">
        <f t="shared" si="12"/>
        <v>FB</v>
      </c>
      <c r="C50" s="200" t="str">
        <f t="shared" si="12"/>
        <v>Food, Beverage &amp; Tabacco</v>
      </c>
      <c r="D50" s="199">
        <v>1</v>
      </c>
      <c r="E50" s="199">
        <v>1</v>
      </c>
      <c r="F50" s="199">
        <v>1</v>
      </c>
      <c r="G50" s="199">
        <v>1</v>
      </c>
      <c r="J50" s="199">
        <f t="shared" si="16"/>
        <v>1</v>
      </c>
      <c r="K50" s="199">
        <f t="shared" si="16"/>
        <v>1</v>
      </c>
      <c r="L50" s="199">
        <f t="shared" si="16"/>
        <v>1</v>
      </c>
      <c r="M50" s="199">
        <f t="shared" si="16"/>
        <v>1</v>
      </c>
      <c r="N50" s="199">
        <f t="shared" si="16"/>
        <v>1</v>
      </c>
      <c r="O50" s="199">
        <f t="shared" si="16"/>
        <v>1</v>
      </c>
      <c r="P50" s="199">
        <f t="shared" si="16"/>
        <v>1</v>
      </c>
      <c r="Q50" s="199">
        <f t="shared" si="16"/>
        <v>1</v>
      </c>
      <c r="R50" s="199">
        <f t="shared" si="16"/>
        <v>1</v>
      </c>
      <c r="S50" s="199">
        <f t="shared" si="16"/>
        <v>1</v>
      </c>
      <c r="T50" s="199">
        <f t="shared" si="16"/>
        <v>1</v>
      </c>
      <c r="U50" s="199">
        <f t="shared" si="16"/>
        <v>1</v>
      </c>
      <c r="V50" s="199">
        <f t="shared" si="16"/>
        <v>1</v>
      </c>
      <c r="W50" s="199">
        <f t="shared" si="16"/>
        <v>1</v>
      </c>
      <c r="X50" s="199">
        <f t="shared" si="16"/>
        <v>1</v>
      </c>
      <c r="Y50" s="199">
        <f t="shared" si="16"/>
        <v>1</v>
      </c>
      <c r="Z50" s="199">
        <f t="shared" si="16"/>
        <v>1</v>
      </c>
      <c r="AA50" s="199">
        <f t="shared" si="16"/>
        <v>1</v>
      </c>
      <c r="AB50" s="199">
        <f t="shared" si="16"/>
        <v>1</v>
      </c>
      <c r="AC50" s="199">
        <f t="shared" si="16"/>
        <v>1</v>
      </c>
      <c r="AD50" s="199">
        <f t="shared" si="16"/>
        <v>1</v>
      </c>
      <c r="AE50" s="199">
        <f t="shared" si="16"/>
        <v>1</v>
      </c>
      <c r="AF50" s="199">
        <f t="shared" si="16"/>
        <v>1</v>
      </c>
      <c r="AG50" s="199">
        <f t="shared" si="16"/>
        <v>1</v>
      </c>
      <c r="AH50" s="199">
        <f t="shared" si="16"/>
        <v>1</v>
      </c>
      <c r="AI50" s="199">
        <f t="shared" si="16"/>
        <v>1</v>
      </c>
      <c r="AJ50" s="199">
        <f t="shared" si="16"/>
        <v>1</v>
      </c>
      <c r="AK50" s="199">
        <f t="shared" si="16"/>
        <v>1</v>
      </c>
      <c r="AL50" s="199">
        <f t="shared" si="16"/>
        <v>1</v>
      </c>
      <c r="AM50" s="199">
        <f t="shared" si="16"/>
        <v>1</v>
      </c>
      <c r="AN50" s="199">
        <f t="shared" si="16"/>
        <v>1</v>
      </c>
      <c r="AO50" s="199">
        <f t="shared" si="16"/>
        <v>1</v>
      </c>
      <c r="AP50" s="199">
        <f t="shared" si="16"/>
        <v>1</v>
      </c>
    </row>
    <row r="51" spans="1:42">
      <c r="A51" s="199" t="s">
        <v>16</v>
      </c>
      <c r="B51" s="200" t="str">
        <f t="shared" si="12"/>
        <v>PP</v>
      </c>
      <c r="C51" s="200" t="str">
        <f t="shared" si="12"/>
        <v>Pulp &amp; Paper Products</v>
      </c>
      <c r="D51" s="199">
        <v>1</v>
      </c>
      <c r="E51" s="199">
        <v>1</v>
      </c>
      <c r="F51" s="199">
        <v>1</v>
      </c>
      <c r="G51" s="199">
        <v>1</v>
      </c>
      <c r="J51" s="199">
        <f t="shared" si="16"/>
        <v>1</v>
      </c>
      <c r="K51" s="199">
        <f t="shared" si="16"/>
        <v>1</v>
      </c>
      <c r="L51" s="199">
        <f t="shared" si="16"/>
        <v>1</v>
      </c>
      <c r="M51" s="199">
        <f t="shared" si="16"/>
        <v>1</v>
      </c>
      <c r="N51" s="199">
        <f t="shared" si="16"/>
        <v>1</v>
      </c>
      <c r="O51" s="199">
        <f t="shared" si="16"/>
        <v>1</v>
      </c>
      <c r="P51" s="199">
        <f t="shared" si="16"/>
        <v>1</v>
      </c>
      <c r="Q51" s="199">
        <f t="shared" si="16"/>
        <v>1</v>
      </c>
      <c r="R51" s="199">
        <f t="shared" si="16"/>
        <v>1</v>
      </c>
      <c r="S51" s="199">
        <f t="shared" si="16"/>
        <v>1</v>
      </c>
      <c r="T51" s="199">
        <f t="shared" si="16"/>
        <v>1</v>
      </c>
      <c r="U51" s="199">
        <f t="shared" si="16"/>
        <v>1</v>
      </c>
      <c r="V51" s="199">
        <f t="shared" si="16"/>
        <v>1</v>
      </c>
      <c r="W51" s="199">
        <f t="shared" si="16"/>
        <v>1</v>
      </c>
      <c r="X51" s="199">
        <f t="shared" si="16"/>
        <v>1</v>
      </c>
      <c r="Y51" s="199">
        <f t="shared" si="16"/>
        <v>1</v>
      </c>
      <c r="Z51" s="199">
        <f t="shared" si="16"/>
        <v>1</v>
      </c>
      <c r="AA51" s="199">
        <f t="shared" si="16"/>
        <v>1</v>
      </c>
      <c r="AB51" s="199">
        <f t="shared" si="16"/>
        <v>1</v>
      </c>
      <c r="AC51" s="199">
        <f t="shared" si="16"/>
        <v>1</v>
      </c>
      <c r="AD51" s="199">
        <f t="shared" si="16"/>
        <v>1</v>
      </c>
      <c r="AE51" s="199">
        <f t="shared" si="16"/>
        <v>1</v>
      </c>
      <c r="AF51" s="199">
        <f t="shared" si="16"/>
        <v>1</v>
      </c>
      <c r="AG51" s="199">
        <f t="shared" si="16"/>
        <v>1</v>
      </c>
      <c r="AH51" s="199">
        <f t="shared" si="16"/>
        <v>1</v>
      </c>
      <c r="AI51" s="199">
        <f t="shared" si="16"/>
        <v>1</v>
      </c>
      <c r="AJ51" s="199">
        <f t="shared" si="16"/>
        <v>1</v>
      </c>
      <c r="AK51" s="199">
        <f t="shared" si="16"/>
        <v>1</v>
      </c>
      <c r="AL51" s="199">
        <f t="shared" si="16"/>
        <v>1</v>
      </c>
      <c r="AM51" s="199">
        <f t="shared" si="16"/>
        <v>1</v>
      </c>
      <c r="AN51" s="199">
        <f t="shared" si="16"/>
        <v>1</v>
      </c>
      <c r="AO51" s="199">
        <f t="shared" si="16"/>
        <v>1</v>
      </c>
      <c r="AP51" s="199">
        <f t="shared" si="16"/>
        <v>1</v>
      </c>
    </row>
    <row r="52" spans="1:42">
      <c r="A52" s="199" t="s">
        <v>16</v>
      </c>
      <c r="B52" s="200" t="str">
        <f t="shared" si="12"/>
        <v>PP</v>
      </c>
      <c r="C52" s="200" t="str">
        <f t="shared" si="12"/>
        <v>Pulp &amp; Paper Products</v>
      </c>
      <c r="D52" s="199">
        <v>1</v>
      </c>
      <c r="E52" s="199">
        <v>1</v>
      </c>
      <c r="F52" s="199">
        <v>1</v>
      </c>
      <c r="G52" s="199">
        <v>1</v>
      </c>
      <c r="J52" s="199">
        <f t="shared" si="16"/>
        <v>1</v>
      </c>
      <c r="K52" s="199">
        <f t="shared" si="16"/>
        <v>1</v>
      </c>
      <c r="L52" s="199">
        <f t="shared" si="16"/>
        <v>1</v>
      </c>
      <c r="M52" s="199">
        <f t="shared" si="16"/>
        <v>1</v>
      </c>
      <c r="N52" s="199">
        <f t="shared" si="16"/>
        <v>1</v>
      </c>
      <c r="O52" s="199">
        <f t="shared" si="16"/>
        <v>1</v>
      </c>
      <c r="P52" s="199">
        <f t="shared" si="16"/>
        <v>1</v>
      </c>
      <c r="Q52" s="199">
        <f t="shared" si="16"/>
        <v>1</v>
      </c>
      <c r="R52" s="199">
        <f t="shared" si="16"/>
        <v>1</v>
      </c>
      <c r="S52" s="199">
        <f t="shared" si="16"/>
        <v>1</v>
      </c>
      <c r="T52" s="199">
        <f t="shared" si="16"/>
        <v>1</v>
      </c>
      <c r="U52" s="199">
        <f t="shared" si="16"/>
        <v>1</v>
      </c>
      <c r="V52" s="199">
        <f t="shared" si="16"/>
        <v>1</v>
      </c>
      <c r="W52" s="199">
        <f t="shared" si="16"/>
        <v>1</v>
      </c>
      <c r="X52" s="199">
        <f t="shared" si="16"/>
        <v>1</v>
      </c>
      <c r="Y52" s="199">
        <f t="shared" si="16"/>
        <v>1</v>
      </c>
      <c r="Z52" s="199">
        <f t="shared" si="16"/>
        <v>1</v>
      </c>
      <c r="AA52" s="199">
        <f t="shared" si="16"/>
        <v>1</v>
      </c>
      <c r="AB52" s="199">
        <f t="shared" si="16"/>
        <v>1</v>
      </c>
      <c r="AC52" s="199">
        <f t="shared" si="16"/>
        <v>1</v>
      </c>
      <c r="AD52" s="199">
        <f t="shared" si="16"/>
        <v>1</v>
      </c>
      <c r="AE52" s="199">
        <f t="shared" si="16"/>
        <v>1</v>
      </c>
      <c r="AF52" s="199">
        <f t="shared" si="16"/>
        <v>1</v>
      </c>
      <c r="AG52" s="199">
        <f t="shared" si="16"/>
        <v>1</v>
      </c>
      <c r="AH52" s="199">
        <f t="shared" si="16"/>
        <v>1</v>
      </c>
      <c r="AI52" s="199">
        <f t="shared" si="16"/>
        <v>1</v>
      </c>
      <c r="AJ52" s="199">
        <f t="shared" si="16"/>
        <v>1</v>
      </c>
      <c r="AK52" s="199">
        <f t="shared" si="16"/>
        <v>1</v>
      </c>
      <c r="AL52" s="199">
        <f t="shared" si="16"/>
        <v>1</v>
      </c>
      <c r="AM52" s="199">
        <f t="shared" si="16"/>
        <v>1</v>
      </c>
      <c r="AN52" s="199">
        <f t="shared" si="16"/>
        <v>1</v>
      </c>
      <c r="AO52" s="199">
        <f t="shared" si="16"/>
        <v>1</v>
      </c>
      <c r="AP52" s="199">
        <f t="shared" si="16"/>
        <v>1</v>
      </c>
    </row>
    <row r="53" spans="1:42">
      <c r="A53" s="199" t="s">
        <v>16</v>
      </c>
      <c r="B53" s="200" t="str">
        <f>B22</f>
        <v>OT</v>
      </c>
      <c r="C53" s="200" t="str">
        <f>C22</f>
        <v>Other</v>
      </c>
      <c r="D53" s="199">
        <v>1</v>
      </c>
      <c r="E53" s="199">
        <v>1</v>
      </c>
      <c r="F53" s="199">
        <v>1</v>
      </c>
      <c r="G53" s="199">
        <v>1</v>
      </c>
      <c r="J53" s="199">
        <f t="shared" si="16"/>
        <v>1</v>
      </c>
      <c r="K53" s="199">
        <f t="shared" si="16"/>
        <v>1</v>
      </c>
      <c r="L53" s="199">
        <f t="shared" si="16"/>
        <v>1</v>
      </c>
      <c r="M53" s="199">
        <f t="shared" si="16"/>
        <v>1</v>
      </c>
      <c r="N53" s="199">
        <f t="shared" si="16"/>
        <v>1</v>
      </c>
      <c r="O53" s="199">
        <f t="shared" si="16"/>
        <v>1</v>
      </c>
      <c r="P53" s="199">
        <f t="shared" si="16"/>
        <v>1</v>
      </c>
      <c r="Q53" s="199">
        <f t="shared" si="16"/>
        <v>1</v>
      </c>
      <c r="R53" s="199">
        <f t="shared" si="16"/>
        <v>1</v>
      </c>
      <c r="S53" s="199">
        <f t="shared" si="16"/>
        <v>1</v>
      </c>
      <c r="T53" s="199">
        <f t="shared" si="16"/>
        <v>1</v>
      </c>
      <c r="U53" s="199">
        <f t="shared" si="16"/>
        <v>1</v>
      </c>
      <c r="V53" s="199">
        <f t="shared" si="16"/>
        <v>1</v>
      </c>
      <c r="W53" s="199">
        <f t="shared" si="16"/>
        <v>1</v>
      </c>
      <c r="X53" s="199">
        <f t="shared" si="16"/>
        <v>1</v>
      </c>
      <c r="Y53" s="199">
        <f t="shared" si="16"/>
        <v>1</v>
      </c>
      <c r="Z53" s="199">
        <f t="shared" si="16"/>
        <v>1</v>
      </c>
      <c r="AA53" s="199">
        <f t="shared" si="16"/>
        <v>1</v>
      </c>
      <c r="AB53" s="199">
        <f t="shared" si="16"/>
        <v>1</v>
      </c>
      <c r="AC53" s="199">
        <f t="shared" si="16"/>
        <v>1</v>
      </c>
      <c r="AD53" s="199">
        <f t="shared" si="16"/>
        <v>1</v>
      </c>
      <c r="AE53" s="199">
        <f t="shared" si="16"/>
        <v>1</v>
      </c>
      <c r="AF53" s="199">
        <f t="shared" si="16"/>
        <v>1</v>
      </c>
      <c r="AG53" s="199">
        <f t="shared" si="16"/>
        <v>1</v>
      </c>
      <c r="AH53" s="199">
        <f t="shared" si="16"/>
        <v>1</v>
      </c>
      <c r="AI53" s="199">
        <f t="shared" si="16"/>
        <v>1</v>
      </c>
      <c r="AJ53" s="199">
        <f t="shared" si="16"/>
        <v>1</v>
      </c>
      <c r="AK53" s="199">
        <f t="shared" si="16"/>
        <v>1</v>
      </c>
      <c r="AL53" s="199">
        <f t="shared" si="16"/>
        <v>1</v>
      </c>
      <c r="AM53" s="199">
        <f t="shared" si="16"/>
        <v>1</v>
      </c>
      <c r="AN53" s="199">
        <f t="shared" si="16"/>
        <v>1</v>
      </c>
      <c r="AO53" s="199">
        <f t="shared" si="16"/>
        <v>1</v>
      </c>
      <c r="AP53" s="199">
        <f t="shared" si="16"/>
        <v>1</v>
      </c>
    </row>
    <row r="54" spans="1:42">
      <c r="A54" s="199" t="s">
        <v>16</v>
      </c>
      <c r="B54" s="200"/>
    </row>
    <row r="55" spans="1:42" ht="15.75" thickBot="1">
      <c r="A55" s="199" t="s">
        <v>16</v>
      </c>
      <c r="B55" s="14" t="s">
        <v>289</v>
      </c>
      <c r="C55" s="14"/>
    </row>
    <row r="56" spans="1:42">
      <c r="A56" s="199" t="s">
        <v>16</v>
      </c>
      <c r="B56" s="200" t="s">
        <v>107</v>
      </c>
      <c r="C56" s="200" t="s">
        <v>108</v>
      </c>
    </row>
    <row r="57" spans="1:42">
      <c r="A57" s="199" t="s">
        <v>16</v>
      </c>
      <c r="B57" s="200" t="s">
        <v>109</v>
      </c>
      <c r="C57" s="200" t="s">
        <v>110</v>
      </c>
    </row>
    <row r="58" spans="1:42">
      <c r="A58" s="199" t="s">
        <v>16</v>
      </c>
      <c r="B58" s="200" t="s">
        <v>111</v>
      </c>
      <c r="C58" s="200" t="s">
        <v>73</v>
      </c>
    </row>
    <row r="59" spans="1:42">
      <c r="A59" s="199" t="s">
        <v>16</v>
      </c>
      <c r="B59" s="200" t="s">
        <v>112</v>
      </c>
      <c r="C59" s="200" t="s">
        <v>72</v>
      </c>
    </row>
    <row r="60" spans="1:42">
      <c r="A60" s="199" t="s">
        <v>16</v>
      </c>
      <c r="B60" s="200" t="s">
        <v>113</v>
      </c>
      <c r="C60" s="200" t="s">
        <v>114</v>
      </c>
    </row>
    <row r="61" spans="1:42">
      <c r="A61" s="199" t="s">
        <v>16</v>
      </c>
      <c r="B61" s="200" t="s">
        <v>115</v>
      </c>
      <c r="C61" s="200" t="s">
        <v>116</v>
      </c>
    </row>
    <row r="62" spans="1:42">
      <c r="A62" s="199" t="s">
        <v>16</v>
      </c>
      <c r="B62" s="200" t="s">
        <v>117</v>
      </c>
      <c r="C62" s="200" t="s">
        <v>118</v>
      </c>
    </row>
    <row r="63" spans="1:42">
      <c r="A63" s="199" t="s">
        <v>16</v>
      </c>
      <c r="B63" s="200" t="s">
        <v>119</v>
      </c>
      <c r="C63" s="200" t="s">
        <v>120</v>
      </c>
    </row>
    <row r="64" spans="1:42">
      <c r="A64" s="199" t="s">
        <v>16</v>
      </c>
      <c r="B64" s="200" t="s">
        <v>37</v>
      </c>
      <c r="C64" s="200" t="s">
        <v>121</v>
      </c>
    </row>
    <row r="65" spans="1:48">
      <c r="A65" s="199" t="s">
        <v>16</v>
      </c>
      <c r="B65" s="200" t="s">
        <v>122</v>
      </c>
      <c r="C65" s="200" t="s">
        <v>123</v>
      </c>
    </row>
    <row r="66" spans="1:48">
      <c r="A66" s="199" t="s">
        <v>16</v>
      </c>
      <c r="B66" s="200" t="s">
        <v>221</v>
      </c>
      <c r="C66" s="200" t="s">
        <v>220</v>
      </c>
    </row>
    <row r="67" spans="1:48">
      <c r="A67" s="199" t="s">
        <v>16</v>
      </c>
      <c r="B67" s="200" t="s">
        <v>124</v>
      </c>
      <c r="C67" s="200" t="s">
        <v>2</v>
      </c>
      <c r="P67" s="199" t="str">
        <f>ADDRESS(ROW(),1)</f>
        <v>$A$67</v>
      </c>
    </row>
    <row r="68" spans="1:48">
      <c r="A68" s="199" t="s">
        <v>16</v>
      </c>
      <c r="B68" s="200"/>
      <c r="C68" s="200"/>
      <c r="P68" s="199" t="str">
        <f ca="1">INDIRECT(P67)</f>
        <v>*</v>
      </c>
    </row>
    <row r="69" spans="1:48" ht="23.25">
      <c r="A69" s="199"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203.58843508436613</v>
      </c>
      <c r="T70" s="5">
        <f t="shared" ca="1" si="18"/>
        <v>208.99981341706905</v>
      </c>
      <c r="U70" s="5">
        <f t="shared" ca="1" si="18"/>
        <v>214.70884226336392</v>
      </c>
      <c r="V70" s="5">
        <f t="shared" ca="1" si="18"/>
        <v>221.38484143704895</v>
      </c>
      <c r="W70" s="5">
        <f t="shared" ca="1" si="18"/>
        <v>228.60093920783916</v>
      </c>
      <c r="X70" s="5">
        <f t="shared" ca="1" si="18"/>
        <v>237.02542273010897</v>
      </c>
      <c r="Y70" s="5">
        <f t="shared" ca="1" si="18"/>
        <v>246.39158451887391</v>
      </c>
      <c r="Z70" s="5">
        <f t="shared" ca="1" si="18"/>
        <v>256.71098857236967</v>
      </c>
      <c r="AA70" s="5">
        <f t="shared" ca="1" si="18"/>
        <v>268.04599788778779</v>
      </c>
      <c r="AB70" s="5">
        <f t="shared" ca="1" si="18"/>
        <v>279.88843163978134</v>
      </c>
      <c r="AC70" s="5">
        <f t="shared" ca="1" si="18"/>
        <v>290.23539542459719</v>
      </c>
      <c r="AD70" s="5">
        <f t="shared" ca="1" si="18"/>
        <v>301.36807539429441</v>
      </c>
      <c r="AE70" s="5">
        <f t="shared" ca="1" si="18"/>
        <v>312.83749087177472</v>
      </c>
      <c r="AF70" s="5">
        <f t="shared" ca="1" si="18"/>
        <v>324.70486649482274</v>
      </c>
      <c r="AG70" s="5">
        <f t="shared" ca="1" si="18"/>
        <v>336.44979284226298</v>
      </c>
      <c r="AH70" s="5">
        <f t="shared" ca="1" si="18"/>
        <v>347.88859600074255</v>
      </c>
      <c r="AI70" s="5">
        <f t="shared" ca="1" si="18"/>
        <v>359.67433877330262</v>
      </c>
      <c r="AJ70" s="5">
        <f t="shared" ca="1" si="18"/>
        <v>373.14375908490734</v>
      </c>
      <c r="AK70" s="5">
        <f t="shared" ca="1" si="18"/>
        <v>387.57236538843233</v>
      </c>
      <c r="AL70" s="5">
        <f t="shared" ca="1" si="18"/>
        <v>402.69485092014173</v>
      </c>
      <c r="AM70" s="5">
        <f t="shared" ca="1" si="18"/>
        <v>500.62365905033613</v>
      </c>
      <c r="AN70" s="5">
        <f t="shared" ca="1" si="18"/>
        <v>640.17501676584777</v>
      </c>
      <c r="AO70" s="5">
        <f t="shared" ca="1" si="18"/>
        <v>870.71809101399765</v>
      </c>
      <c r="AP70" s="5">
        <f t="shared" ca="1" si="18"/>
        <v>1108.1982568597025</v>
      </c>
    </row>
    <row r="71" spans="1:48">
      <c r="A71" s="61" t="str">
        <f>'[4]TS BYDem'!A10</f>
        <v/>
      </c>
      <c r="B71" s="199" t="s">
        <v>288</v>
      </c>
      <c r="C71" s="199" t="s">
        <v>137</v>
      </c>
      <c r="D71" s="199" t="str">
        <f>'[4]TS BYDem'!D10</f>
        <v>IMIK</v>
      </c>
      <c r="E71" s="199" t="s">
        <v>137</v>
      </c>
      <c r="F71" s="199" t="s">
        <v>137</v>
      </c>
      <c r="G71" s="199" t="s">
        <v>137</v>
      </c>
      <c r="H71" s="199" t="s">
        <v>137</v>
      </c>
      <c r="I71" s="199">
        <v>0</v>
      </c>
      <c r="J71" s="199">
        <f>INDEX('[4]TS BYDem'!$J$10:$J$203,MATCH(D71,'[4]TS BYDem'!$D$10:$D$203,0))</f>
        <v>2.1376388478991801</v>
      </c>
      <c r="K71" s="199">
        <f t="shared" ref="K71:Z86" ca="1" si="19">K$70/J$70*J71</f>
        <v>2.1940309602928449</v>
      </c>
      <c r="L71" s="199">
        <f t="shared" ca="1" si="19"/>
        <v>2.1979720741160493</v>
      </c>
      <c r="M71" s="206">
        <f>O71</f>
        <v>2.2014400000000003</v>
      </c>
      <c r="N71" s="206">
        <f>O71</f>
        <v>2.2014400000000003</v>
      </c>
      <c r="O71" s="206">
        <f>INDEX('[4]TS BYDem'!$O$10:$O$203,MATCH(D71,'[4]TS BYDem'!$D$10:$D$203,0))</f>
        <v>2.2014400000000003</v>
      </c>
      <c r="P71" s="199">
        <f t="shared" ca="1" si="19"/>
        <v>2.1849293434310924</v>
      </c>
      <c r="Q71" s="199">
        <f t="shared" ca="1" si="19"/>
        <v>2.1541455272582901</v>
      </c>
      <c r="R71" s="199">
        <f t="shared" ca="1" si="19"/>
        <v>1.9851765027447228</v>
      </c>
      <c r="S71" s="199">
        <f t="shared" ca="1" si="19"/>
        <v>2.0481457282232265</v>
      </c>
      <c r="T71" s="199">
        <f t="shared" ca="1" si="19"/>
        <v>2.1025854188241802</v>
      </c>
      <c r="U71" s="199">
        <f t="shared" ca="1" si="19"/>
        <v>2.1600195409490275</v>
      </c>
      <c r="V71" s="199">
        <f t="shared" ca="1" si="19"/>
        <v>2.2271816033890603</v>
      </c>
      <c r="W71" s="199">
        <f t="shared" ca="1" si="19"/>
        <v>2.2997771799381921</v>
      </c>
      <c r="X71" s="199">
        <f t="shared" ca="1" si="19"/>
        <v>2.3845293906002252</v>
      </c>
      <c r="Y71" s="199">
        <f t="shared" ca="1" si="19"/>
        <v>2.4787550977213444</v>
      </c>
      <c r="Z71" s="199">
        <f t="shared" ca="1" si="19"/>
        <v>2.5825706377406892</v>
      </c>
      <c r="AA71" s="199">
        <f t="shared" ref="AA71:AP86" ca="1" si="20">AA$70/Z$70*Z71</f>
        <v>2.6966033965225109</v>
      </c>
      <c r="AB71" s="199">
        <f t="shared" ca="1" si="20"/>
        <v>2.8157409599644665</v>
      </c>
      <c r="AC71" s="199">
        <f t="shared" ca="1" si="20"/>
        <v>2.9198337571175519</v>
      </c>
      <c r="AD71" s="199">
        <f t="shared" ca="1" si="20"/>
        <v>3.031831036895074</v>
      </c>
      <c r="AE71" s="199">
        <f t="shared" ca="1" si="20"/>
        <v>3.1472159520828358</v>
      </c>
      <c r="AF71" s="199">
        <f t="shared" ca="1" si="20"/>
        <v>3.2666044363918485</v>
      </c>
      <c r="AG71" s="199">
        <f t="shared" ca="1" si="20"/>
        <v>3.3847610532784493</v>
      </c>
      <c r="AH71" s="199">
        <f t="shared" ca="1" si="20"/>
        <v>3.4998380016096138</v>
      </c>
      <c r="AI71" s="199">
        <f t="shared" ca="1" si="20"/>
        <v>3.6184052409695195</v>
      </c>
      <c r="AJ71" s="199">
        <f t="shared" ca="1" si="20"/>
        <v>3.7539106573819221</v>
      </c>
      <c r="AK71" s="199">
        <f t="shared" ca="1" si="20"/>
        <v>3.8990657019331181</v>
      </c>
      <c r="AL71" s="199">
        <f t="shared" ca="1" si="20"/>
        <v>4.0512013285420316</v>
      </c>
      <c r="AM71" s="199">
        <f t="shared" ca="1" si="20"/>
        <v>5.0363872992418575</v>
      </c>
      <c r="AN71" s="199">
        <f t="shared" ca="1" si="20"/>
        <v>6.4403055377917706</v>
      </c>
      <c r="AO71" s="199">
        <f t="shared" ca="1" si="20"/>
        <v>8.7596210357331277</v>
      </c>
      <c r="AP71" s="199">
        <f t="shared" ca="1" si="20"/>
        <v>11.148725244982854</v>
      </c>
    </row>
    <row r="72" spans="1:48">
      <c r="A72" s="61" t="str">
        <f>'[4]TS BYDem'!A11</f>
        <v/>
      </c>
      <c r="B72" s="199" t="s">
        <v>288</v>
      </c>
      <c r="C72" s="199" t="s">
        <v>137</v>
      </c>
      <c r="D72" s="199" t="str">
        <f>'[4]TS BYDem'!D11</f>
        <v>IMIA</v>
      </c>
      <c r="E72" s="199" t="s">
        <v>137</v>
      </c>
      <c r="F72" s="199" t="s">
        <v>137</v>
      </c>
      <c r="G72" s="199" t="s">
        <v>137</v>
      </c>
      <c r="H72" s="199" t="s">
        <v>137</v>
      </c>
      <c r="I72" s="199">
        <v>0</v>
      </c>
      <c r="J72" s="199">
        <f>INDEX('[4]TS BYDem'!$J$10:$J$203,MATCH(D72,'[4]TS BYDem'!$D$10:$D$203,0))</f>
        <v>0.99318058118269725</v>
      </c>
      <c r="K72" s="199">
        <f t="shared" ca="1" si="19"/>
        <v>1.0193812422608317</v>
      </c>
      <c r="L72" s="199">
        <f t="shared" ca="1" si="19"/>
        <v>1.0212123456398166</v>
      </c>
      <c r="M72" s="206">
        <f t="shared" ref="M72:M79" si="21">O72</f>
        <v>1.0228235984706235</v>
      </c>
      <c r="N72" s="206">
        <f t="shared" ref="N72:N81" si="22">O72</f>
        <v>1.0228235984706235</v>
      </c>
      <c r="O72" s="206">
        <f>INDEX('[4]TS BYDem'!$O$10:$O$203,MATCH(D72,'[4]TS BYDem'!$D$10:$D$203,0))</f>
        <v>1.0228235984706235</v>
      </c>
      <c r="P72" s="199">
        <f t="shared" ca="1" si="19"/>
        <v>1.0151524881224319</v>
      </c>
      <c r="Q72" s="199">
        <f t="shared" ca="1" si="19"/>
        <v>1.000849843656753</v>
      </c>
      <c r="R72" s="199">
        <f t="shared" ca="1" si="19"/>
        <v>0.92234418114356254</v>
      </c>
      <c r="S72" s="199">
        <f t="shared" ca="1" si="19"/>
        <v>0.95160067225702971</v>
      </c>
      <c r="T72" s="199">
        <f t="shared" ca="1" si="19"/>
        <v>0.97689420750672751</v>
      </c>
      <c r="U72" s="199">
        <f t="shared" ca="1" si="19"/>
        <v>1.0035790026711369</v>
      </c>
      <c r="V72" s="199">
        <f t="shared" ca="1" si="19"/>
        <v>1.0347835516870643</v>
      </c>
      <c r="W72" s="199">
        <f t="shared" ca="1" si="19"/>
        <v>1.0685125966935294</v>
      </c>
      <c r="X72" s="199">
        <f t="shared" ca="1" si="19"/>
        <v>1.1078898048335108</v>
      </c>
      <c r="Y72" s="199">
        <f t="shared" ca="1" si="19"/>
        <v>1.1516685482133269</v>
      </c>
      <c r="Z72" s="199">
        <f t="shared" ca="1" si="19"/>
        <v>1.1999028785697106</v>
      </c>
      <c r="AA72" s="199">
        <f t="shared" ca="1" si="20"/>
        <v>1.2528842892285319</v>
      </c>
      <c r="AB72" s="199">
        <f t="shared" ca="1" si="20"/>
        <v>1.308237472305392</v>
      </c>
      <c r="AC72" s="199">
        <f t="shared" ca="1" si="20"/>
        <v>1.3566006206805425</v>
      </c>
      <c r="AD72" s="199">
        <f t="shared" ca="1" si="20"/>
        <v>1.4086363158259776</v>
      </c>
      <c r="AE72" s="199">
        <f t="shared" ca="1" si="20"/>
        <v>1.4622459595871402</v>
      </c>
      <c r="AF72" s="199">
        <f t="shared" ca="1" si="20"/>
        <v>1.5177157244396449</v>
      </c>
      <c r="AG72" s="199">
        <f t="shared" ca="1" si="20"/>
        <v>1.5726131443407405</v>
      </c>
      <c r="AH72" s="199">
        <f t="shared" ca="1" si="20"/>
        <v>1.6260797018635891</v>
      </c>
      <c r="AI72" s="199">
        <f t="shared" ca="1" si="20"/>
        <v>1.6811679034147677</v>
      </c>
      <c r="AJ72" s="199">
        <f t="shared" ca="1" si="20"/>
        <v>1.7441258480451887</v>
      </c>
      <c r="AK72" s="199">
        <f t="shared" ca="1" si="20"/>
        <v>1.8115671614600526</v>
      </c>
      <c r="AL72" s="199">
        <f t="shared" ca="1" si="20"/>
        <v>1.8822517629316857</v>
      </c>
      <c r="AM72" s="199">
        <f t="shared" ca="1" si="20"/>
        <v>2.3399846376473126</v>
      </c>
      <c r="AN72" s="199">
        <f t="shared" ca="1" si="20"/>
        <v>2.9922671003590655</v>
      </c>
      <c r="AO72" s="199">
        <f t="shared" ca="1" si="20"/>
        <v>4.0698575064537419</v>
      </c>
      <c r="AP72" s="199">
        <f t="shared" ca="1" si="20"/>
        <v>5.1798728438811157</v>
      </c>
    </row>
    <row r="73" spans="1:48">
      <c r="A73" s="61" t="str">
        <f>'[4]TS BYDem'!A12</f>
        <v/>
      </c>
      <c r="B73" s="199" t="s">
        <v>288</v>
      </c>
      <c r="C73" s="199" t="s">
        <v>137</v>
      </c>
      <c r="D73" s="199" t="str">
        <f>'[4]TS BYDem'!D12</f>
        <v>IMIL</v>
      </c>
      <c r="E73" s="199" t="s">
        <v>137</v>
      </c>
      <c r="F73" s="199" t="s">
        <v>137</v>
      </c>
      <c r="G73" s="199" t="s">
        <v>137</v>
      </c>
      <c r="H73" s="199" t="s">
        <v>137</v>
      </c>
      <c r="I73" s="199">
        <v>0</v>
      </c>
      <c r="J73" s="199">
        <f>INDEX('[4]TS BYDem'!$J$10:$J$203,MATCH(D73,'[4]TS BYDem'!$D$10:$D$203,0))</f>
        <v>1.4429062223319464</v>
      </c>
      <c r="K73" s="199">
        <f t="shared" ca="1" si="19"/>
        <v>1.4809708981976701</v>
      </c>
      <c r="L73" s="199">
        <f t="shared" ca="1" si="19"/>
        <v>1.483631150028333</v>
      </c>
      <c r="M73" s="206">
        <f t="shared" si="21"/>
        <v>1.4859720000000001</v>
      </c>
      <c r="N73" s="206">
        <f t="shared" si="22"/>
        <v>1.4859720000000001</v>
      </c>
      <c r="O73" s="206">
        <f>INDEX('[4]TS BYDem'!$O$10:$O$203,MATCH(D73,'[4]TS BYDem'!$D$10:$D$203,0))</f>
        <v>1.4859720000000001</v>
      </c>
      <c r="P73" s="199">
        <f t="shared" ca="1" si="19"/>
        <v>1.4748273068159872</v>
      </c>
      <c r="Q73" s="199">
        <f t="shared" ca="1" si="19"/>
        <v>1.4540482308993454</v>
      </c>
      <c r="R73" s="199">
        <f t="shared" ca="1" si="19"/>
        <v>1.3399941393526875</v>
      </c>
      <c r="S73" s="199">
        <f t="shared" ca="1" si="19"/>
        <v>1.3824983665506774</v>
      </c>
      <c r="T73" s="199">
        <f t="shared" ca="1" si="19"/>
        <v>1.419245157706321</v>
      </c>
      <c r="U73" s="199">
        <f t="shared" ca="1" si="19"/>
        <v>1.4580131901405928</v>
      </c>
      <c r="V73" s="199">
        <f t="shared" ca="1" si="19"/>
        <v>1.503347582287615</v>
      </c>
      <c r="W73" s="199">
        <f t="shared" ca="1" si="19"/>
        <v>1.552349596458279</v>
      </c>
      <c r="X73" s="199">
        <f t="shared" ca="1" si="19"/>
        <v>1.6095573386551512</v>
      </c>
      <c r="Y73" s="199">
        <f t="shared" ca="1" si="19"/>
        <v>1.6731596909619066</v>
      </c>
      <c r="Z73" s="199">
        <f t="shared" ca="1" si="19"/>
        <v>1.7432351804749644</v>
      </c>
      <c r="AA73" s="199">
        <f t="shared" ca="1" si="20"/>
        <v>1.8202072926526942</v>
      </c>
      <c r="AB73" s="199">
        <f t="shared" ca="1" si="20"/>
        <v>1.9006251479760141</v>
      </c>
      <c r="AC73" s="199">
        <f t="shared" ca="1" si="20"/>
        <v>1.9708877860543466</v>
      </c>
      <c r="AD73" s="199">
        <f t="shared" ca="1" si="20"/>
        <v>2.0464859499041741</v>
      </c>
      <c r="AE73" s="199">
        <f t="shared" ca="1" si="20"/>
        <v>2.1243707676559129</v>
      </c>
      <c r="AF73" s="199">
        <f t="shared" ca="1" si="20"/>
        <v>2.2049579945644964</v>
      </c>
      <c r="AG73" s="199">
        <f t="shared" ca="1" si="20"/>
        <v>2.2847137109629521</v>
      </c>
      <c r="AH73" s="199">
        <f t="shared" ca="1" si="20"/>
        <v>2.3623906510864883</v>
      </c>
      <c r="AI73" s="199">
        <f t="shared" ca="1" si="20"/>
        <v>2.4424235376544248</v>
      </c>
      <c r="AJ73" s="199">
        <f t="shared" ca="1" si="20"/>
        <v>2.5338896937327964</v>
      </c>
      <c r="AK73" s="199">
        <f t="shared" ca="1" si="20"/>
        <v>2.6318693488048535</v>
      </c>
      <c r="AL73" s="199">
        <f t="shared" ca="1" si="20"/>
        <v>2.7345608967658701</v>
      </c>
      <c r="AM73" s="199">
        <f t="shared" ca="1" si="20"/>
        <v>3.3995614269882521</v>
      </c>
      <c r="AN73" s="199">
        <f t="shared" ca="1" si="20"/>
        <v>4.3472062380094432</v>
      </c>
      <c r="AO73" s="199">
        <f t="shared" ca="1" si="20"/>
        <v>5.9127441991198584</v>
      </c>
      <c r="AP73" s="199">
        <f t="shared" ca="1" si="20"/>
        <v>7.525389540363423</v>
      </c>
    </row>
    <row r="74" spans="1:48">
      <c r="A74" s="61" t="str">
        <f>'[4]TS BYDem'!A13</f>
        <v/>
      </c>
      <c r="B74" s="199" t="s">
        <v>288</v>
      </c>
      <c r="C74" s="199" t="s">
        <v>137</v>
      </c>
      <c r="D74" s="199" t="str">
        <f>'[4]TS BYDem'!D13</f>
        <v>IMIC</v>
      </c>
      <c r="E74" s="199" t="s">
        <v>137</v>
      </c>
      <c r="F74" s="199" t="s">
        <v>137</v>
      </c>
      <c r="G74" s="199" t="s">
        <v>137</v>
      </c>
      <c r="H74" s="199" t="s">
        <v>137</v>
      </c>
      <c r="I74" s="199">
        <v>0</v>
      </c>
      <c r="J74" s="199">
        <f>INDEX('[4]TS BYDem'!$J$10:$J$203,MATCH(D74,'[4]TS BYDem'!$D$10:$D$203,0))</f>
        <v>17.35324025908308</v>
      </c>
      <c r="K74" s="199">
        <f t="shared" ca="1" si="19"/>
        <v>17.811028475294727</v>
      </c>
      <c r="L74" s="199">
        <f t="shared" ca="1" si="19"/>
        <v>17.843022230989085</v>
      </c>
      <c r="M74" s="206">
        <f t="shared" si="21"/>
        <v>17.871174671764589</v>
      </c>
      <c r="N74" s="206">
        <f t="shared" si="22"/>
        <v>17.871174671764589</v>
      </c>
      <c r="O74" s="206">
        <f>INDEX('[4]TS BYDem'!$O$10:$O$203,MATCH(D74,'[4]TS BYDem'!$D$10:$D$203,0))</f>
        <v>17.871174671764589</v>
      </c>
      <c r="P74" s="199">
        <f t="shared" ca="1" si="19"/>
        <v>17.737142026092449</v>
      </c>
      <c r="Q74" s="199">
        <f t="shared" ca="1" si="19"/>
        <v>17.48724061797429</v>
      </c>
      <c r="R74" s="199">
        <f t="shared" ca="1" si="19"/>
        <v>16.115558922720439</v>
      </c>
      <c r="S74" s="199">
        <f t="shared" ca="1" si="19"/>
        <v>16.626739798634418</v>
      </c>
      <c r="T74" s="199">
        <f t="shared" ca="1" si="19"/>
        <v>17.068678356944645</v>
      </c>
      <c r="U74" s="199">
        <f t="shared" ca="1" si="19"/>
        <v>17.534925553603468</v>
      </c>
      <c r="V74" s="199">
        <f t="shared" ca="1" si="19"/>
        <v>18.080143660470693</v>
      </c>
      <c r="W74" s="199">
        <f t="shared" ca="1" si="19"/>
        <v>18.669470750424082</v>
      </c>
      <c r="X74" s="199">
        <f t="shared" ca="1" si="19"/>
        <v>19.357484759690465</v>
      </c>
      <c r="Y74" s="199">
        <f t="shared" ca="1" si="19"/>
        <v>20.122404117261897</v>
      </c>
      <c r="Z74" s="199">
        <f t="shared" ca="1" si="19"/>
        <v>20.965173236260952</v>
      </c>
      <c r="AA74" s="199">
        <f t="shared" ca="1" si="20"/>
        <v>21.890885202289159</v>
      </c>
      <c r="AB74" s="199">
        <f t="shared" ca="1" si="20"/>
        <v>22.858037705305193</v>
      </c>
      <c r="AC74" s="199">
        <f t="shared" ca="1" si="20"/>
        <v>23.703057583201183</v>
      </c>
      <c r="AD74" s="199">
        <f t="shared" ca="1" si="20"/>
        <v>24.612245637232448</v>
      </c>
      <c r="AE74" s="199">
        <f t="shared" ca="1" si="20"/>
        <v>25.548934338176934</v>
      </c>
      <c r="AF74" s="199">
        <f t="shared" ca="1" si="20"/>
        <v>26.518123803655708</v>
      </c>
      <c r="AG74" s="199">
        <f t="shared" ca="1" si="20"/>
        <v>27.4773130338892</v>
      </c>
      <c r="AH74" s="199">
        <f t="shared" ca="1" si="20"/>
        <v>28.411501676014296</v>
      </c>
      <c r="AI74" s="199">
        <f t="shared" ca="1" si="20"/>
        <v>29.374024317989459</v>
      </c>
      <c r="AJ74" s="199">
        <f t="shared" ca="1" si="20"/>
        <v>30.474050194541281</v>
      </c>
      <c r="AK74" s="199">
        <f t="shared" ca="1" si="20"/>
        <v>31.652411247153296</v>
      </c>
      <c r="AL74" s="199">
        <f t="shared" ca="1" si="20"/>
        <v>32.88744029946735</v>
      </c>
      <c r="AM74" s="199">
        <f t="shared" ca="1" si="20"/>
        <v>40.885128433846909</v>
      </c>
      <c r="AN74" s="199">
        <f t="shared" ca="1" si="20"/>
        <v>52.282063197456893</v>
      </c>
      <c r="AO74" s="199">
        <f t="shared" ca="1" si="20"/>
        <v>71.110144990574412</v>
      </c>
      <c r="AP74" s="199">
        <f t="shared" ca="1" si="20"/>
        <v>90.504767888563848</v>
      </c>
    </row>
    <row r="75" spans="1:48">
      <c r="A75" s="61" t="str">
        <f>'[4]TS BYDem'!A14</f>
        <v/>
      </c>
      <c r="B75" s="199" t="s">
        <v>288</v>
      </c>
      <c r="C75" s="199" t="s">
        <v>137</v>
      </c>
      <c r="D75" s="199" t="str">
        <f>'[4]TS BYDem'!D14</f>
        <v>IMIH</v>
      </c>
      <c r="E75" s="199" t="s">
        <v>137</v>
      </c>
      <c r="F75" s="199" t="s">
        <v>137</v>
      </c>
      <c r="G75" s="199" t="s">
        <v>137</v>
      </c>
      <c r="H75" s="199" t="s">
        <v>137</v>
      </c>
      <c r="I75" s="199">
        <v>0</v>
      </c>
      <c r="J75" s="199">
        <f>INDEX('[4]TS BYDem'!$J$10:$J$203,MATCH(D75,'[4]TS BYDem'!$D$10:$D$203,0))</f>
        <v>7.6954998524370488</v>
      </c>
      <c r="K75" s="199">
        <f t="shared" ca="1" si="19"/>
        <v>7.8985114570542425</v>
      </c>
      <c r="L75" s="199">
        <f t="shared" ca="1" si="19"/>
        <v>7.9126994668177781</v>
      </c>
      <c r="M75" s="206">
        <f t="shared" si="21"/>
        <v>7.9251840000000016</v>
      </c>
      <c r="N75" s="206">
        <f t="shared" si="22"/>
        <v>7.9251840000000016</v>
      </c>
      <c r="O75" s="206">
        <f>INDEX('[4]TS BYDem'!$O$10:$O$203,MATCH(D75,'[4]TS BYDem'!$D$10:$D$203,0))</f>
        <v>7.9251840000000016</v>
      </c>
      <c r="P75" s="199">
        <f t="shared" ca="1" si="19"/>
        <v>7.8657456363519334</v>
      </c>
      <c r="Q75" s="199">
        <f t="shared" ca="1" si="19"/>
        <v>7.754923898129845</v>
      </c>
      <c r="R75" s="199">
        <f t="shared" ca="1" si="19"/>
        <v>7.1466354098810019</v>
      </c>
      <c r="S75" s="199">
        <f t="shared" ca="1" si="19"/>
        <v>7.373324621603615</v>
      </c>
      <c r="T75" s="199">
        <f t="shared" ca="1" si="19"/>
        <v>7.5693075077670482</v>
      </c>
      <c r="U75" s="199">
        <f t="shared" ca="1" si="19"/>
        <v>7.7760703474164981</v>
      </c>
      <c r="V75" s="199">
        <f t="shared" ca="1" si="19"/>
        <v>8.0178537722006169</v>
      </c>
      <c r="W75" s="199">
        <f t="shared" ca="1" si="19"/>
        <v>8.2791978477774926</v>
      </c>
      <c r="X75" s="199">
        <f t="shared" ca="1" si="19"/>
        <v>8.5843058061608115</v>
      </c>
      <c r="Y75" s="199">
        <f t="shared" ca="1" si="19"/>
        <v>8.9235183517968419</v>
      </c>
      <c r="Z75" s="199">
        <f t="shared" ca="1" si="19"/>
        <v>9.2972542958664839</v>
      </c>
      <c r="AA75" s="199">
        <f t="shared" ca="1" si="20"/>
        <v>9.7077722274810423</v>
      </c>
      <c r="AB75" s="199">
        <f t="shared" ca="1" si="20"/>
        <v>10.136667455872082</v>
      </c>
      <c r="AC75" s="199">
        <f t="shared" ca="1" si="20"/>
        <v>10.511401525623189</v>
      </c>
      <c r="AD75" s="199">
        <f t="shared" ca="1" si="20"/>
        <v>10.91459173282227</v>
      </c>
      <c r="AE75" s="199">
        <f t="shared" ca="1" si="20"/>
        <v>11.329977427498212</v>
      </c>
      <c r="AF75" s="199">
        <f t="shared" ca="1" si="20"/>
        <v>11.759775971010658</v>
      </c>
      <c r="AG75" s="199">
        <f t="shared" ca="1" si="20"/>
        <v>12.185139791802422</v>
      </c>
      <c r="AH75" s="199">
        <f t="shared" ca="1" si="20"/>
        <v>12.599416805794615</v>
      </c>
      <c r="AI75" s="199">
        <f t="shared" ca="1" si="20"/>
        <v>13.026258867490276</v>
      </c>
      <c r="AJ75" s="199">
        <f t="shared" ca="1" si="20"/>
        <v>13.514078366574925</v>
      </c>
      <c r="AK75" s="199">
        <f t="shared" ca="1" si="20"/>
        <v>14.03663652695923</v>
      </c>
      <c r="AL75" s="199">
        <f t="shared" ca="1" si="20"/>
        <v>14.584324782751318</v>
      </c>
      <c r="AM75" s="199">
        <f t="shared" ca="1" si="20"/>
        <v>18.130994277270691</v>
      </c>
      <c r="AN75" s="199">
        <f t="shared" ca="1" si="20"/>
        <v>23.185099936050381</v>
      </c>
      <c r="AO75" s="199">
        <f t="shared" ca="1" si="20"/>
        <v>31.53463572863927</v>
      </c>
      <c r="AP75" s="199">
        <f t="shared" ca="1" si="20"/>
        <v>40.135410881938292</v>
      </c>
    </row>
    <row r="76" spans="1:48">
      <c r="A76" s="61" t="str">
        <f>'[4]TS BYDem'!A15</f>
        <v/>
      </c>
      <c r="B76" s="199" t="s">
        <v>288</v>
      </c>
      <c r="C76" s="199" t="s">
        <v>137</v>
      </c>
      <c r="D76" s="199" t="str">
        <f>'[4]TS BYDem'!D15</f>
        <v>IMIP</v>
      </c>
      <c r="E76" s="199" t="s">
        <v>137</v>
      </c>
      <c r="F76" s="199" t="s">
        <v>137</v>
      </c>
      <c r="G76" s="199" t="s">
        <v>137</v>
      </c>
      <c r="H76" s="199" t="s">
        <v>137</v>
      </c>
      <c r="I76" s="199">
        <v>0</v>
      </c>
      <c r="J76" s="199">
        <f>INDEX('[4]TS BYDem'!$J$10:$J$203,MATCH(D76,'[4]TS BYDem'!$D$10:$D$203,0))</f>
        <v>15.294517272248457</v>
      </c>
      <c r="K76" s="199">
        <f t="shared" ca="1" si="19"/>
        <v>15.697995220766805</v>
      </c>
      <c r="L76" s="199">
        <f t="shared" ca="1" si="19"/>
        <v>15.726193357931152</v>
      </c>
      <c r="M76" s="206">
        <f t="shared" si="21"/>
        <v>15.751005899293361</v>
      </c>
      <c r="N76" s="206">
        <f t="shared" si="22"/>
        <v>15.751005899293361</v>
      </c>
      <c r="O76" s="206">
        <f>INDEX('[4]TS BYDem'!$O$10:$O$203,MATCH(D76,'[4]TS BYDem'!$D$10:$D$203,0))</f>
        <v>15.751005899293361</v>
      </c>
      <c r="P76" s="199">
        <f t="shared" ca="1" si="19"/>
        <v>15.632874381278754</v>
      </c>
      <c r="Q76" s="199">
        <f t="shared" ca="1" si="19"/>
        <v>15.412620333864073</v>
      </c>
      <c r="R76" s="199">
        <f t="shared" ca="1" si="19"/>
        <v>14.203669782447253</v>
      </c>
      <c r="S76" s="199">
        <f t="shared" ca="1" si="19"/>
        <v>14.654206086859748</v>
      </c>
      <c r="T76" s="199">
        <f t="shared" ca="1" si="19"/>
        <v>15.04371472112247</v>
      </c>
      <c r="U76" s="199">
        <f t="shared" ca="1" si="19"/>
        <v>15.454648108545793</v>
      </c>
      <c r="V76" s="199">
        <f t="shared" ca="1" si="19"/>
        <v>15.93518359518257</v>
      </c>
      <c r="W76" s="199">
        <f t="shared" ca="1" si="19"/>
        <v>16.454595141483164</v>
      </c>
      <c r="X76" s="199">
        <f t="shared" ca="1" si="19"/>
        <v>17.060985763128922</v>
      </c>
      <c r="Y76" s="199">
        <f t="shared" ca="1" si="19"/>
        <v>17.73515797255995</v>
      </c>
      <c r="Z76" s="199">
        <f t="shared" ca="1" si="19"/>
        <v>18.477944141287249</v>
      </c>
      <c r="AA76" s="199">
        <f t="shared" ca="1" si="20"/>
        <v>19.293833130442152</v>
      </c>
      <c r="AB76" s="199">
        <f t="shared" ca="1" si="20"/>
        <v>20.146246307545177</v>
      </c>
      <c r="AC76" s="199">
        <f t="shared" ca="1" si="20"/>
        <v>20.891016213621288</v>
      </c>
      <c r="AD76" s="199">
        <f t="shared" ca="1" si="20"/>
        <v>21.692341625388387</v>
      </c>
      <c r="AE76" s="199">
        <f t="shared" ca="1" si="20"/>
        <v>22.517905111021381</v>
      </c>
      <c r="AF76" s="199">
        <f t="shared" ca="1" si="20"/>
        <v>23.372113593041764</v>
      </c>
      <c r="AG76" s="199">
        <f t="shared" ca="1" si="20"/>
        <v>24.217508230016378</v>
      </c>
      <c r="AH76" s="199">
        <f t="shared" ca="1" si="20"/>
        <v>25.040868254380818</v>
      </c>
      <c r="AI76" s="199">
        <f t="shared" ca="1" si="20"/>
        <v>25.889200839698066</v>
      </c>
      <c r="AJ76" s="199">
        <f t="shared" ca="1" si="20"/>
        <v>26.858723794354088</v>
      </c>
      <c r="AK76" s="199">
        <f t="shared" ca="1" si="20"/>
        <v>27.897288535177402</v>
      </c>
      <c r="AL76" s="199">
        <f t="shared" ca="1" si="20"/>
        <v>28.985798397908017</v>
      </c>
      <c r="AM76" s="199">
        <f t="shared" ca="1" si="20"/>
        <v>36.03467097058499</v>
      </c>
      <c r="AN76" s="199">
        <f t="shared" ca="1" si="20"/>
        <v>46.079516370652776</v>
      </c>
      <c r="AO76" s="199">
        <f t="shared" ca="1" si="20"/>
        <v>62.673905538832159</v>
      </c>
      <c r="AP76" s="199">
        <f t="shared" ca="1" si="20"/>
        <v>79.767623511576829</v>
      </c>
    </row>
    <row r="77" spans="1:48">
      <c r="A77" s="61" t="str">
        <f>'[4]TS BYDem'!A16</f>
        <v/>
      </c>
      <c r="B77" s="199" t="s">
        <v>288</v>
      </c>
      <c r="C77" s="199" t="s">
        <v>137</v>
      </c>
      <c r="D77" s="199" t="str">
        <f>'[4]TS BYDem'!D16</f>
        <v>IMIF</v>
      </c>
      <c r="E77" s="199" t="s">
        <v>137</v>
      </c>
      <c r="F77" s="199" t="s">
        <v>137</v>
      </c>
      <c r="G77" s="199" t="s">
        <v>137</v>
      </c>
      <c r="H77" s="199" t="s">
        <v>137</v>
      </c>
      <c r="I77" s="199">
        <v>0</v>
      </c>
      <c r="J77" s="199">
        <f>INDEX('[4]TS BYDem'!$J$10:$J$203,MATCH(D77,'[4]TS BYDem'!$D$10:$D$203,0))</f>
        <v>5.8889063414920679</v>
      </c>
      <c r="K77" s="199">
        <f t="shared" ca="1" si="19"/>
        <v>6.0442589954782893</v>
      </c>
      <c r="L77" s="199">
        <f t="shared" ca="1" si="19"/>
        <v>6.055116231820536</v>
      </c>
      <c r="M77" s="206">
        <f t="shared" si="21"/>
        <v>6.0646698992933636</v>
      </c>
      <c r="N77" s="206">
        <f t="shared" si="22"/>
        <v>6.0646698992933636</v>
      </c>
      <c r="O77" s="206">
        <f>INDEX('[4]TS BYDem'!$O$10:$O$203,MATCH(D77,'[4]TS BYDem'!$D$10:$D$203,0))</f>
        <v>6.0646698992933636</v>
      </c>
      <c r="P77" s="199">
        <f t="shared" ca="1" si="19"/>
        <v>6.0191852701819517</v>
      </c>
      <c r="Q77" s="199">
        <f t="shared" ca="1" si="19"/>
        <v>5.9343800139276022</v>
      </c>
      <c r="R77" s="199">
        <f t="shared" ca="1" si="19"/>
        <v>5.4688931703704782</v>
      </c>
      <c r="S77" s="199">
        <f t="shared" ca="1" si="19"/>
        <v>5.6423648826775574</v>
      </c>
      <c r="T77" s="199">
        <f t="shared" ca="1" si="19"/>
        <v>5.792338878296083</v>
      </c>
      <c r="U77" s="199">
        <f t="shared" ca="1" si="19"/>
        <v>5.9505621283700796</v>
      </c>
      <c r="V77" s="199">
        <f t="shared" ca="1" si="19"/>
        <v>6.1355845402707123</v>
      </c>
      <c r="W77" s="199">
        <f t="shared" ca="1" si="19"/>
        <v>6.3355755497551263</v>
      </c>
      <c r="X77" s="199">
        <f t="shared" ca="1" si="19"/>
        <v>6.5690564444879387</v>
      </c>
      <c r="Y77" s="199">
        <f t="shared" ca="1" si="19"/>
        <v>6.8286355425860403</v>
      </c>
      <c r="Z77" s="199">
        <f t="shared" ca="1" si="19"/>
        <v>7.1146333352282234</v>
      </c>
      <c r="AA77" s="199">
        <f t="shared" ca="1" si="20"/>
        <v>7.4287781857431119</v>
      </c>
      <c r="AB77" s="199">
        <f t="shared" ca="1" si="20"/>
        <v>7.7569860837015305</v>
      </c>
      <c r="AC77" s="199">
        <f t="shared" ca="1" si="20"/>
        <v>8.0437476823040654</v>
      </c>
      <c r="AD77" s="199">
        <f t="shared" ca="1" si="20"/>
        <v>8.3522850630500667</v>
      </c>
      <c r="AE77" s="199">
        <f t="shared" ca="1" si="20"/>
        <v>8.6701549218569092</v>
      </c>
      <c r="AF77" s="199">
        <f t="shared" ca="1" si="20"/>
        <v>8.9990540729176356</v>
      </c>
      <c r="AG77" s="199">
        <f t="shared" ca="1" si="20"/>
        <v>9.3245595955912073</v>
      </c>
      <c r="AH77" s="199">
        <f t="shared" ca="1" si="20"/>
        <v>9.6415810472985228</v>
      </c>
      <c r="AI77" s="199">
        <f t="shared" ca="1" si="20"/>
        <v>9.9682177794321873</v>
      </c>
      <c r="AJ77" s="199">
        <f t="shared" ca="1" si="20"/>
        <v>10.341516901873639</v>
      </c>
      <c r="AK77" s="199">
        <f t="shared" ca="1" si="20"/>
        <v>10.741399446671693</v>
      </c>
      <c r="AL77" s="199">
        <f t="shared" ca="1" si="20"/>
        <v>11.160512552323089</v>
      </c>
      <c r="AM77" s="199">
        <f t="shared" ca="1" si="20"/>
        <v>13.874566853920836</v>
      </c>
      <c r="AN77" s="199">
        <f t="shared" ca="1" si="20"/>
        <v>17.742172004369007</v>
      </c>
      <c r="AO77" s="199">
        <f t="shared" ca="1" si="20"/>
        <v>24.131572981606425</v>
      </c>
      <c r="AP77" s="199">
        <f t="shared" ca="1" si="20"/>
        <v>30.713232433652308</v>
      </c>
    </row>
    <row r="78" spans="1:48">
      <c r="A78" s="61" t="str">
        <f>'[4]TS BYDem'!A17</f>
        <v/>
      </c>
      <c r="B78" s="199" t="s">
        <v>288</v>
      </c>
      <c r="C78" s="199" t="s">
        <v>137</v>
      </c>
      <c r="D78" s="199" t="str">
        <f>'[4]TS BYDem'!D17</f>
        <v>IMIO</v>
      </c>
      <c r="E78" s="199" t="s">
        <v>137</v>
      </c>
      <c r="F78" s="199" t="s">
        <v>137</v>
      </c>
      <c r="G78" s="199" t="s">
        <v>137</v>
      </c>
      <c r="H78" s="199" t="s">
        <v>137</v>
      </c>
      <c r="I78" s="199">
        <v>0</v>
      </c>
      <c r="J78" s="199">
        <f>INDEX('[4]TS BYDem'!$J$10:$J$203,MATCH(D78,'[4]TS BYDem'!$D$10:$D$203,0))</f>
        <v>28.894976807848312</v>
      </c>
      <c r="K78" s="199">
        <f t="shared" ca="1" si="19"/>
        <v>29.657242511132058</v>
      </c>
      <c r="L78" s="199">
        <f t="shared" ca="1" si="19"/>
        <v>29.710515491565818</v>
      </c>
      <c r="M78" s="206">
        <f t="shared" si="21"/>
        <v>29.757392277177463</v>
      </c>
      <c r="N78" s="206">
        <f t="shared" si="22"/>
        <v>29.757392277177463</v>
      </c>
      <c r="O78" s="206">
        <f>INDEX('[4]TS BYDem'!$O$10:$O$203,MATCH(D78,'[4]TS BYDem'!$D$10:$D$203,0))</f>
        <v>29.757392277177463</v>
      </c>
      <c r="P78" s="199">
        <f t="shared" ca="1" si="19"/>
        <v>29.534213773891089</v>
      </c>
      <c r="Q78" s="199">
        <f t="shared" ca="1" si="19"/>
        <v>29.1181015502363</v>
      </c>
      <c r="R78" s="199">
        <f t="shared" ca="1" si="19"/>
        <v>26.834106735414075</v>
      </c>
      <c r="S78" s="199">
        <f t="shared" ca="1" si="19"/>
        <v>27.685276853134233</v>
      </c>
      <c r="T78" s="199">
        <f t="shared" ca="1" si="19"/>
        <v>28.421151202951055</v>
      </c>
      <c r="U78" s="199">
        <f t="shared" ca="1" si="19"/>
        <v>29.197502001593939</v>
      </c>
      <c r="V78" s="199">
        <f t="shared" ca="1" si="19"/>
        <v>30.105347701759442</v>
      </c>
      <c r="W78" s="199">
        <f t="shared" ca="1" si="19"/>
        <v>31.086639514827425</v>
      </c>
      <c r="X78" s="199">
        <f t="shared" ca="1" si="19"/>
        <v>32.232255465763224</v>
      </c>
      <c r="Y78" s="199">
        <f t="shared" ca="1" si="19"/>
        <v>33.505926939615605</v>
      </c>
      <c r="Z78" s="199">
        <f t="shared" ca="1" si="19"/>
        <v>34.909226483924179</v>
      </c>
      <c r="AA78" s="199">
        <f t="shared" ca="1" si="20"/>
        <v>36.450634623832343</v>
      </c>
      <c r="AB78" s="199">
        <f t="shared" ca="1" si="20"/>
        <v>38.061045632212945</v>
      </c>
      <c r="AC78" s="199">
        <f t="shared" ca="1" si="20"/>
        <v>39.468092927670931</v>
      </c>
      <c r="AD78" s="199">
        <f t="shared" ca="1" si="20"/>
        <v>40.981987009870096</v>
      </c>
      <c r="AE78" s="199">
        <f t="shared" ca="1" si="20"/>
        <v>42.541672572098037</v>
      </c>
      <c r="AF78" s="199">
        <f t="shared" ca="1" si="20"/>
        <v>44.155475337997146</v>
      </c>
      <c r="AG78" s="199">
        <f t="shared" ca="1" si="20"/>
        <v>45.752626656606218</v>
      </c>
      <c r="AH78" s="199">
        <f t="shared" ca="1" si="20"/>
        <v>47.308149356998207</v>
      </c>
      <c r="AI78" s="199">
        <f t="shared" ca="1" si="20"/>
        <v>48.910851158026041</v>
      </c>
      <c r="AJ78" s="199">
        <f t="shared" ca="1" si="20"/>
        <v>50.742510359215331</v>
      </c>
      <c r="AK78" s="199">
        <f t="shared" ca="1" si="20"/>
        <v>52.70460589746353</v>
      </c>
      <c r="AL78" s="199">
        <f t="shared" ca="1" si="20"/>
        <v>54.761059636986587</v>
      </c>
      <c r="AM78" s="199">
        <f t="shared" ca="1" si="20"/>
        <v>68.078054602139659</v>
      </c>
      <c r="AN78" s="199">
        <f t="shared" ca="1" si="20"/>
        <v>87.055154023252101</v>
      </c>
      <c r="AO78" s="199">
        <f t="shared" ca="1" si="20"/>
        <v>118.40589766685726</v>
      </c>
      <c r="AP78" s="199">
        <f t="shared" ca="1" si="20"/>
        <v>150.6999920531226</v>
      </c>
    </row>
    <row r="79" spans="1:48">
      <c r="A79" s="61" t="str">
        <f>'[4]TS BYDem'!A18</f>
        <v/>
      </c>
      <c r="B79" s="199" t="s">
        <v>288</v>
      </c>
      <c r="C79" s="199" t="s">
        <v>137</v>
      </c>
      <c r="D79" s="199" t="str">
        <f>'[4]TS BYDem'!D18</f>
        <v>IMIE</v>
      </c>
      <c r="E79" s="199" t="s">
        <v>137</v>
      </c>
      <c r="F79" s="199" t="s">
        <v>137</v>
      </c>
      <c r="G79" s="199" t="s">
        <v>137</v>
      </c>
      <c r="H79" s="199" t="s">
        <v>137</v>
      </c>
      <c r="I79" s="199">
        <v>0</v>
      </c>
      <c r="J79" s="199">
        <f>INDEX('[4]TS BYDem'!$J$10:$J$203,MATCH(D79,'[4]TS BYDem'!$D$10:$D$203,0))</f>
        <v>0.18682963530638833</v>
      </c>
      <c r="K79" s="199">
        <f t="shared" ca="1" si="19"/>
        <v>0.19175830592959464</v>
      </c>
      <c r="L79" s="199">
        <f t="shared" ca="1" si="19"/>
        <v>0.1921027592777427</v>
      </c>
      <c r="M79" s="206">
        <f t="shared" si="21"/>
        <v>0.19240585599999999</v>
      </c>
      <c r="N79" s="206">
        <f t="shared" si="22"/>
        <v>0.19240585599999999</v>
      </c>
      <c r="O79" s="206">
        <f>INDEX('[4]TS BYDem'!$O$10:$O$203,MATCH(D79,'[4]TS BYDem'!$D$10:$D$203,0))</f>
        <v>0.19240585599999999</v>
      </c>
      <c r="P79" s="199">
        <f t="shared" ca="1" si="19"/>
        <v>0.19096282461587744</v>
      </c>
      <c r="Q79" s="199">
        <f t="shared" ca="1" si="19"/>
        <v>0.18827231908237452</v>
      </c>
      <c r="R79" s="199">
        <f t="shared" ca="1" si="19"/>
        <v>0.17350442633988872</v>
      </c>
      <c r="S79" s="199">
        <f t="shared" ca="1" si="19"/>
        <v>0.17900793664670994</v>
      </c>
      <c r="T79" s="199">
        <f t="shared" ca="1" si="19"/>
        <v>0.18376596560523328</v>
      </c>
      <c r="U79" s="199">
        <f t="shared" ca="1" si="19"/>
        <v>0.18878570787894491</v>
      </c>
      <c r="V79" s="199">
        <f t="shared" ca="1" si="19"/>
        <v>0.19465567213620377</v>
      </c>
      <c r="W79" s="199">
        <f t="shared" ca="1" si="19"/>
        <v>0.20100052552659789</v>
      </c>
      <c r="X79" s="199">
        <f t="shared" ca="1" si="19"/>
        <v>0.20840786873845957</v>
      </c>
      <c r="Y79" s="199">
        <f t="shared" ca="1" si="19"/>
        <v>0.21664319554084541</v>
      </c>
      <c r="Z79" s="199">
        <f t="shared" ca="1" si="19"/>
        <v>0.22571667373853616</v>
      </c>
      <c r="AA79" s="199">
        <f t="shared" ca="1" si="20"/>
        <v>0.23568313685606737</v>
      </c>
      <c r="AB79" s="199">
        <f t="shared" ca="1" si="20"/>
        <v>0.24609575990089427</v>
      </c>
      <c r="AC79" s="199">
        <f t="shared" ca="1" si="20"/>
        <v>0.25519347037207391</v>
      </c>
      <c r="AD79" s="199">
        <f t="shared" ca="1" si="20"/>
        <v>0.26498203262462933</v>
      </c>
      <c r="AE79" s="199">
        <f t="shared" ca="1" si="20"/>
        <v>0.27506667421203967</v>
      </c>
      <c r="AF79" s="199">
        <f t="shared" ca="1" si="20"/>
        <v>0.2855012277406474</v>
      </c>
      <c r="AG79" s="199">
        <f t="shared" ca="1" si="20"/>
        <v>0.29582811605653631</v>
      </c>
      <c r="AH79" s="199">
        <f t="shared" ca="1" si="20"/>
        <v>0.30588584134068009</v>
      </c>
      <c r="AI79" s="199">
        <f t="shared" ca="1" si="20"/>
        <v>0.31624861806073584</v>
      </c>
      <c r="AJ79" s="199">
        <f t="shared" ca="1" si="20"/>
        <v>0.3280917914551798</v>
      </c>
      <c r="AK79" s="199">
        <f t="shared" ca="1" si="20"/>
        <v>0.34077834234895432</v>
      </c>
      <c r="AL79" s="199">
        <f t="shared" ca="1" si="20"/>
        <v>0.35407499611457333</v>
      </c>
      <c r="AM79" s="199">
        <f t="shared" ca="1" si="20"/>
        <v>0.440180249953738</v>
      </c>
      <c r="AN79" s="199">
        <f t="shared" ca="1" si="20"/>
        <v>0.56288270400300033</v>
      </c>
      <c r="AO79" s="199">
        <f t="shared" ca="1" si="20"/>
        <v>0.76559087852307472</v>
      </c>
      <c r="AP79" s="199">
        <f t="shared" ca="1" si="20"/>
        <v>0.97439858641150068</v>
      </c>
    </row>
    <row r="80" spans="1:48">
      <c r="A80" s="61" t="str">
        <f>'[4]TS BYDem'!A19</f>
        <v>*</v>
      </c>
      <c r="B80" s="199" t="s">
        <v>288</v>
      </c>
      <c r="C80" s="199" t="s">
        <v>137</v>
      </c>
      <c r="D80" s="199">
        <f>'[4]TS BYDem'!D19</f>
        <v>0</v>
      </c>
      <c r="E80" s="199" t="s">
        <v>137</v>
      </c>
      <c r="F80" s="199" t="s">
        <v>137</v>
      </c>
      <c r="G80" s="199" t="s">
        <v>137</v>
      </c>
      <c r="H80" s="199" t="s">
        <v>137</v>
      </c>
      <c r="I80" s="199">
        <v>0</v>
      </c>
      <c r="J80" s="199" t="str">
        <f>INDEX('[4]TS BYDem'!$J$10:$J$203,MATCH(D80,'[4]TS BYDem'!$D$10:$D$203,0))</f>
        <v/>
      </c>
      <c r="K80" s="199" t="e">
        <f t="shared" ca="1" si="19"/>
        <v>#VALUE!</v>
      </c>
      <c r="L80" s="199" t="e">
        <f t="shared" ca="1" si="19"/>
        <v>#VALUE!</v>
      </c>
      <c r="M80" s="199" t="e">
        <f t="shared" ca="1" si="19"/>
        <v>#VALUE!</v>
      </c>
      <c r="N80" s="199" t="e">
        <f t="shared" ca="1" si="19"/>
        <v>#VALUE!</v>
      </c>
      <c r="O80" s="199" t="e">
        <f t="shared" ca="1" si="19"/>
        <v>#VALUE!</v>
      </c>
      <c r="P80" s="199" t="e">
        <f t="shared" ca="1" si="19"/>
        <v>#VALUE!</v>
      </c>
      <c r="Q80" s="199" t="e">
        <f t="shared" ca="1" si="19"/>
        <v>#VALUE!</v>
      </c>
      <c r="R80" s="199" t="e">
        <f t="shared" ca="1" si="19"/>
        <v>#VALUE!</v>
      </c>
      <c r="S80" s="199" t="e">
        <f t="shared" ca="1" si="19"/>
        <v>#VALUE!</v>
      </c>
      <c r="T80" s="199" t="e">
        <f t="shared" ca="1" si="19"/>
        <v>#VALUE!</v>
      </c>
      <c r="U80" s="199" t="e">
        <f t="shared" ca="1" si="19"/>
        <v>#VALUE!</v>
      </c>
      <c r="V80" s="199" t="e">
        <f t="shared" ca="1" si="19"/>
        <v>#VALUE!</v>
      </c>
      <c r="W80" s="199" t="e">
        <f t="shared" ca="1" si="19"/>
        <v>#VALUE!</v>
      </c>
      <c r="X80" s="199" t="e">
        <f t="shared" ca="1" si="19"/>
        <v>#VALUE!</v>
      </c>
      <c r="Y80" s="199" t="e">
        <f t="shared" ca="1" si="19"/>
        <v>#VALUE!</v>
      </c>
      <c r="Z80" s="199" t="e">
        <f t="shared" ca="1" si="19"/>
        <v>#VALUE!</v>
      </c>
      <c r="AA80" s="199" t="e">
        <f t="shared" ca="1" si="20"/>
        <v>#VALUE!</v>
      </c>
      <c r="AB80" s="199" t="e">
        <f t="shared" ca="1" si="20"/>
        <v>#VALUE!</v>
      </c>
      <c r="AC80" s="199" t="e">
        <f t="shared" ca="1" si="20"/>
        <v>#VALUE!</v>
      </c>
      <c r="AD80" s="199" t="e">
        <f t="shared" ca="1" si="20"/>
        <v>#VALUE!</v>
      </c>
      <c r="AE80" s="199" t="e">
        <f t="shared" ca="1" si="20"/>
        <v>#VALUE!</v>
      </c>
      <c r="AF80" s="199" t="e">
        <f t="shared" ca="1" si="20"/>
        <v>#VALUE!</v>
      </c>
      <c r="AG80" s="199" t="e">
        <f t="shared" ca="1" si="20"/>
        <v>#VALUE!</v>
      </c>
      <c r="AH80" s="199" t="e">
        <f t="shared" ca="1" si="20"/>
        <v>#VALUE!</v>
      </c>
      <c r="AI80" s="199" t="e">
        <f t="shared" ca="1" si="20"/>
        <v>#VALUE!</v>
      </c>
      <c r="AJ80" s="199" t="e">
        <f t="shared" ca="1" si="20"/>
        <v>#VALUE!</v>
      </c>
      <c r="AK80" s="199" t="e">
        <f t="shared" ca="1" si="20"/>
        <v>#VALUE!</v>
      </c>
      <c r="AL80" s="199" t="e">
        <f t="shared" ca="1" si="20"/>
        <v>#VALUE!</v>
      </c>
      <c r="AM80" s="199" t="e">
        <f t="shared" ca="1" si="20"/>
        <v>#VALUE!</v>
      </c>
      <c r="AN80" s="199" t="e">
        <f t="shared" ca="1" si="20"/>
        <v>#VALUE!</v>
      </c>
      <c r="AO80" s="199" t="e">
        <f t="shared" ca="1" si="20"/>
        <v>#VALUE!</v>
      </c>
      <c r="AP80" s="199" t="e">
        <f t="shared" ca="1" si="20"/>
        <v>#VALUE!</v>
      </c>
    </row>
    <row r="81" spans="1:42">
      <c r="A81" s="61" t="str">
        <f>'[4]TS BYDem'!A20</f>
        <v/>
      </c>
      <c r="B81" s="199" t="s">
        <v>288</v>
      </c>
      <c r="C81" s="199" t="s">
        <v>137</v>
      </c>
      <c r="D81" s="199" t="str">
        <f>'[4]TS BYDem'!D20</f>
        <v>IMIS</v>
      </c>
      <c r="E81" s="199" t="s">
        <v>137</v>
      </c>
      <c r="F81" s="199" t="s">
        <v>137</v>
      </c>
      <c r="G81" s="199" t="s">
        <v>137</v>
      </c>
      <c r="H81" s="199" t="s">
        <v>137</v>
      </c>
      <c r="I81" s="199">
        <v>0</v>
      </c>
      <c r="J81" s="199">
        <f>INDEX('[4]TS BYDem'!$J$10:$J$203,MATCH(D81,'[4]TS BYDem'!$D$10:$D$203,0))</f>
        <v>20.275122960000004</v>
      </c>
      <c r="K81" s="199">
        <f t="shared" ca="1" si="19"/>
        <v>20.809992081544721</v>
      </c>
      <c r="L81" s="199">
        <f t="shared" ca="1" si="19"/>
        <v>20.847372842772632</v>
      </c>
      <c r="M81" s="206">
        <f t="shared" ref="M81" si="23">O81</f>
        <v>0.90805719120000006</v>
      </c>
      <c r="N81" s="206">
        <f t="shared" si="22"/>
        <v>0.90805719120000006</v>
      </c>
      <c r="O81" s="206">
        <f>INDEX('[4]TS BYDem'!$O$10:$O$203,MATCH(D81,'[4]TS BYDem'!$D$10:$D$203,0))</f>
        <v>0.90805719120000006</v>
      </c>
      <c r="P81" s="199">
        <f t="shared" ca="1" si="19"/>
        <v>0.90124682142892731</v>
      </c>
      <c r="Q81" s="199">
        <f t="shared" ca="1" si="19"/>
        <v>0.8885490119731656</v>
      </c>
      <c r="R81" s="199">
        <f t="shared" ca="1" si="19"/>
        <v>0.81885211457891727</v>
      </c>
      <c r="S81" s="199">
        <f t="shared" ca="1" si="19"/>
        <v>0.84482586722266384</v>
      </c>
      <c r="T81" s="199">
        <f t="shared" ca="1" si="19"/>
        <v>0.86728132934604618</v>
      </c>
      <c r="U81" s="199">
        <f t="shared" ca="1" si="19"/>
        <v>0.89097194440515592</v>
      </c>
      <c r="V81" s="199">
        <f t="shared" ca="1" si="19"/>
        <v>0.9186751721899219</v>
      </c>
      <c r="W81" s="199">
        <f t="shared" ca="1" si="19"/>
        <v>0.94861963369455038</v>
      </c>
      <c r="X81" s="199">
        <f t="shared" ca="1" si="19"/>
        <v>0.9835785035078346</v>
      </c>
      <c r="Y81" s="199">
        <f t="shared" ca="1" si="19"/>
        <v>1.022445032210519</v>
      </c>
      <c r="Z81" s="199">
        <f t="shared" ca="1" si="19"/>
        <v>1.0652672066385649</v>
      </c>
      <c r="AA81" s="199">
        <f t="shared" ca="1" si="20"/>
        <v>1.1123038129708784</v>
      </c>
      <c r="AB81" s="199">
        <f t="shared" ca="1" si="20"/>
        <v>1.1614460658714862</v>
      </c>
      <c r="AC81" s="199">
        <f t="shared" ca="1" si="20"/>
        <v>1.2043826042313697</v>
      </c>
      <c r="AD81" s="199">
        <f t="shared" ca="1" si="20"/>
        <v>1.2505796095082873</v>
      </c>
      <c r="AE81" s="199">
        <f t="shared" ca="1" si="20"/>
        <v>1.2981739577495517</v>
      </c>
      <c r="AF81" s="199">
        <f t="shared" ca="1" si="20"/>
        <v>1.3474197113123412</v>
      </c>
      <c r="AG81" s="199">
        <f t="shared" ca="1" si="20"/>
        <v>1.3961573401606138</v>
      </c>
      <c r="AH81" s="199">
        <f t="shared" ca="1" si="20"/>
        <v>1.4436246572228388</v>
      </c>
      <c r="AI81" s="199">
        <f t="shared" ca="1" si="20"/>
        <v>1.4925316609756072</v>
      </c>
      <c r="AJ81" s="199">
        <f t="shared" ca="1" si="20"/>
        <v>1.5484253795506455</v>
      </c>
      <c r="AK81" s="199">
        <f t="shared" ca="1" si="20"/>
        <v>1.6082994083879838</v>
      </c>
      <c r="AL81" s="199">
        <f t="shared" ca="1" si="20"/>
        <v>1.6710528106065052</v>
      </c>
      <c r="AM81" s="199">
        <f t="shared" ca="1" si="20"/>
        <v>2.0774255508871073</v>
      </c>
      <c r="AN81" s="199">
        <f t="shared" ca="1" si="20"/>
        <v>2.6565183503147933</v>
      </c>
      <c r="AO81" s="199">
        <f t="shared" ca="1" si="20"/>
        <v>3.6131972134985535</v>
      </c>
      <c r="AP81" s="199">
        <f t="shared" ca="1" si="20"/>
        <v>4.5986627532068365</v>
      </c>
    </row>
    <row r="82" spans="1:42">
      <c r="A82" s="61" t="str">
        <f>'[4]TS BYDem'!A21</f>
        <v>*</v>
      </c>
      <c r="B82" s="199" t="s">
        <v>288</v>
      </c>
      <c r="C82" s="199" t="s">
        <v>137</v>
      </c>
      <c r="D82" s="199" t="str">
        <f>'[4]TS BYDem'!D21</f>
        <v>IMIS</v>
      </c>
      <c r="E82" s="199" t="s">
        <v>137</v>
      </c>
      <c r="F82" s="199" t="s">
        <v>137</v>
      </c>
      <c r="G82" s="199" t="s">
        <v>137</v>
      </c>
      <c r="H82" s="199" t="s">
        <v>137</v>
      </c>
      <c r="I82" s="199">
        <v>0</v>
      </c>
      <c r="J82" s="199">
        <f>INDEX('[4]TS BYDem'!$J$10:$J$203,MATCH(D82,'[4]TS BYDem'!$D$10:$D$203,0))</f>
        <v>20.275122960000004</v>
      </c>
      <c r="K82" s="199">
        <f t="shared" ca="1" si="19"/>
        <v>20.809992081544721</v>
      </c>
      <c r="L82" s="199">
        <f t="shared" ca="1" si="19"/>
        <v>20.847372842772632</v>
      </c>
      <c r="M82" s="199">
        <f t="shared" ca="1" si="19"/>
        <v>21.377183659261441</v>
      </c>
      <c r="N82" s="199">
        <f t="shared" ca="1" si="19"/>
        <v>21.051515231302332</v>
      </c>
      <c r="O82" s="199">
        <f t="shared" ca="1" si="19"/>
        <v>21.595161411752844</v>
      </c>
      <c r="P82" s="199">
        <f t="shared" ca="1" si="19"/>
        <v>21.433199108160839</v>
      </c>
      <c r="Q82" s="199">
        <f t="shared" ca="1" si="19"/>
        <v>21.131223365410005</v>
      </c>
      <c r="R82" s="199">
        <f t="shared" ca="1" si="19"/>
        <v>19.47371130150778</v>
      </c>
      <c r="S82" s="199">
        <f t="shared" ca="1" si="19"/>
        <v>20.091411801263096</v>
      </c>
      <c r="T82" s="199">
        <f t="shared" ca="1" si="19"/>
        <v>20.625441302740981</v>
      </c>
      <c r="U82" s="199">
        <f t="shared" ca="1" si="19"/>
        <v>21.188844864876856</v>
      </c>
      <c r="V82" s="199">
        <f t="shared" ca="1" si="19"/>
        <v>21.847675257319409</v>
      </c>
      <c r="W82" s="199">
        <f t="shared" ca="1" si="19"/>
        <v>22.559806041423343</v>
      </c>
      <c r="X82" s="199">
        <f t="shared" ca="1" si="19"/>
        <v>23.391188077385934</v>
      </c>
      <c r="Y82" s="199">
        <f t="shared" ca="1" si="19"/>
        <v>24.315500960960829</v>
      </c>
      <c r="Z82" s="199">
        <f t="shared" ca="1" si="19"/>
        <v>25.333885901620597</v>
      </c>
      <c r="AA82" s="199">
        <f t="shared" ca="1" si="20"/>
        <v>26.452497279682646</v>
      </c>
      <c r="AB82" s="199">
        <f t="shared" ca="1" si="20"/>
        <v>27.621184553799576</v>
      </c>
      <c r="AC82" s="199">
        <f t="shared" ca="1" si="20"/>
        <v>28.642289265407307</v>
      </c>
      <c r="AD82" s="199">
        <f t="shared" ca="1" si="20"/>
        <v>29.740933486677402</v>
      </c>
      <c r="AE82" s="199">
        <f t="shared" ca="1" si="20"/>
        <v>30.872808926371931</v>
      </c>
      <c r="AF82" s="199">
        <f t="shared" ca="1" si="20"/>
        <v>32.043957624205007</v>
      </c>
      <c r="AG82" s="199">
        <f t="shared" ca="1" si="20"/>
        <v>33.203022242606046</v>
      </c>
      <c r="AH82" s="199">
        <f t="shared" ca="1" si="20"/>
        <v>34.331876662432812</v>
      </c>
      <c r="AI82" s="199">
        <f t="shared" ca="1" si="20"/>
        <v>35.494969307303037</v>
      </c>
      <c r="AJ82" s="199">
        <f t="shared" ca="1" si="20"/>
        <v>36.824218044308189</v>
      </c>
      <c r="AK82" s="199">
        <f t="shared" ca="1" si="20"/>
        <v>38.248125403497291</v>
      </c>
      <c r="AL82" s="199">
        <f t="shared" ca="1" si="20"/>
        <v>39.740509212775599</v>
      </c>
      <c r="AM82" s="199">
        <f t="shared" ca="1" si="20"/>
        <v>49.404751734878012</v>
      </c>
      <c r="AN82" s="199">
        <f t="shared" ca="1" si="20"/>
        <v>63.176574255768479</v>
      </c>
      <c r="AO82" s="199">
        <f t="shared" ca="1" si="20"/>
        <v>85.928042632296339</v>
      </c>
      <c r="AP82" s="199">
        <f t="shared" ca="1" si="20"/>
        <v>109.36410767528909</v>
      </c>
    </row>
    <row r="83" spans="1:42">
      <c r="A83" s="61" t="str">
        <f>'[4]TS BYDem'!A22</f>
        <v>*</v>
      </c>
      <c r="B83" s="199" t="s">
        <v>288</v>
      </c>
      <c r="C83" s="199" t="s">
        <v>137</v>
      </c>
      <c r="D83" s="199" t="str">
        <f>'[4]TS BYDem'!D22</f>
        <v>IMIS</v>
      </c>
      <c r="E83" s="199" t="s">
        <v>137</v>
      </c>
      <c r="F83" s="199" t="s">
        <v>137</v>
      </c>
      <c r="G83" s="199" t="s">
        <v>137</v>
      </c>
      <c r="H83" s="199" t="s">
        <v>137</v>
      </c>
      <c r="I83" s="199">
        <v>0</v>
      </c>
      <c r="J83" s="199">
        <f>INDEX('[4]TS BYDem'!$J$10:$J$203,MATCH(D83,'[4]TS BYDem'!$D$10:$D$203,0))</f>
        <v>20.275122960000004</v>
      </c>
      <c r="K83" s="199">
        <f t="shared" ca="1" si="19"/>
        <v>20.809992081544721</v>
      </c>
      <c r="L83" s="199">
        <f t="shared" ca="1" si="19"/>
        <v>20.847372842772632</v>
      </c>
      <c r="M83" s="199">
        <f t="shared" ca="1" si="19"/>
        <v>21.377183659261441</v>
      </c>
      <c r="N83" s="199">
        <f t="shared" ca="1" si="19"/>
        <v>21.051515231302332</v>
      </c>
      <c r="O83" s="199">
        <f t="shared" ca="1" si="19"/>
        <v>21.595161411752844</v>
      </c>
      <c r="P83" s="199">
        <f t="shared" ca="1" si="19"/>
        <v>21.433199108160839</v>
      </c>
      <c r="Q83" s="199">
        <f t="shared" ca="1" si="19"/>
        <v>21.131223365410005</v>
      </c>
      <c r="R83" s="199">
        <f t="shared" ca="1" si="19"/>
        <v>19.47371130150778</v>
      </c>
      <c r="S83" s="199">
        <f t="shared" ca="1" si="19"/>
        <v>20.091411801263096</v>
      </c>
      <c r="T83" s="199">
        <f t="shared" ca="1" si="19"/>
        <v>20.625441302740981</v>
      </c>
      <c r="U83" s="199">
        <f t="shared" ca="1" si="19"/>
        <v>21.188844864876856</v>
      </c>
      <c r="V83" s="199">
        <f t="shared" ca="1" si="19"/>
        <v>21.847675257319409</v>
      </c>
      <c r="W83" s="199">
        <f t="shared" ca="1" si="19"/>
        <v>22.559806041423343</v>
      </c>
      <c r="X83" s="199">
        <f t="shared" ca="1" si="19"/>
        <v>23.391188077385934</v>
      </c>
      <c r="Y83" s="199">
        <f t="shared" ca="1" si="19"/>
        <v>24.315500960960829</v>
      </c>
      <c r="Z83" s="199">
        <f t="shared" ca="1" si="19"/>
        <v>25.333885901620597</v>
      </c>
      <c r="AA83" s="199">
        <f t="shared" ca="1" si="20"/>
        <v>26.452497279682646</v>
      </c>
      <c r="AB83" s="199">
        <f t="shared" ca="1" si="20"/>
        <v>27.621184553799576</v>
      </c>
      <c r="AC83" s="199">
        <f t="shared" ca="1" si="20"/>
        <v>28.642289265407307</v>
      </c>
      <c r="AD83" s="199">
        <f t="shared" ca="1" si="20"/>
        <v>29.740933486677402</v>
      </c>
      <c r="AE83" s="199">
        <f t="shared" ca="1" si="20"/>
        <v>30.872808926371931</v>
      </c>
      <c r="AF83" s="199">
        <f t="shared" ca="1" si="20"/>
        <v>32.043957624205007</v>
      </c>
      <c r="AG83" s="199">
        <f t="shared" ca="1" si="20"/>
        <v>33.203022242606046</v>
      </c>
      <c r="AH83" s="199">
        <f t="shared" ca="1" si="20"/>
        <v>34.331876662432812</v>
      </c>
      <c r="AI83" s="199">
        <f t="shared" ca="1" si="20"/>
        <v>35.494969307303037</v>
      </c>
      <c r="AJ83" s="199">
        <f t="shared" ca="1" si="20"/>
        <v>36.824218044308189</v>
      </c>
      <c r="AK83" s="199">
        <f t="shared" ca="1" si="20"/>
        <v>38.248125403497291</v>
      </c>
      <c r="AL83" s="199">
        <f t="shared" ca="1" si="20"/>
        <v>39.740509212775599</v>
      </c>
      <c r="AM83" s="199">
        <f t="shared" ca="1" si="20"/>
        <v>49.404751734878012</v>
      </c>
      <c r="AN83" s="199">
        <f t="shared" ca="1" si="20"/>
        <v>63.176574255768479</v>
      </c>
      <c r="AO83" s="199">
        <f t="shared" ca="1" si="20"/>
        <v>85.928042632296339</v>
      </c>
      <c r="AP83" s="199">
        <f t="shared" ca="1" si="20"/>
        <v>109.36410767528909</v>
      </c>
    </row>
    <row r="84" spans="1:42">
      <c r="A84" s="61" t="str">
        <f>'[4]TS BYDem'!A23</f>
        <v>*</v>
      </c>
      <c r="B84" s="199" t="s">
        <v>288</v>
      </c>
      <c r="C84" s="199" t="s">
        <v>137</v>
      </c>
      <c r="D84" s="199" t="str">
        <f>'[4]TS BYDem'!D23</f>
        <v>IMIS</v>
      </c>
      <c r="E84" s="199" t="s">
        <v>137</v>
      </c>
      <c r="F84" s="199" t="s">
        <v>137</v>
      </c>
      <c r="G84" s="199" t="s">
        <v>137</v>
      </c>
      <c r="H84" s="199" t="s">
        <v>137</v>
      </c>
      <c r="I84" s="199">
        <v>0</v>
      </c>
      <c r="J84" s="199">
        <f>INDEX('[4]TS BYDem'!$J$10:$J$203,MATCH(D84,'[4]TS BYDem'!$D$10:$D$203,0))</f>
        <v>20.275122960000004</v>
      </c>
      <c r="K84" s="199">
        <f t="shared" ca="1" si="19"/>
        <v>20.809992081544721</v>
      </c>
      <c r="L84" s="199">
        <f t="shared" ca="1" si="19"/>
        <v>20.847372842772632</v>
      </c>
      <c r="M84" s="199">
        <f t="shared" ca="1" si="19"/>
        <v>21.377183659261441</v>
      </c>
      <c r="N84" s="199">
        <f t="shared" ca="1" si="19"/>
        <v>21.051515231302332</v>
      </c>
      <c r="O84" s="199">
        <f t="shared" ca="1" si="19"/>
        <v>21.595161411752844</v>
      </c>
      <c r="P84" s="199">
        <f t="shared" ca="1" si="19"/>
        <v>21.433199108160839</v>
      </c>
      <c r="Q84" s="199">
        <f t="shared" ca="1" si="19"/>
        <v>21.131223365410005</v>
      </c>
      <c r="R84" s="199">
        <f t="shared" ca="1" si="19"/>
        <v>19.47371130150778</v>
      </c>
      <c r="S84" s="199">
        <f t="shared" ca="1" si="19"/>
        <v>20.091411801263096</v>
      </c>
      <c r="T84" s="199">
        <f t="shared" ca="1" si="19"/>
        <v>20.625441302740981</v>
      </c>
      <c r="U84" s="199">
        <f t="shared" ca="1" si="19"/>
        <v>21.188844864876856</v>
      </c>
      <c r="V84" s="199">
        <f t="shared" ca="1" si="19"/>
        <v>21.847675257319409</v>
      </c>
      <c r="W84" s="199">
        <f t="shared" ca="1" si="19"/>
        <v>22.559806041423343</v>
      </c>
      <c r="X84" s="199">
        <f t="shared" ca="1" si="19"/>
        <v>23.391188077385934</v>
      </c>
      <c r="Y84" s="199">
        <f t="shared" ca="1" si="19"/>
        <v>24.315500960960829</v>
      </c>
      <c r="Z84" s="199">
        <f t="shared" ca="1" si="19"/>
        <v>25.333885901620597</v>
      </c>
      <c r="AA84" s="199">
        <f t="shared" ca="1" si="20"/>
        <v>26.452497279682646</v>
      </c>
      <c r="AB84" s="199">
        <f t="shared" ca="1" si="20"/>
        <v>27.621184553799576</v>
      </c>
      <c r="AC84" s="199">
        <f t="shared" ca="1" si="20"/>
        <v>28.642289265407307</v>
      </c>
      <c r="AD84" s="199">
        <f t="shared" ca="1" si="20"/>
        <v>29.740933486677402</v>
      </c>
      <c r="AE84" s="199">
        <f t="shared" ca="1" si="20"/>
        <v>30.872808926371931</v>
      </c>
      <c r="AF84" s="199">
        <f t="shared" ca="1" si="20"/>
        <v>32.043957624205007</v>
      </c>
      <c r="AG84" s="199">
        <f t="shared" ca="1" si="20"/>
        <v>33.203022242606046</v>
      </c>
      <c r="AH84" s="199">
        <f t="shared" ca="1" si="20"/>
        <v>34.331876662432812</v>
      </c>
      <c r="AI84" s="199">
        <f t="shared" ca="1" si="20"/>
        <v>35.494969307303037</v>
      </c>
      <c r="AJ84" s="199">
        <f t="shared" ca="1" si="20"/>
        <v>36.824218044308189</v>
      </c>
      <c r="AK84" s="199">
        <f t="shared" ca="1" si="20"/>
        <v>38.248125403497291</v>
      </c>
      <c r="AL84" s="199">
        <f t="shared" ca="1" si="20"/>
        <v>39.740509212775599</v>
      </c>
      <c r="AM84" s="199">
        <f t="shared" ca="1" si="20"/>
        <v>49.404751734878012</v>
      </c>
      <c r="AN84" s="199">
        <f t="shared" ca="1" si="20"/>
        <v>63.176574255768479</v>
      </c>
      <c r="AO84" s="199">
        <f t="shared" ca="1" si="20"/>
        <v>85.928042632296339</v>
      </c>
      <c r="AP84" s="199">
        <f t="shared" ca="1" si="20"/>
        <v>109.36410767528909</v>
      </c>
    </row>
    <row r="85" spans="1:42">
      <c r="A85" s="61" t="str">
        <f>'[4]TS BYDem'!A24</f>
        <v>*</v>
      </c>
      <c r="B85" s="199" t="s">
        <v>288</v>
      </c>
      <c r="C85" s="199" t="s">
        <v>137</v>
      </c>
      <c r="D85" s="199" t="str">
        <f>'[4]TS BYDem'!D24</f>
        <v>IMIS</v>
      </c>
      <c r="E85" s="199" t="s">
        <v>137</v>
      </c>
      <c r="F85" s="199" t="s">
        <v>137</v>
      </c>
      <c r="G85" s="199" t="s">
        <v>137</v>
      </c>
      <c r="H85" s="199" t="s">
        <v>137</v>
      </c>
      <c r="I85" s="199">
        <v>0</v>
      </c>
      <c r="J85" s="199">
        <f>INDEX('[4]TS BYDem'!$J$10:$J$203,MATCH(D85,'[4]TS BYDem'!$D$10:$D$203,0))</f>
        <v>20.275122960000004</v>
      </c>
      <c r="K85" s="199">
        <f t="shared" ca="1" si="19"/>
        <v>20.809992081544721</v>
      </c>
      <c r="L85" s="199">
        <f t="shared" ca="1" si="19"/>
        <v>20.847372842772632</v>
      </c>
      <c r="M85" s="199">
        <f t="shared" ca="1" si="19"/>
        <v>21.377183659261441</v>
      </c>
      <c r="N85" s="199">
        <f t="shared" ca="1" si="19"/>
        <v>21.051515231302332</v>
      </c>
      <c r="O85" s="199">
        <f t="shared" ca="1" si="19"/>
        <v>21.595161411752844</v>
      </c>
      <c r="P85" s="199">
        <f t="shared" ca="1" si="19"/>
        <v>21.433199108160839</v>
      </c>
      <c r="Q85" s="199">
        <f t="shared" ca="1" si="19"/>
        <v>21.131223365410005</v>
      </c>
      <c r="R85" s="199">
        <f t="shared" ca="1" si="19"/>
        <v>19.47371130150778</v>
      </c>
      <c r="S85" s="199">
        <f t="shared" ca="1" si="19"/>
        <v>20.091411801263096</v>
      </c>
      <c r="T85" s="199">
        <f t="shared" ca="1" si="19"/>
        <v>20.625441302740981</v>
      </c>
      <c r="U85" s="199">
        <f t="shared" ca="1" si="19"/>
        <v>21.188844864876856</v>
      </c>
      <c r="V85" s="199">
        <f t="shared" ca="1" si="19"/>
        <v>21.847675257319409</v>
      </c>
      <c r="W85" s="199">
        <f t="shared" ca="1" si="19"/>
        <v>22.559806041423343</v>
      </c>
      <c r="X85" s="199">
        <f t="shared" ca="1" si="19"/>
        <v>23.391188077385934</v>
      </c>
      <c r="Y85" s="199">
        <f t="shared" ca="1" si="19"/>
        <v>24.315500960960829</v>
      </c>
      <c r="Z85" s="199">
        <f t="shared" ca="1" si="19"/>
        <v>25.333885901620597</v>
      </c>
      <c r="AA85" s="199">
        <f t="shared" ca="1" si="20"/>
        <v>26.452497279682646</v>
      </c>
      <c r="AB85" s="199">
        <f t="shared" ca="1" si="20"/>
        <v>27.621184553799576</v>
      </c>
      <c r="AC85" s="199">
        <f t="shared" ca="1" si="20"/>
        <v>28.642289265407307</v>
      </c>
      <c r="AD85" s="199">
        <f t="shared" ca="1" si="20"/>
        <v>29.740933486677402</v>
      </c>
      <c r="AE85" s="199">
        <f t="shared" ca="1" si="20"/>
        <v>30.872808926371931</v>
      </c>
      <c r="AF85" s="199">
        <f t="shared" ca="1" si="20"/>
        <v>32.043957624205007</v>
      </c>
      <c r="AG85" s="199">
        <f t="shared" ca="1" si="20"/>
        <v>33.203022242606046</v>
      </c>
      <c r="AH85" s="199">
        <f t="shared" ca="1" si="20"/>
        <v>34.331876662432812</v>
      </c>
      <c r="AI85" s="199">
        <f t="shared" ca="1" si="20"/>
        <v>35.494969307303037</v>
      </c>
      <c r="AJ85" s="199">
        <f t="shared" ca="1" si="20"/>
        <v>36.824218044308189</v>
      </c>
      <c r="AK85" s="199">
        <f t="shared" ca="1" si="20"/>
        <v>38.248125403497291</v>
      </c>
      <c r="AL85" s="199">
        <f t="shared" ca="1" si="20"/>
        <v>39.740509212775599</v>
      </c>
      <c r="AM85" s="199">
        <f t="shared" ca="1" si="20"/>
        <v>49.404751734878012</v>
      </c>
      <c r="AN85" s="199">
        <f t="shared" ca="1" si="20"/>
        <v>63.176574255768479</v>
      </c>
      <c r="AO85" s="199">
        <f t="shared" ca="1" si="20"/>
        <v>85.928042632296339</v>
      </c>
      <c r="AP85" s="199">
        <f t="shared" ca="1" si="20"/>
        <v>109.36410767528909</v>
      </c>
    </row>
    <row r="86" spans="1:42">
      <c r="A86" s="61" t="str">
        <f>'[4]TS BYDem'!A25</f>
        <v>*</v>
      </c>
      <c r="B86" s="199" t="s">
        <v>288</v>
      </c>
      <c r="C86" s="199" t="s">
        <v>137</v>
      </c>
      <c r="D86" s="199" t="str">
        <f>'[4]TS BYDem'!D25</f>
        <v>IMIS</v>
      </c>
      <c r="E86" s="199" t="s">
        <v>137</v>
      </c>
      <c r="F86" s="199" t="s">
        <v>137</v>
      </c>
      <c r="G86" s="199" t="s">
        <v>137</v>
      </c>
      <c r="H86" s="199" t="s">
        <v>137</v>
      </c>
      <c r="I86" s="199">
        <v>0</v>
      </c>
      <c r="J86" s="199">
        <f>INDEX('[4]TS BYDem'!$J$10:$J$203,MATCH(D86,'[4]TS BYDem'!$D$10:$D$203,0))</f>
        <v>20.275122960000004</v>
      </c>
      <c r="K86" s="199">
        <f t="shared" ca="1" si="19"/>
        <v>20.809992081544721</v>
      </c>
      <c r="L86" s="199">
        <f t="shared" ca="1" si="19"/>
        <v>20.847372842772632</v>
      </c>
      <c r="M86" s="199">
        <f t="shared" ca="1" si="19"/>
        <v>21.377183659261441</v>
      </c>
      <c r="N86" s="199">
        <f t="shared" ca="1" si="19"/>
        <v>21.051515231302332</v>
      </c>
      <c r="O86" s="199">
        <f t="shared" ca="1" si="19"/>
        <v>21.595161411752844</v>
      </c>
      <c r="P86" s="199">
        <f t="shared" ca="1" si="19"/>
        <v>21.433199108160839</v>
      </c>
      <c r="Q86" s="199">
        <f t="shared" ca="1" si="19"/>
        <v>21.131223365410005</v>
      </c>
      <c r="R86" s="199">
        <f t="shared" ca="1" si="19"/>
        <v>19.47371130150778</v>
      </c>
      <c r="S86" s="199">
        <f t="shared" ca="1" si="19"/>
        <v>20.091411801263096</v>
      </c>
      <c r="T86" s="199">
        <f t="shared" ca="1" si="19"/>
        <v>20.625441302740981</v>
      </c>
      <c r="U86" s="199">
        <f t="shared" ca="1" si="19"/>
        <v>21.188844864876856</v>
      </c>
      <c r="V86" s="199">
        <f t="shared" ca="1" si="19"/>
        <v>21.847675257319409</v>
      </c>
      <c r="W86" s="199">
        <f t="shared" ca="1" si="19"/>
        <v>22.559806041423343</v>
      </c>
      <c r="X86" s="199">
        <f t="shared" ca="1" si="19"/>
        <v>23.391188077385934</v>
      </c>
      <c r="Y86" s="199">
        <f t="shared" ca="1" si="19"/>
        <v>24.315500960960829</v>
      </c>
      <c r="Z86" s="199">
        <f t="shared" ca="1" si="19"/>
        <v>25.333885901620597</v>
      </c>
      <c r="AA86" s="199">
        <f t="shared" ca="1" si="20"/>
        <v>26.452497279682646</v>
      </c>
      <c r="AB86" s="199">
        <f t="shared" ca="1" si="20"/>
        <v>27.621184553799576</v>
      </c>
      <c r="AC86" s="199">
        <f t="shared" ca="1" si="20"/>
        <v>28.642289265407307</v>
      </c>
      <c r="AD86" s="199">
        <f t="shared" ca="1" si="20"/>
        <v>29.740933486677402</v>
      </c>
      <c r="AE86" s="199">
        <f t="shared" ca="1" si="20"/>
        <v>30.872808926371931</v>
      </c>
      <c r="AF86" s="199">
        <f t="shared" ca="1" si="20"/>
        <v>32.043957624205007</v>
      </c>
      <c r="AG86" s="199">
        <f t="shared" ca="1" si="20"/>
        <v>33.203022242606046</v>
      </c>
      <c r="AH86" s="199">
        <f t="shared" ca="1" si="20"/>
        <v>34.331876662432812</v>
      </c>
      <c r="AI86" s="199">
        <f t="shared" ca="1" si="20"/>
        <v>35.494969307303037</v>
      </c>
      <c r="AJ86" s="199">
        <f t="shared" ca="1" si="20"/>
        <v>36.824218044308189</v>
      </c>
      <c r="AK86" s="199">
        <f t="shared" ca="1" si="20"/>
        <v>38.248125403497291</v>
      </c>
      <c r="AL86" s="199">
        <f t="shared" ca="1" si="20"/>
        <v>39.740509212775599</v>
      </c>
      <c r="AM86" s="199">
        <f t="shared" ca="1" si="20"/>
        <v>49.404751734878012</v>
      </c>
      <c r="AN86" s="199">
        <f t="shared" ca="1" si="20"/>
        <v>63.176574255768479</v>
      </c>
      <c r="AO86" s="199">
        <f t="shared" ca="1" si="20"/>
        <v>85.928042632296339</v>
      </c>
      <c r="AP86" s="199">
        <f t="shared" ref="AP86:AP90" ca="1" si="24">AP$70/AO$70*AO86</f>
        <v>109.36410767528909</v>
      </c>
    </row>
    <row r="87" spans="1:42">
      <c r="A87" s="61" t="str">
        <f>'[4]TS BYDem'!A26</f>
        <v>*</v>
      </c>
      <c r="B87" s="199" t="s">
        <v>288</v>
      </c>
      <c r="C87" s="199" t="s">
        <v>137</v>
      </c>
      <c r="D87" s="199">
        <f>'[4]TS BYDem'!D26</f>
        <v>0</v>
      </c>
      <c r="E87" s="199" t="s">
        <v>137</v>
      </c>
      <c r="F87" s="199" t="s">
        <v>137</v>
      </c>
      <c r="G87" s="199" t="s">
        <v>137</v>
      </c>
      <c r="H87" s="199" t="s">
        <v>137</v>
      </c>
      <c r="I87" s="199">
        <v>0</v>
      </c>
      <c r="J87" s="199" t="str">
        <f>INDEX('[4]TS BYDem'!$J$10:$J$203,MATCH(D87,'[4]TS BYDem'!$D$10:$D$203,0))</f>
        <v/>
      </c>
      <c r="K87" s="199" t="e">
        <f t="shared" ref="K87:Z90" ca="1" si="25">K$70/J$70*J87</f>
        <v>#VALUE!</v>
      </c>
      <c r="L87" s="199" t="e">
        <f t="shared" ca="1" si="25"/>
        <v>#VALUE!</v>
      </c>
      <c r="M87" s="199" t="e">
        <f t="shared" ca="1" si="25"/>
        <v>#VALUE!</v>
      </c>
      <c r="N87" s="199" t="e">
        <f t="shared" ca="1" si="25"/>
        <v>#VALUE!</v>
      </c>
      <c r="O87" s="199" t="e">
        <f t="shared" ca="1" si="25"/>
        <v>#VALUE!</v>
      </c>
      <c r="P87" s="199" t="e">
        <f t="shared" ca="1" si="25"/>
        <v>#VALUE!</v>
      </c>
      <c r="Q87" s="199" t="e">
        <f t="shared" ca="1" si="25"/>
        <v>#VALUE!</v>
      </c>
      <c r="R87" s="199" t="e">
        <f t="shared" ca="1" si="25"/>
        <v>#VALUE!</v>
      </c>
      <c r="S87" s="199" t="e">
        <f t="shared" ca="1" si="25"/>
        <v>#VALUE!</v>
      </c>
      <c r="T87" s="199" t="e">
        <f t="shared" ca="1" si="25"/>
        <v>#VALUE!</v>
      </c>
      <c r="U87" s="199" t="e">
        <f t="shared" ca="1" si="25"/>
        <v>#VALUE!</v>
      </c>
      <c r="V87" s="199" t="e">
        <f t="shared" ca="1" si="25"/>
        <v>#VALUE!</v>
      </c>
      <c r="W87" s="199" t="e">
        <f t="shared" ca="1" si="25"/>
        <v>#VALUE!</v>
      </c>
      <c r="X87" s="199" t="e">
        <f t="shared" ca="1" si="25"/>
        <v>#VALUE!</v>
      </c>
      <c r="Y87" s="199" t="e">
        <f t="shared" ca="1" si="25"/>
        <v>#VALUE!</v>
      </c>
      <c r="Z87" s="199" t="e">
        <f t="shared" ca="1" si="25"/>
        <v>#VALUE!</v>
      </c>
      <c r="AA87" s="199" t="e">
        <f t="shared" ref="AA87:AO90" ca="1" si="26">AA$70/Z$70*Z87</f>
        <v>#VALUE!</v>
      </c>
      <c r="AB87" s="199" t="e">
        <f t="shared" ca="1" si="26"/>
        <v>#VALUE!</v>
      </c>
      <c r="AC87" s="199" t="e">
        <f t="shared" ca="1" si="26"/>
        <v>#VALUE!</v>
      </c>
      <c r="AD87" s="199" t="e">
        <f t="shared" ca="1" si="26"/>
        <v>#VALUE!</v>
      </c>
      <c r="AE87" s="199" t="e">
        <f t="shared" ca="1" si="26"/>
        <v>#VALUE!</v>
      </c>
      <c r="AF87" s="199" t="e">
        <f t="shared" ca="1" si="26"/>
        <v>#VALUE!</v>
      </c>
      <c r="AG87" s="199" t="e">
        <f t="shared" ca="1" si="26"/>
        <v>#VALUE!</v>
      </c>
      <c r="AH87" s="199" t="e">
        <f t="shared" ca="1" si="26"/>
        <v>#VALUE!</v>
      </c>
      <c r="AI87" s="199" t="e">
        <f t="shared" ca="1" si="26"/>
        <v>#VALUE!</v>
      </c>
      <c r="AJ87" s="199" t="e">
        <f t="shared" ca="1" si="26"/>
        <v>#VALUE!</v>
      </c>
      <c r="AK87" s="199" t="e">
        <f t="shared" ca="1" si="26"/>
        <v>#VALUE!</v>
      </c>
      <c r="AL87" s="199" t="e">
        <f t="shared" ca="1" si="26"/>
        <v>#VALUE!</v>
      </c>
      <c r="AM87" s="199" t="e">
        <f t="shared" ca="1" si="26"/>
        <v>#VALUE!</v>
      </c>
      <c r="AN87" s="199" t="e">
        <f t="shared" ca="1" si="26"/>
        <v>#VALUE!</v>
      </c>
      <c r="AO87" s="199" t="e">
        <f t="shared" ca="1" si="26"/>
        <v>#VALUE!</v>
      </c>
      <c r="AP87" s="199" t="e">
        <f t="shared" ca="1" si="24"/>
        <v>#VALUE!</v>
      </c>
    </row>
    <row r="88" spans="1:42">
      <c r="A88" s="61" t="str">
        <f>'[4]TS BYDem'!A27</f>
        <v/>
      </c>
      <c r="B88" s="199" t="s">
        <v>288</v>
      </c>
      <c r="C88" s="199" t="s">
        <v>137</v>
      </c>
      <c r="D88" s="199" t="str">
        <f>'[4]TS BYDem'!D27</f>
        <v>IMIR</v>
      </c>
      <c r="E88" s="199" t="s">
        <v>137</v>
      </c>
      <c r="F88" s="199" t="s">
        <v>137</v>
      </c>
      <c r="G88" s="199" t="s">
        <v>137</v>
      </c>
      <c r="H88" s="199" t="s">
        <v>137</v>
      </c>
      <c r="I88" s="199">
        <v>0</v>
      </c>
      <c r="J88" s="199">
        <f>INDEX('[4]TS BYDem'!$J$10:$J$203,MATCH(D88,'[4]TS BYDem'!$D$10:$D$203,0))</f>
        <v>51.488523217763458</v>
      </c>
      <c r="K88" s="199">
        <f t="shared" ca="1" si="25"/>
        <v>52.846819354238278</v>
      </c>
      <c r="L88" s="199">
        <f t="shared" ca="1" si="25"/>
        <v>52.941747517987423</v>
      </c>
      <c r="M88" s="206">
        <f t="shared" ref="M88" si="27">O88</f>
        <v>46.045999999999999</v>
      </c>
      <c r="N88" s="206">
        <f t="shared" ref="N88" si="28">O88</f>
        <v>46.045999999999999</v>
      </c>
      <c r="O88" s="206">
        <f>INDEX('[4]TS BYDem'!$O$10:$O$203,MATCH(D88,'[4]TS BYDem'!$D$10:$D$203,0))</f>
        <v>46.045999999999999</v>
      </c>
      <c r="P88" s="199">
        <f t="shared" ca="1" si="25"/>
        <v>45.700658000049089</v>
      </c>
      <c r="Q88" s="199">
        <f t="shared" ca="1" si="25"/>
        <v>45.056774178780799</v>
      </c>
      <c r="R88" s="199">
        <f t="shared" ca="1" si="25"/>
        <v>41.52256579574437</v>
      </c>
      <c r="S88" s="199">
        <f t="shared" ca="1" si="25"/>
        <v>42.839649593796182</v>
      </c>
      <c r="T88" s="199">
        <f t="shared" ca="1" si="25"/>
        <v>43.978327001952437</v>
      </c>
      <c r="U88" s="199">
        <f t="shared" ca="1" si="25"/>
        <v>45.1796368661144</v>
      </c>
      <c r="V88" s="199">
        <f t="shared" ca="1" si="25"/>
        <v>46.584419339002032</v>
      </c>
      <c r="W88" s="199">
        <f t="shared" ca="1" si="25"/>
        <v>48.102850873716278</v>
      </c>
      <c r="X88" s="199">
        <f t="shared" ca="1" si="25"/>
        <v>49.875554327884444</v>
      </c>
      <c r="Y88" s="199">
        <f t="shared" ca="1" si="25"/>
        <v>51.846408364378313</v>
      </c>
      <c r="Z88" s="199">
        <f t="shared" ca="1" si="25"/>
        <v>54.017846312144663</v>
      </c>
      <c r="AA88" s="199">
        <f t="shared" ca="1" si="26"/>
        <v>56.402990767986189</v>
      </c>
      <c r="AB88" s="199">
        <f t="shared" ca="1" si="26"/>
        <v>58.894908897141782</v>
      </c>
      <c r="AC88" s="199">
        <f t="shared" ca="1" si="26"/>
        <v>61.072146040879957</v>
      </c>
      <c r="AD88" s="199">
        <f t="shared" ca="1" si="26"/>
        <v>63.414715788243406</v>
      </c>
      <c r="AE88" s="199">
        <f t="shared" ca="1" si="26"/>
        <v>65.828142365727089</v>
      </c>
      <c r="AF88" s="199">
        <f t="shared" ca="1" si="26"/>
        <v>68.3253088333541</v>
      </c>
      <c r="AG88" s="199">
        <f t="shared" ca="1" si="26"/>
        <v>70.796709180926797</v>
      </c>
      <c r="AH88" s="199">
        <f t="shared" ca="1" si="26"/>
        <v>73.203694228376108</v>
      </c>
      <c r="AI88" s="199">
        <f t="shared" ca="1" si="26"/>
        <v>75.683683282616158</v>
      </c>
      <c r="AJ88" s="199">
        <f t="shared" ca="1" si="26"/>
        <v>78.517956487484554</v>
      </c>
      <c r="AK88" s="199">
        <f t="shared" ca="1" si="26"/>
        <v>81.554064299373309</v>
      </c>
      <c r="AL88" s="199">
        <f t="shared" ca="1" si="26"/>
        <v>84.73618012484846</v>
      </c>
      <c r="AM88" s="199">
        <f t="shared" ca="1" si="26"/>
        <v>105.34263463046486</v>
      </c>
      <c r="AN88" s="199">
        <f t="shared" ca="1" si="26"/>
        <v>134.70742277471103</v>
      </c>
      <c r="AO88" s="199">
        <f t="shared" ca="1" si="26"/>
        <v>183.21894315146793</v>
      </c>
      <c r="AP88" s="199">
        <f t="shared" ca="1" si="24"/>
        <v>233.19018580133024</v>
      </c>
    </row>
    <row r="89" spans="1:42">
      <c r="A89" s="61" t="str">
        <f>'[4]TS BYDem'!A28</f>
        <v>*</v>
      </c>
      <c r="B89" s="199" t="s">
        <v>288</v>
      </c>
      <c r="C89" s="199" t="s">
        <v>137</v>
      </c>
      <c r="D89" s="199" t="str">
        <f>'[4]TS BYDem'!D28</f>
        <v>Useful Energy Service</v>
      </c>
      <c r="E89" s="199" t="s">
        <v>137</v>
      </c>
      <c r="F89" s="199" t="s">
        <v>137</v>
      </c>
      <c r="G89" s="199" t="s">
        <v>137</v>
      </c>
      <c r="H89" s="199" t="s">
        <v>137</v>
      </c>
      <c r="I89" s="199">
        <v>0</v>
      </c>
      <c r="J89" s="199" t="str">
        <f>INDEX('[4]TS BYDem'!$J$10:$J$203,MATCH(D89,'[4]TS BYDem'!$D$10:$D$203,0))</f>
        <v/>
      </c>
      <c r="K89" s="199" t="e">
        <f t="shared" ca="1" si="25"/>
        <v>#VALUE!</v>
      </c>
      <c r="L89" s="199" t="e">
        <f t="shared" ca="1" si="25"/>
        <v>#VALUE!</v>
      </c>
      <c r="M89" s="199" t="e">
        <f t="shared" ca="1" si="25"/>
        <v>#VALUE!</v>
      </c>
      <c r="N89" s="199" t="e">
        <f t="shared" ca="1" si="25"/>
        <v>#VALUE!</v>
      </c>
      <c r="O89" s="199" t="e">
        <f t="shared" ca="1" si="25"/>
        <v>#VALUE!</v>
      </c>
      <c r="P89" s="199" t="e">
        <f t="shared" ca="1" si="25"/>
        <v>#VALUE!</v>
      </c>
      <c r="Q89" s="199" t="e">
        <f t="shared" ca="1" si="25"/>
        <v>#VALUE!</v>
      </c>
      <c r="R89" s="199" t="e">
        <f t="shared" ca="1" si="25"/>
        <v>#VALUE!</v>
      </c>
      <c r="S89" s="199" t="e">
        <f t="shared" ca="1" si="25"/>
        <v>#VALUE!</v>
      </c>
      <c r="T89" s="199" t="e">
        <f t="shared" ca="1" si="25"/>
        <v>#VALUE!</v>
      </c>
      <c r="U89" s="199" t="e">
        <f t="shared" ca="1" si="25"/>
        <v>#VALUE!</v>
      </c>
      <c r="V89" s="199" t="e">
        <f t="shared" ca="1" si="25"/>
        <v>#VALUE!</v>
      </c>
      <c r="W89" s="199" t="e">
        <f t="shared" ca="1" si="25"/>
        <v>#VALUE!</v>
      </c>
      <c r="X89" s="199" t="e">
        <f t="shared" ca="1" si="25"/>
        <v>#VALUE!</v>
      </c>
      <c r="Y89" s="199" t="e">
        <f t="shared" ca="1" si="25"/>
        <v>#VALUE!</v>
      </c>
      <c r="Z89" s="199" t="e">
        <f t="shared" ca="1" si="25"/>
        <v>#VALUE!</v>
      </c>
      <c r="AA89" s="199" t="e">
        <f t="shared" ca="1" si="26"/>
        <v>#VALUE!</v>
      </c>
      <c r="AB89" s="199" t="e">
        <f t="shared" ca="1" si="26"/>
        <v>#VALUE!</v>
      </c>
      <c r="AC89" s="199" t="e">
        <f t="shared" ca="1" si="26"/>
        <v>#VALUE!</v>
      </c>
      <c r="AD89" s="199" t="e">
        <f t="shared" ca="1" si="26"/>
        <v>#VALUE!</v>
      </c>
      <c r="AE89" s="199" t="e">
        <f t="shared" ca="1" si="26"/>
        <v>#VALUE!</v>
      </c>
      <c r="AF89" s="199" t="e">
        <f t="shared" ca="1" si="26"/>
        <v>#VALUE!</v>
      </c>
      <c r="AG89" s="199" t="e">
        <f t="shared" ca="1" si="26"/>
        <v>#VALUE!</v>
      </c>
      <c r="AH89" s="199" t="e">
        <f t="shared" ca="1" si="26"/>
        <v>#VALUE!</v>
      </c>
      <c r="AI89" s="199" t="e">
        <f t="shared" ca="1" si="26"/>
        <v>#VALUE!</v>
      </c>
      <c r="AJ89" s="199" t="e">
        <f t="shared" ca="1" si="26"/>
        <v>#VALUE!</v>
      </c>
      <c r="AK89" s="199" t="e">
        <f t="shared" ca="1" si="26"/>
        <v>#VALUE!</v>
      </c>
      <c r="AL89" s="199" t="e">
        <f t="shared" ca="1" si="26"/>
        <v>#VALUE!</v>
      </c>
      <c r="AM89" s="199" t="e">
        <f t="shared" ca="1" si="26"/>
        <v>#VALUE!</v>
      </c>
      <c r="AN89" s="199" t="e">
        <f t="shared" ca="1" si="26"/>
        <v>#VALUE!</v>
      </c>
      <c r="AO89" s="199" t="e">
        <f t="shared" ca="1" si="26"/>
        <v>#VALUE!</v>
      </c>
      <c r="AP89" s="199" t="e">
        <f t="shared" ca="1" si="24"/>
        <v>#VALUE!</v>
      </c>
    </row>
    <row r="90" spans="1:42">
      <c r="A90" s="61" t="str">
        <f>'[4]TS BYDem'!A29</f>
        <v>*</v>
      </c>
      <c r="B90" s="199" t="s">
        <v>288</v>
      </c>
      <c r="C90" s="199" t="s">
        <v>137</v>
      </c>
      <c r="D90" s="199">
        <f>'[4]TS BYDem'!D29</f>
        <v>0</v>
      </c>
      <c r="E90" s="199" t="s">
        <v>137</v>
      </c>
      <c r="F90" s="199" t="s">
        <v>137</v>
      </c>
      <c r="G90" s="199" t="s">
        <v>137</v>
      </c>
      <c r="H90" s="199" t="s">
        <v>137</v>
      </c>
      <c r="I90" s="199">
        <v>0</v>
      </c>
      <c r="J90" s="199" t="str">
        <f>INDEX('[4]TS BYDem'!$J$10:$J$203,MATCH(D90,'[4]TS BYDem'!$D$10:$D$203,0))</f>
        <v/>
      </c>
      <c r="K90" s="199" t="e">
        <f t="shared" ca="1" si="25"/>
        <v>#VALUE!</v>
      </c>
      <c r="L90" s="199" t="e">
        <f t="shared" ca="1" si="25"/>
        <v>#VALUE!</v>
      </c>
      <c r="M90" s="199" t="e">
        <f t="shared" ca="1" si="25"/>
        <v>#VALUE!</v>
      </c>
      <c r="N90" s="199" t="e">
        <f t="shared" ca="1" si="25"/>
        <v>#VALUE!</v>
      </c>
      <c r="O90" s="199" t="e">
        <f t="shared" ca="1" si="25"/>
        <v>#VALUE!</v>
      </c>
      <c r="P90" s="199" t="e">
        <f t="shared" ca="1" si="25"/>
        <v>#VALUE!</v>
      </c>
      <c r="Q90" s="199" t="e">
        <f t="shared" ca="1" si="25"/>
        <v>#VALUE!</v>
      </c>
      <c r="R90" s="199" t="e">
        <f t="shared" ca="1" si="25"/>
        <v>#VALUE!</v>
      </c>
      <c r="S90" s="199" t="e">
        <f t="shared" ca="1" si="25"/>
        <v>#VALUE!</v>
      </c>
      <c r="T90" s="199" t="e">
        <f t="shared" ca="1" si="25"/>
        <v>#VALUE!</v>
      </c>
      <c r="U90" s="199" t="e">
        <f t="shared" ca="1" si="25"/>
        <v>#VALUE!</v>
      </c>
      <c r="V90" s="199" t="e">
        <f t="shared" ca="1" si="25"/>
        <v>#VALUE!</v>
      </c>
      <c r="W90" s="199" t="e">
        <f t="shared" ca="1" si="25"/>
        <v>#VALUE!</v>
      </c>
      <c r="X90" s="199" t="e">
        <f t="shared" ca="1" si="25"/>
        <v>#VALUE!</v>
      </c>
      <c r="Y90" s="199" t="e">
        <f t="shared" ca="1" si="25"/>
        <v>#VALUE!</v>
      </c>
      <c r="Z90" s="199" t="e">
        <f t="shared" ca="1" si="25"/>
        <v>#VALUE!</v>
      </c>
      <c r="AA90" s="199" t="e">
        <f t="shared" ca="1" si="26"/>
        <v>#VALUE!</v>
      </c>
      <c r="AB90" s="199" t="e">
        <f t="shared" ca="1" si="26"/>
        <v>#VALUE!</v>
      </c>
      <c r="AC90" s="199" t="e">
        <f t="shared" ca="1" si="26"/>
        <v>#VALUE!</v>
      </c>
      <c r="AD90" s="199" t="e">
        <f t="shared" ca="1" si="26"/>
        <v>#VALUE!</v>
      </c>
      <c r="AE90" s="199" t="e">
        <f t="shared" ca="1" si="26"/>
        <v>#VALUE!</v>
      </c>
      <c r="AF90" s="199" t="e">
        <f t="shared" ca="1" si="26"/>
        <v>#VALUE!</v>
      </c>
      <c r="AG90" s="199" t="e">
        <f t="shared" ca="1" si="26"/>
        <v>#VALUE!</v>
      </c>
      <c r="AH90" s="199" t="e">
        <f t="shared" ca="1" si="26"/>
        <v>#VALUE!</v>
      </c>
      <c r="AI90" s="199" t="e">
        <f t="shared" ca="1" si="26"/>
        <v>#VALUE!</v>
      </c>
      <c r="AJ90" s="199" t="e">
        <f t="shared" ca="1" si="26"/>
        <v>#VALUE!</v>
      </c>
      <c r="AK90" s="199" t="e">
        <f t="shared" ca="1" si="26"/>
        <v>#VALUE!</v>
      </c>
      <c r="AL90" s="199" t="e">
        <f t="shared" ca="1" si="26"/>
        <v>#VALUE!</v>
      </c>
      <c r="AM90" s="199" t="e">
        <f t="shared" ca="1" si="26"/>
        <v>#VALUE!</v>
      </c>
      <c r="AN90" s="199" t="e">
        <f t="shared" ca="1" si="26"/>
        <v>#VALUE!</v>
      </c>
      <c r="AO90" s="199" t="e">
        <f t="shared" ca="1" si="26"/>
        <v>#VALUE!</v>
      </c>
      <c r="AP90" s="199" t="e">
        <f t="shared" ca="1" si="24"/>
        <v>#VALUE!</v>
      </c>
    </row>
    <row r="91" spans="1:42" s="5" customFormat="1">
      <c r="A91" s="61"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198.29404481500649</v>
      </c>
      <c r="T91" s="5">
        <f t="shared" ca="1" si="29"/>
        <v>202.649007220024</v>
      </c>
      <c r="U91" s="5">
        <f t="shared" ca="1" si="29"/>
        <v>207.25227888500945</v>
      </c>
      <c r="V91" s="5">
        <f t="shared" ca="1" si="29"/>
        <v>212.74373367223615</v>
      </c>
      <c r="W91" s="5">
        <f t="shared" ca="1" si="29"/>
        <v>218.7031559109507</v>
      </c>
      <c r="X91" s="5">
        <f t="shared" ca="1" si="29"/>
        <v>225.76086910726582</v>
      </c>
      <c r="Y91" s="5">
        <f t="shared" ca="1" si="29"/>
        <v>233.64946328888254</v>
      </c>
      <c r="Z91" s="5">
        <f t="shared" ca="1" si="29"/>
        <v>242.36893845579499</v>
      </c>
      <c r="AA91" s="5">
        <f t="shared" ca="1" si="29"/>
        <v>251.96704638876358</v>
      </c>
      <c r="AB91" s="5">
        <f t="shared" ca="1" si="29"/>
        <v>261.95671892397382</v>
      </c>
      <c r="AC91" s="5">
        <f t="shared" ca="1" si="29"/>
        <v>271.64078006224878</v>
      </c>
      <c r="AD91" s="5">
        <f t="shared" ca="1" si="29"/>
        <v>282.06021862427485</v>
      </c>
      <c r="AE91" s="5">
        <f t="shared" ca="1" si="29"/>
        <v>292.79481893931535</v>
      </c>
      <c r="AF91" s="5">
        <f t="shared" ca="1" si="29"/>
        <v>303.90188314428747</v>
      </c>
      <c r="AG91" s="5">
        <f t="shared" ca="1" si="29"/>
        <v>314.89434307538914</v>
      </c>
      <c r="AH91" s="5">
        <f t="shared" ca="1" si="29"/>
        <v>325.60029232186952</v>
      </c>
      <c r="AI91" s="5">
        <f t="shared" ca="1" si="29"/>
        <v>336.6309536775172</v>
      </c>
      <c r="AJ91" s="5">
        <f t="shared" ca="1" si="29"/>
        <v>349.23742379835801</v>
      </c>
      <c r="AK91" s="5">
        <f t="shared" ca="1" si="29"/>
        <v>362.74162739753228</v>
      </c>
      <c r="AL91" s="5">
        <f t="shared" ca="1" si="29"/>
        <v>376.895255215063</v>
      </c>
      <c r="AM91" s="5">
        <f t="shared" ca="1" si="29"/>
        <v>468.55002320824985</v>
      </c>
      <c r="AN91" s="5">
        <f t="shared" ca="1" si="29"/>
        <v>599.16069394718772</v>
      </c>
      <c r="AO91" s="5">
        <f t="shared" ca="1" si="29"/>
        <v>814.93348222168424</v>
      </c>
      <c r="AP91" s="5">
        <f t="shared" ca="1" si="29"/>
        <v>1037.1989209538078</v>
      </c>
    </row>
    <row r="92" spans="1:42">
      <c r="A92" s="61" t="str">
        <f>'[4]TS BYDem'!A31</f>
        <v>*</v>
      </c>
      <c r="B92" s="199" t="s">
        <v>288</v>
      </c>
      <c r="C92" s="199" t="s">
        <v>137</v>
      </c>
      <c r="D92" s="199" t="str">
        <f>'[4]TS BYDem'!D31</f>
        <v>IFAK</v>
      </c>
      <c r="E92" s="199" t="s">
        <v>137</v>
      </c>
      <c r="F92" s="199" t="s">
        <v>137</v>
      </c>
      <c r="G92" s="199" t="s">
        <v>137</v>
      </c>
      <c r="H92" s="199" t="s">
        <v>137</v>
      </c>
      <c r="I92" s="199">
        <v>0</v>
      </c>
      <c r="J92" s="199" t="str">
        <f>INDEX('[4]TS BYDem'!$J$10:$J$203,MATCH(D92,'[4]TS BYDem'!$D$10:$D$203,0))</f>
        <v/>
      </c>
      <c r="K92" s="199" t="e">
        <f ca="1">K$91/J$91*J92</f>
        <v>#VALUE!</v>
      </c>
      <c r="L92" s="199" t="e">
        <f t="shared" ref="L92:AP107" ca="1" si="30">L$91/K$91*K92</f>
        <v>#VALUE!</v>
      </c>
      <c r="M92" s="199" t="e">
        <f t="shared" ca="1" si="30"/>
        <v>#VALUE!</v>
      </c>
      <c r="N92" s="199" t="e">
        <f t="shared" ca="1" si="30"/>
        <v>#VALUE!</v>
      </c>
      <c r="O92" s="199" t="e">
        <f t="shared" ca="1" si="30"/>
        <v>#VALUE!</v>
      </c>
      <c r="P92" s="199" t="e">
        <f t="shared" ca="1" si="30"/>
        <v>#VALUE!</v>
      </c>
      <c r="Q92" s="199" t="e">
        <f t="shared" ca="1" si="30"/>
        <v>#VALUE!</v>
      </c>
      <c r="R92" s="199" t="e">
        <f t="shared" ca="1" si="30"/>
        <v>#VALUE!</v>
      </c>
      <c r="S92" s="199" t="e">
        <f t="shared" ca="1" si="30"/>
        <v>#VALUE!</v>
      </c>
      <c r="T92" s="199" t="e">
        <f t="shared" ca="1" si="30"/>
        <v>#VALUE!</v>
      </c>
      <c r="U92" s="199" t="e">
        <f t="shared" ca="1" si="30"/>
        <v>#VALUE!</v>
      </c>
      <c r="V92" s="199" t="e">
        <f t="shared" ca="1" si="30"/>
        <v>#VALUE!</v>
      </c>
      <c r="W92" s="199" t="e">
        <f t="shared" ca="1" si="30"/>
        <v>#VALUE!</v>
      </c>
      <c r="X92" s="199" t="e">
        <f t="shared" ca="1" si="30"/>
        <v>#VALUE!</v>
      </c>
      <c r="Y92" s="199" t="e">
        <f t="shared" ca="1" si="30"/>
        <v>#VALUE!</v>
      </c>
      <c r="Z92" s="199" t="e">
        <f t="shared" ca="1" si="30"/>
        <v>#VALUE!</v>
      </c>
      <c r="AA92" s="199" t="e">
        <f t="shared" ca="1" si="30"/>
        <v>#VALUE!</v>
      </c>
      <c r="AB92" s="199" t="e">
        <f t="shared" ca="1" si="30"/>
        <v>#VALUE!</v>
      </c>
      <c r="AC92" s="199" t="e">
        <f t="shared" ca="1" si="30"/>
        <v>#VALUE!</v>
      </c>
      <c r="AD92" s="199" t="e">
        <f t="shared" ca="1" si="30"/>
        <v>#VALUE!</v>
      </c>
      <c r="AE92" s="199" t="e">
        <f t="shared" ca="1" si="30"/>
        <v>#VALUE!</v>
      </c>
      <c r="AF92" s="199" t="e">
        <f t="shared" ca="1" si="30"/>
        <v>#VALUE!</v>
      </c>
      <c r="AG92" s="199" t="e">
        <f t="shared" ca="1" si="30"/>
        <v>#VALUE!</v>
      </c>
      <c r="AH92" s="199" t="e">
        <f t="shared" ca="1" si="30"/>
        <v>#VALUE!</v>
      </c>
      <c r="AI92" s="199" t="e">
        <f t="shared" ca="1" si="30"/>
        <v>#VALUE!</v>
      </c>
      <c r="AJ92" s="199" t="e">
        <f t="shared" ca="1" si="30"/>
        <v>#VALUE!</v>
      </c>
      <c r="AK92" s="199" t="e">
        <f t="shared" ca="1" si="30"/>
        <v>#VALUE!</v>
      </c>
      <c r="AL92" s="199" t="e">
        <f t="shared" ca="1" si="30"/>
        <v>#VALUE!</v>
      </c>
      <c r="AM92" s="199" t="e">
        <f t="shared" ca="1" si="30"/>
        <v>#VALUE!</v>
      </c>
      <c r="AN92" s="199" t="e">
        <f t="shared" ca="1" si="30"/>
        <v>#VALUE!</v>
      </c>
      <c r="AO92" s="199" t="e">
        <f t="shared" ca="1" si="30"/>
        <v>#VALUE!</v>
      </c>
      <c r="AP92" s="199" t="e">
        <f t="shared" ca="1" si="30"/>
        <v>#VALUE!</v>
      </c>
    </row>
    <row r="93" spans="1:42">
      <c r="A93" s="61" t="str">
        <f>'[4]TS BYDem'!A32</f>
        <v>*</v>
      </c>
      <c r="B93" s="199" t="s">
        <v>288</v>
      </c>
      <c r="C93" s="199" t="s">
        <v>137</v>
      </c>
      <c r="D93" s="199" t="str">
        <f>'[4]TS BYDem'!D32</f>
        <v>IFAA</v>
      </c>
      <c r="E93" s="199" t="s">
        <v>137</v>
      </c>
      <c r="F93" s="199" t="s">
        <v>137</v>
      </c>
      <c r="G93" s="199" t="s">
        <v>137</v>
      </c>
      <c r="H93" s="199" t="s">
        <v>137</v>
      </c>
      <c r="I93" s="199">
        <v>0</v>
      </c>
      <c r="J93" s="199" t="str">
        <f>INDEX('[4]TS BYDem'!$J$10:$J$203,MATCH(D93,'[4]TS BYDem'!$D$10:$D$203,0))</f>
        <v/>
      </c>
      <c r="K93" s="199" t="e">
        <f t="shared" ref="K93:AH103" ca="1" si="31">K$91/J$91*J93</f>
        <v>#VALUE!</v>
      </c>
      <c r="L93" s="199" t="e">
        <f t="shared" ca="1" si="31"/>
        <v>#VALUE!</v>
      </c>
      <c r="M93" s="199" t="e">
        <f t="shared" ca="1" si="31"/>
        <v>#VALUE!</v>
      </c>
      <c r="N93" s="199" t="e">
        <f t="shared" ca="1" si="31"/>
        <v>#VALUE!</v>
      </c>
      <c r="O93" s="199" t="e">
        <f t="shared" ca="1" si="31"/>
        <v>#VALUE!</v>
      </c>
      <c r="P93" s="199" t="e">
        <f t="shared" ca="1" si="31"/>
        <v>#VALUE!</v>
      </c>
      <c r="Q93" s="199" t="e">
        <f t="shared" ca="1" si="31"/>
        <v>#VALUE!</v>
      </c>
      <c r="R93" s="199" t="e">
        <f t="shared" ca="1" si="31"/>
        <v>#VALUE!</v>
      </c>
      <c r="S93" s="199" t="e">
        <f t="shared" ca="1" si="31"/>
        <v>#VALUE!</v>
      </c>
      <c r="T93" s="199" t="e">
        <f t="shared" ca="1" si="31"/>
        <v>#VALUE!</v>
      </c>
      <c r="U93" s="199" t="e">
        <f t="shared" ca="1" si="31"/>
        <v>#VALUE!</v>
      </c>
      <c r="V93" s="199" t="e">
        <f t="shared" ca="1" si="31"/>
        <v>#VALUE!</v>
      </c>
      <c r="W93" s="199" t="e">
        <f t="shared" ca="1" si="31"/>
        <v>#VALUE!</v>
      </c>
      <c r="X93" s="199" t="e">
        <f t="shared" ca="1" si="31"/>
        <v>#VALUE!</v>
      </c>
      <c r="Y93" s="199" t="e">
        <f t="shared" ca="1" si="31"/>
        <v>#VALUE!</v>
      </c>
      <c r="Z93" s="199" t="e">
        <f t="shared" ca="1" si="31"/>
        <v>#VALUE!</v>
      </c>
      <c r="AA93" s="199" t="e">
        <f t="shared" ca="1" si="31"/>
        <v>#VALUE!</v>
      </c>
      <c r="AB93" s="199" t="e">
        <f t="shared" ca="1" si="31"/>
        <v>#VALUE!</v>
      </c>
      <c r="AC93" s="199" t="e">
        <f t="shared" ca="1" si="31"/>
        <v>#VALUE!</v>
      </c>
      <c r="AD93" s="199" t="e">
        <f t="shared" ca="1" si="31"/>
        <v>#VALUE!</v>
      </c>
      <c r="AE93" s="199" t="e">
        <f t="shared" ca="1" si="31"/>
        <v>#VALUE!</v>
      </c>
      <c r="AF93" s="199" t="e">
        <f t="shared" ca="1" si="31"/>
        <v>#VALUE!</v>
      </c>
      <c r="AG93" s="199" t="e">
        <f t="shared" ca="1" si="31"/>
        <v>#VALUE!</v>
      </c>
      <c r="AH93" s="199" t="e">
        <f t="shared" ca="1" si="31"/>
        <v>#VALUE!</v>
      </c>
      <c r="AI93" s="199" t="e">
        <f t="shared" ca="1" si="30"/>
        <v>#VALUE!</v>
      </c>
      <c r="AJ93" s="199" t="e">
        <f t="shared" ca="1" si="30"/>
        <v>#VALUE!</v>
      </c>
      <c r="AK93" s="199" t="e">
        <f t="shared" ca="1" si="30"/>
        <v>#VALUE!</v>
      </c>
      <c r="AL93" s="199" t="e">
        <f t="shared" ca="1" si="30"/>
        <v>#VALUE!</v>
      </c>
      <c r="AM93" s="199" t="e">
        <f t="shared" ca="1" si="30"/>
        <v>#VALUE!</v>
      </c>
      <c r="AN93" s="199" t="e">
        <f t="shared" ca="1" si="30"/>
        <v>#VALUE!</v>
      </c>
      <c r="AO93" s="199" t="e">
        <f t="shared" ca="1" si="30"/>
        <v>#VALUE!</v>
      </c>
      <c r="AP93" s="199" t="e">
        <f t="shared" ca="1" si="30"/>
        <v>#VALUE!</v>
      </c>
    </row>
    <row r="94" spans="1:42">
      <c r="A94" s="61" t="str">
        <f>'[4]TS BYDem'!A33</f>
        <v>*</v>
      </c>
      <c r="B94" s="199" t="s">
        <v>288</v>
      </c>
      <c r="C94" s="199" t="s">
        <v>137</v>
      </c>
      <c r="D94" s="199" t="str">
        <f>'[4]TS BYDem'!D33</f>
        <v>IFAL</v>
      </c>
      <c r="E94" s="199" t="s">
        <v>137</v>
      </c>
      <c r="F94" s="199" t="s">
        <v>137</v>
      </c>
      <c r="G94" s="199" t="s">
        <v>137</v>
      </c>
      <c r="H94" s="199" t="s">
        <v>137</v>
      </c>
      <c r="I94" s="199">
        <v>0</v>
      </c>
      <c r="J94" s="199" t="str">
        <f>INDEX('[4]TS BYDem'!$J$10:$J$203,MATCH(D94,'[4]TS BYDem'!$D$10:$D$203,0))</f>
        <v/>
      </c>
      <c r="K94" s="199" t="e">
        <f t="shared" ca="1" si="31"/>
        <v>#VALUE!</v>
      </c>
      <c r="L94" s="199" t="e">
        <f t="shared" ca="1" si="31"/>
        <v>#VALUE!</v>
      </c>
      <c r="M94" s="199" t="e">
        <f t="shared" ca="1" si="31"/>
        <v>#VALUE!</v>
      </c>
      <c r="N94" s="199" t="e">
        <f t="shared" ca="1" si="31"/>
        <v>#VALUE!</v>
      </c>
      <c r="O94" s="199" t="e">
        <f t="shared" ca="1" si="31"/>
        <v>#VALUE!</v>
      </c>
      <c r="P94" s="199" t="e">
        <f t="shared" ca="1" si="31"/>
        <v>#VALUE!</v>
      </c>
      <c r="Q94" s="199" t="e">
        <f t="shared" ca="1" si="31"/>
        <v>#VALUE!</v>
      </c>
      <c r="R94" s="199" t="e">
        <f t="shared" ca="1" si="31"/>
        <v>#VALUE!</v>
      </c>
      <c r="S94" s="199" t="e">
        <f t="shared" ca="1" si="31"/>
        <v>#VALUE!</v>
      </c>
      <c r="T94" s="199" t="e">
        <f t="shared" ca="1" si="31"/>
        <v>#VALUE!</v>
      </c>
      <c r="U94" s="199" t="e">
        <f t="shared" ca="1" si="31"/>
        <v>#VALUE!</v>
      </c>
      <c r="V94" s="199" t="e">
        <f t="shared" ca="1" si="31"/>
        <v>#VALUE!</v>
      </c>
      <c r="W94" s="199" t="e">
        <f t="shared" ca="1" si="31"/>
        <v>#VALUE!</v>
      </c>
      <c r="X94" s="199" t="e">
        <f t="shared" ca="1" si="31"/>
        <v>#VALUE!</v>
      </c>
      <c r="Y94" s="199" t="e">
        <f t="shared" ca="1" si="31"/>
        <v>#VALUE!</v>
      </c>
      <c r="Z94" s="199" t="e">
        <f t="shared" ca="1" si="31"/>
        <v>#VALUE!</v>
      </c>
      <c r="AA94" s="199" t="e">
        <f t="shared" ca="1" si="31"/>
        <v>#VALUE!</v>
      </c>
      <c r="AB94" s="199" t="e">
        <f t="shared" ca="1" si="31"/>
        <v>#VALUE!</v>
      </c>
      <c r="AC94" s="199" t="e">
        <f t="shared" ca="1" si="31"/>
        <v>#VALUE!</v>
      </c>
      <c r="AD94" s="199" t="e">
        <f t="shared" ca="1" si="31"/>
        <v>#VALUE!</v>
      </c>
      <c r="AE94" s="199" t="e">
        <f t="shared" ca="1" si="31"/>
        <v>#VALUE!</v>
      </c>
      <c r="AF94" s="199" t="e">
        <f t="shared" ca="1" si="31"/>
        <v>#VALUE!</v>
      </c>
      <c r="AG94" s="199" t="e">
        <f t="shared" ca="1" si="31"/>
        <v>#VALUE!</v>
      </c>
      <c r="AH94" s="199" t="e">
        <f t="shared" ca="1" si="31"/>
        <v>#VALUE!</v>
      </c>
      <c r="AI94" s="199" t="e">
        <f t="shared" ca="1" si="30"/>
        <v>#VALUE!</v>
      </c>
      <c r="AJ94" s="199" t="e">
        <f t="shared" ca="1" si="30"/>
        <v>#VALUE!</v>
      </c>
      <c r="AK94" s="199" t="e">
        <f t="shared" ca="1" si="30"/>
        <v>#VALUE!</v>
      </c>
      <c r="AL94" s="199" t="e">
        <f t="shared" ca="1" si="30"/>
        <v>#VALUE!</v>
      </c>
      <c r="AM94" s="199" t="e">
        <f t="shared" ca="1" si="30"/>
        <v>#VALUE!</v>
      </c>
      <c r="AN94" s="199" t="e">
        <f t="shared" ca="1" si="30"/>
        <v>#VALUE!</v>
      </c>
      <c r="AO94" s="199" t="e">
        <f t="shared" ca="1" si="30"/>
        <v>#VALUE!</v>
      </c>
      <c r="AP94" s="199" t="e">
        <f t="shared" ca="1" si="30"/>
        <v>#VALUE!</v>
      </c>
    </row>
    <row r="95" spans="1:42">
      <c r="A95" s="61" t="str">
        <f>'[4]TS BYDem'!A34</f>
        <v>*</v>
      </c>
      <c r="B95" s="199" t="s">
        <v>288</v>
      </c>
      <c r="C95" s="199" t="s">
        <v>137</v>
      </c>
      <c r="D95" s="199" t="str">
        <f>'[4]TS BYDem'!D34</f>
        <v>IFAC</v>
      </c>
      <c r="E95" s="199" t="s">
        <v>137</v>
      </c>
      <c r="F95" s="199" t="s">
        <v>137</v>
      </c>
      <c r="G95" s="199" t="s">
        <v>137</v>
      </c>
      <c r="H95" s="199" t="s">
        <v>137</v>
      </c>
      <c r="I95" s="199">
        <v>0</v>
      </c>
      <c r="J95" s="199" t="str">
        <f>INDEX('[4]TS BYDem'!$J$10:$J$203,MATCH(D95,'[4]TS BYDem'!$D$10:$D$203,0))</f>
        <v/>
      </c>
      <c r="K95" s="199" t="e">
        <f t="shared" ca="1" si="31"/>
        <v>#VALUE!</v>
      </c>
      <c r="L95" s="199" t="e">
        <f t="shared" ca="1" si="31"/>
        <v>#VALUE!</v>
      </c>
      <c r="M95" s="199" t="e">
        <f t="shared" ca="1" si="31"/>
        <v>#VALUE!</v>
      </c>
      <c r="N95" s="199" t="e">
        <f t="shared" ca="1" si="31"/>
        <v>#VALUE!</v>
      </c>
      <c r="O95" s="199" t="e">
        <f t="shared" ca="1" si="31"/>
        <v>#VALUE!</v>
      </c>
      <c r="P95" s="199" t="e">
        <f t="shared" ca="1" si="31"/>
        <v>#VALUE!</v>
      </c>
      <c r="Q95" s="199" t="e">
        <f t="shared" ca="1" si="31"/>
        <v>#VALUE!</v>
      </c>
      <c r="R95" s="199" t="e">
        <f t="shared" ca="1" si="31"/>
        <v>#VALUE!</v>
      </c>
      <c r="S95" s="199" t="e">
        <f t="shared" ca="1" si="31"/>
        <v>#VALUE!</v>
      </c>
      <c r="T95" s="199" t="e">
        <f t="shared" ca="1" si="31"/>
        <v>#VALUE!</v>
      </c>
      <c r="U95" s="199" t="e">
        <f t="shared" ca="1" si="31"/>
        <v>#VALUE!</v>
      </c>
      <c r="V95" s="199" t="e">
        <f t="shared" ca="1" si="31"/>
        <v>#VALUE!</v>
      </c>
      <c r="W95" s="199" t="e">
        <f t="shared" ca="1" si="31"/>
        <v>#VALUE!</v>
      </c>
      <c r="X95" s="199" t="e">
        <f t="shared" ca="1" si="31"/>
        <v>#VALUE!</v>
      </c>
      <c r="Y95" s="199" t="e">
        <f t="shared" ca="1" si="31"/>
        <v>#VALUE!</v>
      </c>
      <c r="Z95" s="199" t="e">
        <f t="shared" ca="1" si="31"/>
        <v>#VALUE!</v>
      </c>
      <c r="AA95" s="199" t="e">
        <f t="shared" ca="1" si="31"/>
        <v>#VALUE!</v>
      </c>
      <c r="AB95" s="199" t="e">
        <f t="shared" ca="1" si="31"/>
        <v>#VALUE!</v>
      </c>
      <c r="AC95" s="199" t="e">
        <f t="shared" ca="1" si="31"/>
        <v>#VALUE!</v>
      </c>
      <c r="AD95" s="199" t="e">
        <f t="shared" ca="1" si="31"/>
        <v>#VALUE!</v>
      </c>
      <c r="AE95" s="199" t="e">
        <f t="shared" ca="1" si="31"/>
        <v>#VALUE!</v>
      </c>
      <c r="AF95" s="199" t="e">
        <f t="shared" ca="1" si="31"/>
        <v>#VALUE!</v>
      </c>
      <c r="AG95" s="199" t="e">
        <f t="shared" ca="1" si="31"/>
        <v>#VALUE!</v>
      </c>
      <c r="AH95" s="199" t="e">
        <f t="shared" ca="1" si="31"/>
        <v>#VALUE!</v>
      </c>
      <c r="AI95" s="199" t="e">
        <f t="shared" ca="1" si="30"/>
        <v>#VALUE!</v>
      </c>
      <c r="AJ95" s="199" t="e">
        <f t="shared" ca="1" si="30"/>
        <v>#VALUE!</v>
      </c>
      <c r="AK95" s="199" t="e">
        <f t="shared" ca="1" si="30"/>
        <v>#VALUE!</v>
      </c>
      <c r="AL95" s="199" t="e">
        <f t="shared" ca="1" si="30"/>
        <v>#VALUE!</v>
      </c>
      <c r="AM95" s="199" t="e">
        <f t="shared" ca="1" si="30"/>
        <v>#VALUE!</v>
      </c>
      <c r="AN95" s="199" t="e">
        <f t="shared" ca="1" si="30"/>
        <v>#VALUE!</v>
      </c>
      <c r="AO95" s="199" t="e">
        <f t="shared" ca="1" si="30"/>
        <v>#VALUE!</v>
      </c>
      <c r="AP95" s="199" t="e">
        <f t="shared" ca="1" si="30"/>
        <v>#VALUE!</v>
      </c>
    </row>
    <row r="96" spans="1:42">
      <c r="A96" s="61" t="str">
        <f>'[4]TS BYDem'!A35</f>
        <v>*</v>
      </c>
      <c r="B96" s="199" t="s">
        <v>288</v>
      </c>
      <c r="C96" s="199" t="s">
        <v>137</v>
      </c>
      <c r="D96" s="199" t="str">
        <f>'[4]TS BYDem'!D35</f>
        <v>IFAH</v>
      </c>
      <c r="E96" s="199" t="s">
        <v>137</v>
      </c>
      <c r="F96" s="199" t="s">
        <v>137</v>
      </c>
      <c r="G96" s="199" t="s">
        <v>137</v>
      </c>
      <c r="H96" s="199" t="s">
        <v>137</v>
      </c>
      <c r="I96" s="199">
        <v>0</v>
      </c>
      <c r="J96" s="199" t="str">
        <f>INDEX('[4]TS BYDem'!$J$10:$J$203,MATCH(D96,'[4]TS BYDem'!$D$10:$D$203,0))</f>
        <v/>
      </c>
      <c r="K96" s="199" t="e">
        <f t="shared" ca="1" si="31"/>
        <v>#VALUE!</v>
      </c>
      <c r="L96" s="199" t="e">
        <f t="shared" ca="1" si="31"/>
        <v>#VALUE!</v>
      </c>
      <c r="M96" s="199" t="e">
        <f t="shared" ca="1" si="31"/>
        <v>#VALUE!</v>
      </c>
      <c r="N96" s="199" t="e">
        <f t="shared" ca="1" si="31"/>
        <v>#VALUE!</v>
      </c>
      <c r="O96" s="199" t="e">
        <f t="shared" ca="1" si="31"/>
        <v>#VALUE!</v>
      </c>
      <c r="P96" s="199" t="e">
        <f t="shared" ca="1" si="31"/>
        <v>#VALUE!</v>
      </c>
      <c r="Q96" s="199" t="e">
        <f t="shared" ca="1" si="31"/>
        <v>#VALUE!</v>
      </c>
      <c r="R96" s="199" t="e">
        <f t="shared" ca="1" si="31"/>
        <v>#VALUE!</v>
      </c>
      <c r="S96" s="199" t="e">
        <f t="shared" ca="1" si="31"/>
        <v>#VALUE!</v>
      </c>
      <c r="T96" s="199" t="e">
        <f t="shared" ca="1" si="31"/>
        <v>#VALUE!</v>
      </c>
      <c r="U96" s="199" t="e">
        <f t="shared" ca="1" si="31"/>
        <v>#VALUE!</v>
      </c>
      <c r="V96" s="199" t="e">
        <f t="shared" ca="1" si="31"/>
        <v>#VALUE!</v>
      </c>
      <c r="W96" s="199" t="e">
        <f t="shared" ca="1" si="31"/>
        <v>#VALUE!</v>
      </c>
      <c r="X96" s="199" t="e">
        <f t="shared" ca="1" si="31"/>
        <v>#VALUE!</v>
      </c>
      <c r="Y96" s="199" t="e">
        <f t="shared" ca="1" si="31"/>
        <v>#VALUE!</v>
      </c>
      <c r="Z96" s="199" t="e">
        <f t="shared" ca="1" si="31"/>
        <v>#VALUE!</v>
      </c>
      <c r="AA96" s="199" t="e">
        <f t="shared" ca="1" si="31"/>
        <v>#VALUE!</v>
      </c>
      <c r="AB96" s="199" t="e">
        <f t="shared" ca="1" si="31"/>
        <v>#VALUE!</v>
      </c>
      <c r="AC96" s="199" t="e">
        <f t="shared" ca="1" si="31"/>
        <v>#VALUE!</v>
      </c>
      <c r="AD96" s="199" t="e">
        <f t="shared" ca="1" si="31"/>
        <v>#VALUE!</v>
      </c>
      <c r="AE96" s="199" t="e">
        <f t="shared" ca="1" si="31"/>
        <v>#VALUE!</v>
      </c>
      <c r="AF96" s="199" t="e">
        <f t="shared" ca="1" si="31"/>
        <v>#VALUE!</v>
      </c>
      <c r="AG96" s="199" t="e">
        <f t="shared" ca="1" si="31"/>
        <v>#VALUE!</v>
      </c>
      <c r="AH96" s="199" t="e">
        <f t="shared" ca="1" si="31"/>
        <v>#VALUE!</v>
      </c>
      <c r="AI96" s="199" t="e">
        <f t="shared" ca="1" si="30"/>
        <v>#VALUE!</v>
      </c>
      <c r="AJ96" s="199" t="e">
        <f t="shared" ca="1" si="30"/>
        <v>#VALUE!</v>
      </c>
      <c r="AK96" s="199" t="e">
        <f t="shared" ca="1" si="30"/>
        <v>#VALUE!</v>
      </c>
      <c r="AL96" s="199" t="e">
        <f t="shared" ca="1" si="30"/>
        <v>#VALUE!</v>
      </c>
      <c r="AM96" s="199" t="e">
        <f t="shared" ca="1" si="30"/>
        <v>#VALUE!</v>
      </c>
      <c r="AN96" s="199" t="e">
        <f t="shared" ca="1" si="30"/>
        <v>#VALUE!</v>
      </c>
      <c r="AO96" s="199" t="e">
        <f t="shared" ca="1" si="30"/>
        <v>#VALUE!</v>
      </c>
      <c r="AP96" s="199" t="e">
        <f t="shared" ca="1" si="30"/>
        <v>#VALUE!</v>
      </c>
    </row>
    <row r="97" spans="1:42">
      <c r="A97" s="61" t="str">
        <f>'[4]TS BYDem'!A36</f>
        <v>*</v>
      </c>
      <c r="B97" s="199" t="s">
        <v>288</v>
      </c>
      <c r="C97" s="199" t="s">
        <v>137</v>
      </c>
      <c r="D97" s="199" t="str">
        <f>'[4]TS BYDem'!D36</f>
        <v>IFAP</v>
      </c>
      <c r="E97" s="199" t="s">
        <v>137</v>
      </c>
      <c r="F97" s="199" t="s">
        <v>137</v>
      </c>
      <c r="G97" s="199" t="s">
        <v>137</v>
      </c>
      <c r="H97" s="199" t="s">
        <v>137</v>
      </c>
      <c r="I97" s="199">
        <v>0</v>
      </c>
      <c r="J97" s="199" t="str">
        <f>INDEX('[4]TS BYDem'!$J$10:$J$203,MATCH(D97,'[4]TS BYDem'!$D$10:$D$203,0))</f>
        <v/>
      </c>
      <c r="K97" s="199" t="e">
        <f t="shared" ca="1" si="31"/>
        <v>#VALUE!</v>
      </c>
      <c r="L97" s="199" t="e">
        <f t="shared" ca="1" si="31"/>
        <v>#VALUE!</v>
      </c>
      <c r="M97" s="199" t="e">
        <f t="shared" ca="1" si="31"/>
        <v>#VALUE!</v>
      </c>
      <c r="N97" s="199" t="e">
        <f t="shared" ca="1" si="31"/>
        <v>#VALUE!</v>
      </c>
      <c r="O97" s="199" t="e">
        <f t="shared" ca="1" si="31"/>
        <v>#VALUE!</v>
      </c>
      <c r="P97" s="199" t="e">
        <f t="shared" ca="1" si="31"/>
        <v>#VALUE!</v>
      </c>
      <c r="Q97" s="199" t="e">
        <f t="shared" ca="1" si="31"/>
        <v>#VALUE!</v>
      </c>
      <c r="R97" s="199" t="e">
        <f t="shared" ca="1" si="31"/>
        <v>#VALUE!</v>
      </c>
      <c r="S97" s="199" t="e">
        <f t="shared" ca="1" si="31"/>
        <v>#VALUE!</v>
      </c>
      <c r="T97" s="199" t="e">
        <f t="shared" ca="1" si="31"/>
        <v>#VALUE!</v>
      </c>
      <c r="U97" s="199" t="e">
        <f t="shared" ca="1" si="31"/>
        <v>#VALUE!</v>
      </c>
      <c r="V97" s="199" t="e">
        <f t="shared" ca="1" si="31"/>
        <v>#VALUE!</v>
      </c>
      <c r="W97" s="199" t="e">
        <f t="shared" ca="1" si="31"/>
        <v>#VALUE!</v>
      </c>
      <c r="X97" s="199" t="e">
        <f t="shared" ca="1" si="31"/>
        <v>#VALUE!</v>
      </c>
      <c r="Y97" s="199" t="e">
        <f t="shared" ca="1" si="31"/>
        <v>#VALUE!</v>
      </c>
      <c r="Z97" s="199" t="e">
        <f t="shared" ca="1" si="31"/>
        <v>#VALUE!</v>
      </c>
      <c r="AA97" s="199" t="e">
        <f t="shared" ca="1" si="31"/>
        <v>#VALUE!</v>
      </c>
      <c r="AB97" s="199" t="e">
        <f t="shared" ca="1" si="31"/>
        <v>#VALUE!</v>
      </c>
      <c r="AC97" s="199" t="e">
        <f t="shared" ca="1" si="31"/>
        <v>#VALUE!</v>
      </c>
      <c r="AD97" s="199" t="e">
        <f t="shared" ca="1" si="31"/>
        <v>#VALUE!</v>
      </c>
      <c r="AE97" s="199" t="e">
        <f t="shared" ca="1" si="31"/>
        <v>#VALUE!</v>
      </c>
      <c r="AF97" s="199" t="e">
        <f t="shared" ca="1" si="31"/>
        <v>#VALUE!</v>
      </c>
      <c r="AG97" s="199" t="e">
        <f t="shared" ca="1" si="31"/>
        <v>#VALUE!</v>
      </c>
      <c r="AH97" s="199" t="e">
        <f t="shared" ca="1" si="31"/>
        <v>#VALUE!</v>
      </c>
      <c r="AI97" s="199" t="e">
        <f t="shared" ca="1" si="30"/>
        <v>#VALUE!</v>
      </c>
      <c r="AJ97" s="199" t="e">
        <f t="shared" ca="1" si="30"/>
        <v>#VALUE!</v>
      </c>
      <c r="AK97" s="199" t="e">
        <f t="shared" ca="1" si="30"/>
        <v>#VALUE!</v>
      </c>
      <c r="AL97" s="199" t="e">
        <f t="shared" ca="1" si="30"/>
        <v>#VALUE!</v>
      </c>
      <c r="AM97" s="199" t="e">
        <f t="shared" ca="1" si="30"/>
        <v>#VALUE!</v>
      </c>
      <c r="AN97" s="199" t="e">
        <f t="shared" ca="1" si="30"/>
        <v>#VALUE!</v>
      </c>
      <c r="AO97" s="199" t="e">
        <f t="shared" ca="1" si="30"/>
        <v>#VALUE!</v>
      </c>
      <c r="AP97" s="199" t="e">
        <f t="shared" ca="1" si="30"/>
        <v>#VALUE!</v>
      </c>
    </row>
    <row r="98" spans="1:42">
      <c r="A98" s="61" t="str">
        <f>'[4]TS BYDem'!A37</f>
        <v>*</v>
      </c>
      <c r="B98" s="199" t="s">
        <v>288</v>
      </c>
      <c r="C98" s="199" t="s">
        <v>137</v>
      </c>
      <c r="D98" s="199" t="str">
        <f>'[4]TS BYDem'!D37</f>
        <v>IFAF</v>
      </c>
      <c r="E98" s="199" t="s">
        <v>137</v>
      </c>
      <c r="F98" s="199" t="s">
        <v>137</v>
      </c>
      <c r="G98" s="199" t="s">
        <v>137</v>
      </c>
      <c r="H98" s="199" t="s">
        <v>137</v>
      </c>
      <c r="I98" s="199">
        <v>0</v>
      </c>
      <c r="J98" s="199" t="str">
        <f>INDEX('[4]TS BYDem'!$J$10:$J$203,MATCH(D98,'[4]TS BYDem'!$D$10:$D$203,0))</f>
        <v/>
      </c>
      <c r="K98" s="199" t="e">
        <f t="shared" ca="1" si="31"/>
        <v>#VALUE!</v>
      </c>
      <c r="L98" s="199" t="e">
        <f t="shared" ca="1" si="31"/>
        <v>#VALUE!</v>
      </c>
      <c r="M98" s="199" t="e">
        <f t="shared" ca="1" si="31"/>
        <v>#VALUE!</v>
      </c>
      <c r="N98" s="199" t="e">
        <f t="shared" ca="1" si="31"/>
        <v>#VALUE!</v>
      </c>
      <c r="O98" s="199" t="e">
        <f t="shared" ca="1" si="31"/>
        <v>#VALUE!</v>
      </c>
      <c r="P98" s="199" t="e">
        <f t="shared" ca="1" si="31"/>
        <v>#VALUE!</v>
      </c>
      <c r="Q98" s="199" t="e">
        <f t="shared" ca="1" si="31"/>
        <v>#VALUE!</v>
      </c>
      <c r="R98" s="199" t="e">
        <f t="shared" ca="1" si="31"/>
        <v>#VALUE!</v>
      </c>
      <c r="S98" s="199" t="e">
        <f t="shared" ca="1" si="31"/>
        <v>#VALUE!</v>
      </c>
      <c r="T98" s="199" t="e">
        <f t="shared" ca="1" si="31"/>
        <v>#VALUE!</v>
      </c>
      <c r="U98" s="199" t="e">
        <f t="shared" ca="1" si="31"/>
        <v>#VALUE!</v>
      </c>
      <c r="V98" s="199" t="e">
        <f t="shared" ca="1" si="31"/>
        <v>#VALUE!</v>
      </c>
      <c r="W98" s="199" t="e">
        <f t="shared" ca="1" si="31"/>
        <v>#VALUE!</v>
      </c>
      <c r="X98" s="199" t="e">
        <f t="shared" ca="1" si="31"/>
        <v>#VALUE!</v>
      </c>
      <c r="Y98" s="199" t="e">
        <f t="shared" ca="1" si="31"/>
        <v>#VALUE!</v>
      </c>
      <c r="Z98" s="199" t="e">
        <f t="shared" ca="1" si="31"/>
        <v>#VALUE!</v>
      </c>
      <c r="AA98" s="199" t="e">
        <f t="shared" ca="1" si="31"/>
        <v>#VALUE!</v>
      </c>
      <c r="AB98" s="199" t="e">
        <f t="shared" ca="1" si="31"/>
        <v>#VALUE!</v>
      </c>
      <c r="AC98" s="199" t="e">
        <f t="shared" ca="1" si="31"/>
        <v>#VALUE!</v>
      </c>
      <c r="AD98" s="199" t="e">
        <f t="shared" ca="1" si="31"/>
        <v>#VALUE!</v>
      </c>
      <c r="AE98" s="199" t="e">
        <f t="shared" ca="1" si="31"/>
        <v>#VALUE!</v>
      </c>
      <c r="AF98" s="199" t="e">
        <f t="shared" ca="1" si="31"/>
        <v>#VALUE!</v>
      </c>
      <c r="AG98" s="199" t="e">
        <f t="shared" ca="1" si="31"/>
        <v>#VALUE!</v>
      </c>
      <c r="AH98" s="199" t="e">
        <f t="shared" ca="1" si="31"/>
        <v>#VALUE!</v>
      </c>
      <c r="AI98" s="199" t="e">
        <f t="shared" ca="1" si="30"/>
        <v>#VALUE!</v>
      </c>
      <c r="AJ98" s="199" t="e">
        <f t="shared" ca="1" si="30"/>
        <v>#VALUE!</v>
      </c>
      <c r="AK98" s="199" t="e">
        <f t="shared" ca="1" si="30"/>
        <v>#VALUE!</v>
      </c>
      <c r="AL98" s="199" t="e">
        <f t="shared" ca="1" si="30"/>
        <v>#VALUE!</v>
      </c>
      <c r="AM98" s="199" t="e">
        <f t="shared" ca="1" si="30"/>
        <v>#VALUE!</v>
      </c>
      <c r="AN98" s="199" t="e">
        <f t="shared" ca="1" si="30"/>
        <v>#VALUE!</v>
      </c>
      <c r="AO98" s="199" t="e">
        <f t="shared" ca="1" si="30"/>
        <v>#VALUE!</v>
      </c>
      <c r="AP98" s="199" t="e">
        <f t="shared" ca="1" si="30"/>
        <v>#VALUE!</v>
      </c>
    </row>
    <row r="99" spans="1:42">
      <c r="A99" s="61" t="str">
        <f>'[4]TS BYDem'!A38</f>
        <v>*</v>
      </c>
      <c r="B99" s="199" t="s">
        <v>288</v>
      </c>
      <c r="C99" s="199" t="s">
        <v>137</v>
      </c>
      <c r="D99" s="199" t="str">
        <f>'[4]TS BYDem'!D38</f>
        <v>IFAO</v>
      </c>
      <c r="E99" s="199" t="s">
        <v>137</v>
      </c>
      <c r="F99" s="199" t="s">
        <v>137</v>
      </c>
      <c r="G99" s="199" t="s">
        <v>137</v>
      </c>
      <c r="H99" s="199" t="s">
        <v>137</v>
      </c>
      <c r="I99" s="199">
        <v>0</v>
      </c>
      <c r="J99" s="199" t="str">
        <f>INDEX('[4]TS BYDem'!$J$10:$J$203,MATCH(D99,'[4]TS BYDem'!$D$10:$D$203,0))</f>
        <v/>
      </c>
      <c r="K99" s="199" t="e">
        <f t="shared" ca="1" si="31"/>
        <v>#VALUE!</v>
      </c>
      <c r="L99" s="199" t="e">
        <f t="shared" ca="1" si="31"/>
        <v>#VALUE!</v>
      </c>
      <c r="M99" s="199" t="e">
        <f t="shared" ca="1" si="31"/>
        <v>#VALUE!</v>
      </c>
      <c r="N99" s="199" t="e">
        <f t="shared" ca="1" si="31"/>
        <v>#VALUE!</v>
      </c>
      <c r="O99" s="199" t="e">
        <f t="shared" ca="1" si="31"/>
        <v>#VALUE!</v>
      </c>
      <c r="P99" s="199" t="e">
        <f t="shared" ca="1" si="31"/>
        <v>#VALUE!</v>
      </c>
      <c r="Q99" s="199" t="e">
        <f t="shared" ca="1" si="31"/>
        <v>#VALUE!</v>
      </c>
      <c r="R99" s="199" t="e">
        <f t="shared" ca="1" si="31"/>
        <v>#VALUE!</v>
      </c>
      <c r="S99" s="199" t="e">
        <f t="shared" ca="1" si="31"/>
        <v>#VALUE!</v>
      </c>
      <c r="T99" s="199" t="e">
        <f t="shared" ca="1" si="31"/>
        <v>#VALUE!</v>
      </c>
      <c r="U99" s="199" t="e">
        <f t="shared" ca="1" si="31"/>
        <v>#VALUE!</v>
      </c>
      <c r="V99" s="199" t="e">
        <f t="shared" ca="1" si="31"/>
        <v>#VALUE!</v>
      </c>
      <c r="W99" s="199" t="e">
        <f t="shared" ca="1" si="31"/>
        <v>#VALUE!</v>
      </c>
      <c r="X99" s="199" t="e">
        <f t="shared" ca="1" si="31"/>
        <v>#VALUE!</v>
      </c>
      <c r="Y99" s="199" t="e">
        <f t="shared" ca="1" si="31"/>
        <v>#VALUE!</v>
      </c>
      <c r="Z99" s="199" t="e">
        <f t="shared" ca="1" si="31"/>
        <v>#VALUE!</v>
      </c>
      <c r="AA99" s="199" t="e">
        <f t="shared" ca="1" si="31"/>
        <v>#VALUE!</v>
      </c>
      <c r="AB99" s="199" t="e">
        <f t="shared" ca="1" si="31"/>
        <v>#VALUE!</v>
      </c>
      <c r="AC99" s="199" t="e">
        <f t="shared" ca="1" si="31"/>
        <v>#VALUE!</v>
      </c>
      <c r="AD99" s="199" t="e">
        <f t="shared" ca="1" si="31"/>
        <v>#VALUE!</v>
      </c>
      <c r="AE99" s="199" t="e">
        <f t="shared" ca="1" si="31"/>
        <v>#VALUE!</v>
      </c>
      <c r="AF99" s="199" t="e">
        <f t="shared" ca="1" si="31"/>
        <v>#VALUE!</v>
      </c>
      <c r="AG99" s="199" t="e">
        <f t="shared" ca="1" si="31"/>
        <v>#VALUE!</v>
      </c>
      <c r="AH99" s="199" t="e">
        <f t="shared" ca="1" si="31"/>
        <v>#VALUE!</v>
      </c>
      <c r="AI99" s="199" t="e">
        <f t="shared" ca="1" si="30"/>
        <v>#VALUE!</v>
      </c>
      <c r="AJ99" s="199" t="e">
        <f t="shared" ca="1" si="30"/>
        <v>#VALUE!</v>
      </c>
      <c r="AK99" s="199" t="e">
        <f t="shared" ca="1" si="30"/>
        <v>#VALUE!</v>
      </c>
      <c r="AL99" s="199" t="e">
        <f t="shared" ca="1" si="30"/>
        <v>#VALUE!</v>
      </c>
      <c r="AM99" s="199" t="e">
        <f t="shared" ca="1" si="30"/>
        <v>#VALUE!</v>
      </c>
      <c r="AN99" s="199" t="e">
        <f t="shared" ca="1" si="30"/>
        <v>#VALUE!</v>
      </c>
      <c r="AO99" s="199" t="e">
        <f t="shared" ca="1" si="30"/>
        <v>#VALUE!</v>
      </c>
      <c r="AP99" s="199" t="e">
        <f t="shared" ca="1" si="30"/>
        <v>#VALUE!</v>
      </c>
    </row>
    <row r="100" spans="1:42">
      <c r="A100" s="61" t="str">
        <f>'[4]TS BYDem'!A39</f>
        <v>*</v>
      </c>
      <c r="B100" s="199" t="s">
        <v>288</v>
      </c>
      <c r="C100" s="199" t="s">
        <v>137</v>
      </c>
      <c r="D100" s="199" t="str">
        <f>'[4]TS BYDem'!D39</f>
        <v>IFAE</v>
      </c>
      <c r="E100" s="199" t="s">
        <v>137</v>
      </c>
      <c r="F100" s="199" t="s">
        <v>137</v>
      </c>
      <c r="G100" s="199" t="s">
        <v>137</v>
      </c>
      <c r="H100" s="199" t="s">
        <v>137</v>
      </c>
      <c r="I100" s="199">
        <v>0</v>
      </c>
      <c r="J100" s="199" t="str">
        <f>INDEX('[4]TS BYDem'!$J$10:$J$203,MATCH(D100,'[4]TS BYDem'!$D$10:$D$203,0))</f>
        <v/>
      </c>
      <c r="K100" s="199" t="e">
        <f t="shared" ca="1" si="31"/>
        <v>#VALUE!</v>
      </c>
      <c r="L100" s="199" t="e">
        <f t="shared" ca="1" si="31"/>
        <v>#VALUE!</v>
      </c>
      <c r="M100" s="199" t="e">
        <f t="shared" ca="1" si="31"/>
        <v>#VALUE!</v>
      </c>
      <c r="N100" s="199" t="e">
        <f t="shared" ca="1" si="31"/>
        <v>#VALUE!</v>
      </c>
      <c r="O100" s="199" t="e">
        <f t="shared" ca="1" si="31"/>
        <v>#VALUE!</v>
      </c>
      <c r="P100" s="199" t="e">
        <f t="shared" ca="1" si="31"/>
        <v>#VALUE!</v>
      </c>
      <c r="Q100" s="199" t="e">
        <f t="shared" ca="1" si="31"/>
        <v>#VALUE!</v>
      </c>
      <c r="R100" s="199" t="e">
        <f t="shared" ca="1" si="31"/>
        <v>#VALUE!</v>
      </c>
      <c r="S100" s="199" t="e">
        <f t="shared" ca="1" si="31"/>
        <v>#VALUE!</v>
      </c>
      <c r="T100" s="199" t="e">
        <f t="shared" ca="1" si="31"/>
        <v>#VALUE!</v>
      </c>
      <c r="U100" s="199" t="e">
        <f t="shared" ca="1" si="31"/>
        <v>#VALUE!</v>
      </c>
      <c r="V100" s="199" t="e">
        <f t="shared" ca="1" si="31"/>
        <v>#VALUE!</v>
      </c>
      <c r="W100" s="199" t="e">
        <f t="shared" ca="1" si="31"/>
        <v>#VALUE!</v>
      </c>
      <c r="X100" s="199" t="e">
        <f t="shared" ca="1" si="31"/>
        <v>#VALUE!</v>
      </c>
      <c r="Y100" s="199" t="e">
        <f t="shared" ca="1" si="31"/>
        <v>#VALUE!</v>
      </c>
      <c r="Z100" s="199" t="e">
        <f t="shared" ca="1" si="31"/>
        <v>#VALUE!</v>
      </c>
      <c r="AA100" s="199" t="e">
        <f t="shared" ca="1" si="31"/>
        <v>#VALUE!</v>
      </c>
      <c r="AB100" s="199" t="e">
        <f t="shared" ca="1" si="31"/>
        <v>#VALUE!</v>
      </c>
      <c r="AC100" s="199" t="e">
        <f t="shared" ca="1" si="31"/>
        <v>#VALUE!</v>
      </c>
      <c r="AD100" s="199" t="e">
        <f t="shared" ca="1" si="31"/>
        <v>#VALUE!</v>
      </c>
      <c r="AE100" s="199" t="e">
        <f t="shared" ca="1" si="31"/>
        <v>#VALUE!</v>
      </c>
      <c r="AF100" s="199" t="e">
        <f t="shared" ca="1" si="31"/>
        <v>#VALUE!</v>
      </c>
      <c r="AG100" s="199" t="e">
        <f t="shared" ca="1" si="31"/>
        <v>#VALUE!</v>
      </c>
      <c r="AH100" s="199" t="e">
        <f t="shared" ca="1" si="31"/>
        <v>#VALUE!</v>
      </c>
      <c r="AI100" s="199" t="e">
        <f t="shared" ca="1" si="30"/>
        <v>#VALUE!</v>
      </c>
      <c r="AJ100" s="199" t="e">
        <f t="shared" ca="1" si="30"/>
        <v>#VALUE!</v>
      </c>
      <c r="AK100" s="199" t="e">
        <f t="shared" ca="1" si="30"/>
        <v>#VALUE!</v>
      </c>
      <c r="AL100" s="199" t="e">
        <f t="shared" ca="1" si="30"/>
        <v>#VALUE!</v>
      </c>
      <c r="AM100" s="199" t="e">
        <f t="shared" ca="1" si="30"/>
        <v>#VALUE!</v>
      </c>
      <c r="AN100" s="199" t="e">
        <f t="shared" ca="1" si="30"/>
        <v>#VALUE!</v>
      </c>
      <c r="AO100" s="199" t="e">
        <f t="shared" ca="1" si="30"/>
        <v>#VALUE!</v>
      </c>
      <c r="AP100" s="199" t="e">
        <f t="shared" ca="1" si="30"/>
        <v>#VALUE!</v>
      </c>
    </row>
    <row r="101" spans="1:42">
      <c r="A101" s="61" t="str">
        <f>'[4]TS BYDem'!A40</f>
        <v>*</v>
      </c>
      <c r="B101" s="199" t="s">
        <v>288</v>
      </c>
      <c r="C101" s="199" t="s">
        <v>137</v>
      </c>
      <c r="D101" s="199">
        <f>'[4]TS BYDem'!D40</f>
        <v>0</v>
      </c>
      <c r="E101" s="199" t="s">
        <v>137</v>
      </c>
      <c r="F101" s="199" t="s">
        <v>137</v>
      </c>
      <c r="G101" s="199" t="s">
        <v>137</v>
      </c>
      <c r="H101" s="199" t="s">
        <v>137</v>
      </c>
      <c r="I101" s="199">
        <v>0</v>
      </c>
      <c r="J101" s="199" t="str">
        <f>INDEX('[4]TS BYDem'!$J$10:$J$203,MATCH(D101,'[4]TS BYDem'!$D$10:$D$203,0))</f>
        <v/>
      </c>
      <c r="K101" s="199" t="e">
        <f t="shared" ca="1" si="31"/>
        <v>#VALUE!</v>
      </c>
      <c r="L101" s="199" t="e">
        <f t="shared" ca="1" si="31"/>
        <v>#VALUE!</v>
      </c>
      <c r="M101" s="199" t="e">
        <f t="shared" ca="1" si="31"/>
        <v>#VALUE!</v>
      </c>
      <c r="N101" s="199" t="e">
        <f t="shared" ca="1" si="31"/>
        <v>#VALUE!</v>
      </c>
      <c r="O101" s="199" t="e">
        <f t="shared" ca="1" si="31"/>
        <v>#VALUE!</v>
      </c>
      <c r="P101" s="199" t="e">
        <f t="shared" ca="1" si="31"/>
        <v>#VALUE!</v>
      </c>
      <c r="Q101" s="199" t="e">
        <f t="shared" ca="1" si="31"/>
        <v>#VALUE!</v>
      </c>
      <c r="R101" s="199" t="e">
        <f t="shared" ca="1" si="31"/>
        <v>#VALUE!</v>
      </c>
      <c r="S101" s="199" t="e">
        <f t="shared" ca="1" si="31"/>
        <v>#VALUE!</v>
      </c>
      <c r="T101" s="199" t="e">
        <f t="shared" ca="1" si="31"/>
        <v>#VALUE!</v>
      </c>
      <c r="U101" s="199" t="e">
        <f t="shared" ca="1" si="31"/>
        <v>#VALUE!</v>
      </c>
      <c r="V101" s="199" t="e">
        <f t="shared" ca="1" si="31"/>
        <v>#VALUE!</v>
      </c>
      <c r="W101" s="199" t="e">
        <f t="shared" ca="1" si="31"/>
        <v>#VALUE!</v>
      </c>
      <c r="X101" s="199" t="e">
        <f t="shared" ca="1" si="31"/>
        <v>#VALUE!</v>
      </c>
      <c r="Y101" s="199" t="e">
        <f t="shared" ca="1" si="31"/>
        <v>#VALUE!</v>
      </c>
      <c r="Z101" s="199" t="e">
        <f t="shared" ca="1" si="31"/>
        <v>#VALUE!</v>
      </c>
      <c r="AA101" s="199" t="e">
        <f t="shared" ca="1" si="31"/>
        <v>#VALUE!</v>
      </c>
      <c r="AB101" s="199" t="e">
        <f t="shared" ca="1" si="31"/>
        <v>#VALUE!</v>
      </c>
      <c r="AC101" s="199" t="e">
        <f t="shared" ca="1" si="31"/>
        <v>#VALUE!</v>
      </c>
      <c r="AD101" s="199" t="e">
        <f t="shared" ca="1" si="31"/>
        <v>#VALUE!</v>
      </c>
      <c r="AE101" s="199" t="e">
        <f t="shared" ca="1" si="31"/>
        <v>#VALUE!</v>
      </c>
      <c r="AF101" s="199" t="e">
        <f t="shared" ca="1" si="31"/>
        <v>#VALUE!</v>
      </c>
      <c r="AG101" s="199" t="e">
        <f t="shared" ca="1" si="31"/>
        <v>#VALUE!</v>
      </c>
      <c r="AH101" s="199" t="e">
        <f t="shared" ca="1" si="31"/>
        <v>#VALUE!</v>
      </c>
      <c r="AI101" s="199" t="e">
        <f t="shared" ca="1" si="30"/>
        <v>#VALUE!</v>
      </c>
      <c r="AJ101" s="199" t="e">
        <f t="shared" ca="1" si="30"/>
        <v>#VALUE!</v>
      </c>
      <c r="AK101" s="199" t="e">
        <f t="shared" ca="1" si="30"/>
        <v>#VALUE!</v>
      </c>
      <c r="AL101" s="199" t="e">
        <f t="shared" ca="1" si="30"/>
        <v>#VALUE!</v>
      </c>
      <c r="AM101" s="199" t="e">
        <f t="shared" ca="1" si="30"/>
        <v>#VALUE!</v>
      </c>
      <c r="AN101" s="199" t="e">
        <f t="shared" ca="1" si="30"/>
        <v>#VALUE!</v>
      </c>
      <c r="AO101" s="199" t="e">
        <f t="shared" ca="1" si="30"/>
        <v>#VALUE!</v>
      </c>
      <c r="AP101" s="199" t="e">
        <f t="shared" ca="1" si="30"/>
        <v>#VALUE!</v>
      </c>
    </row>
    <row r="102" spans="1:42">
      <c r="A102" s="61" t="str">
        <f>'[4]TS BYDem'!A41</f>
        <v>*</v>
      </c>
      <c r="B102" s="199" t="s">
        <v>288</v>
      </c>
      <c r="C102" s="199" t="s">
        <v>137</v>
      </c>
      <c r="D102" s="199" t="str">
        <f>'[4]TS BYDem'!D41</f>
        <v>IFAS</v>
      </c>
      <c r="E102" s="199" t="s">
        <v>137</v>
      </c>
      <c r="F102" s="199" t="s">
        <v>137</v>
      </c>
      <c r="G102" s="199" t="s">
        <v>137</v>
      </c>
      <c r="H102" s="199" t="s">
        <v>137</v>
      </c>
      <c r="I102" s="199">
        <v>0</v>
      </c>
      <c r="J102" s="199" t="str">
        <f>INDEX('[4]TS BYDem'!$J$10:$J$203,MATCH(D102,'[4]TS BYDem'!$D$10:$D$203,0))</f>
        <v/>
      </c>
      <c r="K102" s="199" t="e">
        <f t="shared" ca="1" si="31"/>
        <v>#VALUE!</v>
      </c>
      <c r="L102" s="199" t="e">
        <f t="shared" ca="1" si="31"/>
        <v>#VALUE!</v>
      </c>
      <c r="M102" s="199" t="e">
        <f t="shared" ca="1" si="31"/>
        <v>#VALUE!</v>
      </c>
      <c r="N102" s="199" t="e">
        <f t="shared" ca="1" si="31"/>
        <v>#VALUE!</v>
      </c>
      <c r="O102" s="199" t="e">
        <f t="shared" ca="1" si="31"/>
        <v>#VALUE!</v>
      </c>
      <c r="P102" s="199" t="e">
        <f t="shared" ca="1" si="31"/>
        <v>#VALUE!</v>
      </c>
      <c r="Q102" s="199" t="e">
        <f t="shared" ca="1" si="31"/>
        <v>#VALUE!</v>
      </c>
      <c r="R102" s="199" t="e">
        <f t="shared" ca="1" si="31"/>
        <v>#VALUE!</v>
      </c>
      <c r="S102" s="199" t="e">
        <f t="shared" ca="1" si="31"/>
        <v>#VALUE!</v>
      </c>
      <c r="T102" s="199" t="e">
        <f t="shared" ca="1" si="31"/>
        <v>#VALUE!</v>
      </c>
      <c r="U102" s="199" t="e">
        <f t="shared" ca="1" si="31"/>
        <v>#VALUE!</v>
      </c>
      <c r="V102" s="199" t="e">
        <f t="shared" ca="1" si="31"/>
        <v>#VALUE!</v>
      </c>
      <c r="W102" s="199" t="e">
        <f t="shared" ca="1" si="31"/>
        <v>#VALUE!</v>
      </c>
      <c r="X102" s="199" t="e">
        <f t="shared" ca="1" si="31"/>
        <v>#VALUE!</v>
      </c>
      <c r="Y102" s="199" t="e">
        <f t="shared" ca="1" si="31"/>
        <v>#VALUE!</v>
      </c>
      <c r="Z102" s="199" t="e">
        <f t="shared" ca="1" si="31"/>
        <v>#VALUE!</v>
      </c>
      <c r="AA102" s="199" t="e">
        <f t="shared" ca="1" si="31"/>
        <v>#VALUE!</v>
      </c>
      <c r="AB102" s="199" t="e">
        <f t="shared" ca="1" si="31"/>
        <v>#VALUE!</v>
      </c>
      <c r="AC102" s="199" t="e">
        <f t="shared" ca="1" si="31"/>
        <v>#VALUE!</v>
      </c>
      <c r="AD102" s="199" t="e">
        <f t="shared" ca="1" si="31"/>
        <v>#VALUE!</v>
      </c>
      <c r="AE102" s="199" t="e">
        <f t="shared" ca="1" si="31"/>
        <v>#VALUE!</v>
      </c>
      <c r="AF102" s="199" t="e">
        <f t="shared" ca="1" si="31"/>
        <v>#VALUE!</v>
      </c>
      <c r="AG102" s="199" t="e">
        <f t="shared" ca="1" si="31"/>
        <v>#VALUE!</v>
      </c>
      <c r="AH102" s="199" t="e">
        <f t="shared" ca="1" si="31"/>
        <v>#VALUE!</v>
      </c>
      <c r="AI102" s="199" t="e">
        <f t="shared" ca="1" si="30"/>
        <v>#VALUE!</v>
      </c>
      <c r="AJ102" s="199" t="e">
        <f t="shared" ca="1" si="30"/>
        <v>#VALUE!</v>
      </c>
      <c r="AK102" s="199" t="e">
        <f t="shared" ca="1" si="30"/>
        <v>#VALUE!</v>
      </c>
      <c r="AL102" s="199" t="e">
        <f t="shared" ca="1" si="30"/>
        <v>#VALUE!</v>
      </c>
      <c r="AM102" s="199" t="e">
        <f t="shared" ca="1" si="30"/>
        <v>#VALUE!</v>
      </c>
      <c r="AN102" s="199" t="e">
        <f t="shared" ca="1" si="30"/>
        <v>#VALUE!</v>
      </c>
      <c r="AO102" s="199" t="e">
        <f t="shared" ca="1" si="30"/>
        <v>#VALUE!</v>
      </c>
      <c r="AP102" s="199" t="e">
        <f t="shared" ca="1" si="30"/>
        <v>#VALUE!</v>
      </c>
    </row>
    <row r="103" spans="1:42">
      <c r="A103" s="61" t="str">
        <f>'[4]TS BYDem'!A42</f>
        <v>*</v>
      </c>
      <c r="B103" s="199" t="s">
        <v>288</v>
      </c>
      <c r="C103" s="199" t="s">
        <v>137</v>
      </c>
      <c r="D103" s="199" t="str">
        <f>'[4]TS BYDem'!D42</f>
        <v>IFAS</v>
      </c>
      <c r="E103" s="199" t="s">
        <v>137</v>
      </c>
      <c r="F103" s="199" t="s">
        <v>137</v>
      </c>
      <c r="G103" s="199" t="s">
        <v>137</v>
      </c>
      <c r="H103" s="199" t="s">
        <v>137</v>
      </c>
      <c r="I103" s="199">
        <v>0</v>
      </c>
      <c r="J103" s="199" t="str">
        <f>INDEX('[4]TS BYDem'!$J$10:$J$203,MATCH(D103,'[4]TS BYDem'!$D$10:$D$203,0))</f>
        <v/>
      </c>
      <c r="K103" s="199" t="e">
        <f t="shared" ca="1" si="31"/>
        <v>#VALUE!</v>
      </c>
      <c r="L103" s="199" t="e">
        <f t="shared" ca="1" si="31"/>
        <v>#VALUE!</v>
      </c>
      <c r="M103" s="199" t="e">
        <f t="shared" ca="1" si="31"/>
        <v>#VALUE!</v>
      </c>
      <c r="N103" s="199" t="e">
        <f t="shared" ca="1" si="31"/>
        <v>#VALUE!</v>
      </c>
      <c r="O103" s="199" t="e">
        <f t="shared" ca="1" si="31"/>
        <v>#VALUE!</v>
      </c>
      <c r="P103" s="199" t="e">
        <f t="shared" ca="1" si="31"/>
        <v>#VALUE!</v>
      </c>
      <c r="Q103" s="199" t="e">
        <f t="shared" ca="1" si="31"/>
        <v>#VALUE!</v>
      </c>
      <c r="R103" s="199" t="e">
        <f t="shared" ca="1" si="31"/>
        <v>#VALUE!</v>
      </c>
      <c r="S103" s="199" t="e">
        <f t="shared" ca="1" si="31"/>
        <v>#VALUE!</v>
      </c>
      <c r="T103" s="199" t="e">
        <f t="shared" ca="1" si="31"/>
        <v>#VALUE!</v>
      </c>
      <c r="U103" s="199" t="e">
        <f t="shared" ca="1" si="31"/>
        <v>#VALUE!</v>
      </c>
      <c r="V103" s="199" t="e">
        <f t="shared" ca="1" si="31"/>
        <v>#VALUE!</v>
      </c>
      <c r="W103" s="199" t="e">
        <f t="shared" ca="1" si="31"/>
        <v>#VALUE!</v>
      </c>
      <c r="X103" s="199" t="e">
        <f t="shared" ca="1" si="31"/>
        <v>#VALUE!</v>
      </c>
      <c r="Y103" s="199" t="e">
        <f t="shared" ca="1" si="31"/>
        <v>#VALUE!</v>
      </c>
      <c r="Z103" s="199" t="e">
        <f t="shared" ref="Z103:AO111" ca="1" si="32">Z$91/Y$91*Y103</f>
        <v>#VALUE!</v>
      </c>
      <c r="AA103" s="199" t="e">
        <f t="shared" ca="1" si="32"/>
        <v>#VALUE!</v>
      </c>
      <c r="AB103" s="199" t="e">
        <f t="shared" ca="1" si="32"/>
        <v>#VALUE!</v>
      </c>
      <c r="AC103" s="199" t="e">
        <f t="shared" ca="1" si="32"/>
        <v>#VALUE!</v>
      </c>
      <c r="AD103" s="199" t="e">
        <f t="shared" ca="1" si="32"/>
        <v>#VALUE!</v>
      </c>
      <c r="AE103" s="199" t="e">
        <f t="shared" ca="1" si="32"/>
        <v>#VALUE!</v>
      </c>
      <c r="AF103" s="199" t="e">
        <f t="shared" ca="1" si="32"/>
        <v>#VALUE!</v>
      </c>
      <c r="AG103" s="199" t="e">
        <f t="shared" ca="1" si="32"/>
        <v>#VALUE!</v>
      </c>
      <c r="AH103" s="199" t="e">
        <f t="shared" ca="1" si="32"/>
        <v>#VALUE!</v>
      </c>
      <c r="AI103" s="199" t="e">
        <f t="shared" ca="1" si="30"/>
        <v>#VALUE!</v>
      </c>
      <c r="AJ103" s="199" t="e">
        <f t="shared" ca="1" si="30"/>
        <v>#VALUE!</v>
      </c>
      <c r="AK103" s="199" t="e">
        <f t="shared" ca="1" si="30"/>
        <v>#VALUE!</v>
      </c>
      <c r="AL103" s="199" t="e">
        <f t="shared" ca="1" si="30"/>
        <v>#VALUE!</v>
      </c>
      <c r="AM103" s="199" t="e">
        <f t="shared" ca="1" si="30"/>
        <v>#VALUE!</v>
      </c>
      <c r="AN103" s="199" t="e">
        <f t="shared" ca="1" si="30"/>
        <v>#VALUE!</v>
      </c>
      <c r="AO103" s="199" t="e">
        <f t="shared" ca="1" si="30"/>
        <v>#VALUE!</v>
      </c>
      <c r="AP103" s="199" t="e">
        <f t="shared" ca="1" si="30"/>
        <v>#VALUE!</v>
      </c>
    </row>
    <row r="104" spans="1:42">
      <c r="A104" s="61" t="str">
        <f>'[4]TS BYDem'!A43</f>
        <v>*</v>
      </c>
      <c r="B104" s="199" t="s">
        <v>288</v>
      </c>
      <c r="C104" s="199" t="s">
        <v>137</v>
      </c>
      <c r="D104" s="199" t="str">
        <f>'[4]TS BYDem'!D43</f>
        <v>IFAS</v>
      </c>
      <c r="E104" s="199" t="s">
        <v>137</v>
      </c>
      <c r="F104" s="199" t="s">
        <v>137</v>
      </c>
      <c r="G104" s="199" t="s">
        <v>137</v>
      </c>
      <c r="H104" s="199" t="s">
        <v>137</v>
      </c>
      <c r="I104" s="199">
        <v>0</v>
      </c>
      <c r="J104" s="199" t="str">
        <f>INDEX('[4]TS BYDem'!$J$10:$J$203,MATCH(D104,'[4]TS BYDem'!$D$10:$D$203,0))</f>
        <v/>
      </c>
      <c r="K104" s="199" t="e">
        <f t="shared" ref="K104:Y111" ca="1" si="33">K$91/J$91*J104</f>
        <v>#VALUE!</v>
      </c>
      <c r="L104" s="199" t="e">
        <f t="shared" ca="1" si="33"/>
        <v>#VALUE!</v>
      </c>
      <c r="M104" s="199" t="e">
        <f t="shared" ca="1" si="33"/>
        <v>#VALUE!</v>
      </c>
      <c r="N104" s="199" t="e">
        <f t="shared" ca="1" si="33"/>
        <v>#VALUE!</v>
      </c>
      <c r="O104" s="199" t="e">
        <f t="shared" ca="1" si="33"/>
        <v>#VALUE!</v>
      </c>
      <c r="P104" s="199" t="e">
        <f t="shared" ca="1" si="33"/>
        <v>#VALUE!</v>
      </c>
      <c r="Q104" s="199" t="e">
        <f t="shared" ca="1" si="33"/>
        <v>#VALUE!</v>
      </c>
      <c r="R104" s="199" t="e">
        <f t="shared" ca="1" si="33"/>
        <v>#VALUE!</v>
      </c>
      <c r="S104" s="199" t="e">
        <f t="shared" ca="1" si="33"/>
        <v>#VALUE!</v>
      </c>
      <c r="T104" s="199" t="e">
        <f t="shared" ca="1" si="33"/>
        <v>#VALUE!</v>
      </c>
      <c r="U104" s="199" t="e">
        <f t="shared" ca="1" si="33"/>
        <v>#VALUE!</v>
      </c>
      <c r="V104" s="199" t="e">
        <f t="shared" ca="1" si="33"/>
        <v>#VALUE!</v>
      </c>
      <c r="W104" s="199" t="e">
        <f t="shared" ca="1" si="33"/>
        <v>#VALUE!</v>
      </c>
      <c r="X104" s="199" t="e">
        <f t="shared" ca="1" si="33"/>
        <v>#VALUE!</v>
      </c>
      <c r="Y104" s="199" t="e">
        <f t="shared" ca="1" si="33"/>
        <v>#VALUE!</v>
      </c>
      <c r="Z104" s="199" t="e">
        <f t="shared" ca="1" si="32"/>
        <v>#VALUE!</v>
      </c>
      <c r="AA104" s="199" t="e">
        <f t="shared" ca="1" si="32"/>
        <v>#VALUE!</v>
      </c>
      <c r="AB104" s="199" t="e">
        <f t="shared" ca="1" si="32"/>
        <v>#VALUE!</v>
      </c>
      <c r="AC104" s="199" t="e">
        <f t="shared" ca="1" si="32"/>
        <v>#VALUE!</v>
      </c>
      <c r="AD104" s="199" t="e">
        <f t="shared" ca="1" si="32"/>
        <v>#VALUE!</v>
      </c>
      <c r="AE104" s="199" t="e">
        <f t="shared" ca="1" si="32"/>
        <v>#VALUE!</v>
      </c>
      <c r="AF104" s="199" t="e">
        <f t="shared" ca="1" si="32"/>
        <v>#VALUE!</v>
      </c>
      <c r="AG104" s="199" t="e">
        <f t="shared" ca="1" si="32"/>
        <v>#VALUE!</v>
      </c>
      <c r="AH104" s="199" t="e">
        <f t="shared" ca="1" si="32"/>
        <v>#VALUE!</v>
      </c>
      <c r="AI104" s="199" t="e">
        <f t="shared" ca="1" si="30"/>
        <v>#VALUE!</v>
      </c>
      <c r="AJ104" s="199" t="e">
        <f t="shared" ca="1" si="30"/>
        <v>#VALUE!</v>
      </c>
      <c r="AK104" s="199" t="e">
        <f t="shared" ca="1" si="30"/>
        <v>#VALUE!</v>
      </c>
      <c r="AL104" s="199" t="e">
        <f t="shared" ca="1" si="30"/>
        <v>#VALUE!</v>
      </c>
      <c r="AM104" s="199" t="e">
        <f t="shared" ca="1" si="30"/>
        <v>#VALUE!</v>
      </c>
      <c r="AN104" s="199" t="e">
        <f t="shared" ca="1" si="30"/>
        <v>#VALUE!</v>
      </c>
      <c r="AO104" s="199" t="e">
        <f t="shared" ca="1" si="30"/>
        <v>#VALUE!</v>
      </c>
      <c r="AP104" s="199" t="e">
        <f t="shared" ca="1" si="30"/>
        <v>#VALUE!</v>
      </c>
    </row>
    <row r="105" spans="1:42">
      <c r="A105" s="61" t="str">
        <f>'[4]TS BYDem'!A44</f>
        <v>*</v>
      </c>
      <c r="B105" s="199" t="s">
        <v>288</v>
      </c>
      <c r="C105" s="199" t="s">
        <v>137</v>
      </c>
      <c r="D105" s="199" t="str">
        <f>'[4]TS BYDem'!D44</f>
        <v>IFAS</v>
      </c>
      <c r="E105" s="199" t="s">
        <v>137</v>
      </c>
      <c r="F105" s="199" t="s">
        <v>137</v>
      </c>
      <c r="G105" s="199" t="s">
        <v>137</v>
      </c>
      <c r="H105" s="199" t="s">
        <v>137</v>
      </c>
      <c r="I105" s="199">
        <v>0</v>
      </c>
      <c r="J105" s="199" t="str">
        <f>INDEX('[4]TS BYDem'!$J$10:$J$203,MATCH(D105,'[4]TS BYDem'!$D$10:$D$203,0))</f>
        <v/>
      </c>
      <c r="K105" s="199" t="e">
        <f t="shared" ca="1" si="33"/>
        <v>#VALUE!</v>
      </c>
      <c r="L105" s="199" t="e">
        <f t="shared" ca="1" si="33"/>
        <v>#VALUE!</v>
      </c>
      <c r="M105" s="199" t="e">
        <f t="shared" ca="1" si="33"/>
        <v>#VALUE!</v>
      </c>
      <c r="N105" s="199" t="e">
        <f t="shared" ca="1" si="33"/>
        <v>#VALUE!</v>
      </c>
      <c r="O105" s="199" t="e">
        <f t="shared" ca="1" si="33"/>
        <v>#VALUE!</v>
      </c>
      <c r="P105" s="199" t="e">
        <f t="shared" ca="1" si="33"/>
        <v>#VALUE!</v>
      </c>
      <c r="Q105" s="199" t="e">
        <f t="shared" ca="1" si="33"/>
        <v>#VALUE!</v>
      </c>
      <c r="R105" s="199" t="e">
        <f t="shared" ca="1" si="33"/>
        <v>#VALUE!</v>
      </c>
      <c r="S105" s="199" t="e">
        <f t="shared" ca="1" si="33"/>
        <v>#VALUE!</v>
      </c>
      <c r="T105" s="199" t="e">
        <f t="shared" ca="1" si="33"/>
        <v>#VALUE!</v>
      </c>
      <c r="U105" s="199" t="e">
        <f t="shared" ca="1" si="33"/>
        <v>#VALUE!</v>
      </c>
      <c r="V105" s="199" t="e">
        <f t="shared" ca="1" si="33"/>
        <v>#VALUE!</v>
      </c>
      <c r="W105" s="199" t="e">
        <f t="shared" ca="1" si="33"/>
        <v>#VALUE!</v>
      </c>
      <c r="X105" s="199" t="e">
        <f t="shared" ca="1" si="33"/>
        <v>#VALUE!</v>
      </c>
      <c r="Y105" s="199" t="e">
        <f t="shared" ca="1" si="33"/>
        <v>#VALUE!</v>
      </c>
      <c r="Z105" s="199" t="e">
        <f t="shared" ca="1" si="32"/>
        <v>#VALUE!</v>
      </c>
      <c r="AA105" s="199" t="e">
        <f t="shared" ca="1" si="32"/>
        <v>#VALUE!</v>
      </c>
      <c r="AB105" s="199" t="e">
        <f t="shared" ca="1" si="32"/>
        <v>#VALUE!</v>
      </c>
      <c r="AC105" s="199" t="e">
        <f t="shared" ca="1" si="32"/>
        <v>#VALUE!</v>
      </c>
      <c r="AD105" s="199" t="e">
        <f t="shared" ca="1" si="32"/>
        <v>#VALUE!</v>
      </c>
      <c r="AE105" s="199" t="e">
        <f t="shared" ca="1" si="32"/>
        <v>#VALUE!</v>
      </c>
      <c r="AF105" s="199" t="e">
        <f t="shared" ca="1" si="32"/>
        <v>#VALUE!</v>
      </c>
      <c r="AG105" s="199" t="e">
        <f t="shared" ca="1" si="32"/>
        <v>#VALUE!</v>
      </c>
      <c r="AH105" s="199" t="e">
        <f t="shared" ca="1" si="32"/>
        <v>#VALUE!</v>
      </c>
      <c r="AI105" s="199" t="e">
        <f t="shared" ca="1" si="30"/>
        <v>#VALUE!</v>
      </c>
      <c r="AJ105" s="199" t="e">
        <f t="shared" ca="1" si="30"/>
        <v>#VALUE!</v>
      </c>
      <c r="AK105" s="199" t="e">
        <f t="shared" ca="1" si="30"/>
        <v>#VALUE!</v>
      </c>
      <c r="AL105" s="199" t="e">
        <f t="shared" ca="1" si="30"/>
        <v>#VALUE!</v>
      </c>
      <c r="AM105" s="199" t="e">
        <f t="shared" ca="1" si="30"/>
        <v>#VALUE!</v>
      </c>
      <c r="AN105" s="199" t="e">
        <f t="shared" ca="1" si="30"/>
        <v>#VALUE!</v>
      </c>
      <c r="AO105" s="199" t="e">
        <f t="shared" ca="1" si="30"/>
        <v>#VALUE!</v>
      </c>
      <c r="AP105" s="199" t="e">
        <f t="shared" ca="1" si="30"/>
        <v>#VALUE!</v>
      </c>
    </row>
    <row r="106" spans="1:42">
      <c r="A106" s="61" t="str">
        <f>'[4]TS BYDem'!A45</f>
        <v>*</v>
      </c>
      <c r="B106" s="199" t="s">
        <v>288</v>
      </c>
      <c r="C106" s="199" t="s">
        <v>137</v>
      </c>
      <c r="D106" s="199" t="str">
        <f>'[4]TS BYDem'!D45</f>
        <v>IFAS</v>
      </c>
      <c r="E106" s="199" t="s">
        <v>137</v>
      </c>
      <c r="F106" s="199" t="s">
        <v>137</v>
      </c>
      <c r="G106" s="199" t="s">
        <v>137</v>
      </c>
      <c r="H106" s="199" t="s">
        <v>137</v>
      </c>
      <c r="I106" s="199">
        <v>0</v>
      </c>
      <c r="J106" s="199" t="str">
        <f>INDEX('[4]TS BYDem'!$J$10:$J$203,MATCH(D106,'[4]TS BYDem'!$D$10:$D$203,0))</f>
        <v/>
      </c>
      <c r="K106" s="199" t="e">
        <f t="shared" ca="1" si="33"/>
        <v>#VALUE!</v>
      </c>
      <c r="L106" s="199" t="e">
        <f t="shared" ca="1" si="33"/>
        <v>#VALUE!</v>
      </c>
      <c r="M106" s="199" t="e">
        <f t="shared" ca="1" si="33"/>
        <v>#VALUE!</v>
      </c>
      <c r="N106" s="199" t="e">
        <f t="shared" ca="1" si="33"/>
        <v>#VALUE!</v>
      </c>
      <c r="O106" s="199" t="e">
        <f t="shared" ca="1" si="33"/>
        <v>#VALUE!</v>
      </c>
      <c r="P106" s="199" t="e">
        <f t="shared" ca="1" si="33"/>
        <v>#VALUE!</v>
      </c>
      <c r="Q106" s="199" t="e">
        <f t="shared" ca="1" si="33"/>
        <v>#VALUE!</v>
      </c>
      <c r="R106" s="199" t="e">
        <f t="shared" ca="1" si="33"/>
        <v>#VALUE!</v>
      </c>
      <c r="S106" s="199" t="e">
        <f t="shared" ca="1" si="33"/>
        <v>#VALUE!</v>
      </c>
      <c r="T106" s="199" t="e">
        <f t="shared" ca="1" si="33"/>
        <v>#VALUE!</v>
      </c>
      <c r="U106" s="199" t="e">
        <f t="shared" ca="1" si="33"/>
        <v>#VALUE!</v>
      </c>
      <c r="V106" s="199" t="e">
        <f t="shared" ca="1" si="33"/>
        <v>#VALUE!</v>
      </c>
      <c r="W106" s="199" t="e">
        <f t="shared" ca="1" si="33"/>
        <v>#VALUE!</v>
      </c>
      <c r="X106" s="199" t="e">
        <f t="shared" ca="1" si="33"/>
        <v>#VALUE!</v>
      </c>
      <c r="Y106" s="199" t="e">
        <f t="shared" ca="1" si="33"/>
        <v>#VALUE!</v>
      </c>
      <c r="Z106" s="199" t="e">
        <f t="shared" ca="1" si="32"/>
        <v>#VALUE!</v>
      </c>
      <c r="AA106" s="199" t="e">
        <f t="shared" ca="1" si="32"/>
        <v>#VALUE!</v>
      </c>
      <c r="AB106" s="199" t="e">
        <f t="shared" ca="1" si="32"/>
        <v>#VALUE!</v>
      </c>
      <c r="AC106" s="199" t="e">
        <f t="shared" ca="1" si="32"/>
        <v>#VALUE!</v>
      </c>
      <c r="AD106" s="199" t="e">
        <f t="shared" ca="1" si="32"/>
        <v>#VALUE!</v>
      </c>
      <c r="AE106" s="199" t="e">
        <f t="shared" ca="1" si="32"/>
        <v>#VALUE!</v>
      </c>
      <c r="AF106" s="199" t="e">
        <f t="shared" ca="1" si="32"/>
        <v>#VALUE!</v>
      </c>
      <c r="AG106" s="199" t="e">
        <f t="shared" ca="1" si="32"/>
        <v>#VALUE!</v>
      </c>
      <c r="AH106" s="199" t="e">
        <f t="shared" ca="1" si="32"/>
        <v>#VALUE!</v>
      </c>
      <c r="AI106" s="199" t="e">
        <f t="shared" ca="1" si="30"/>
        <v>#VALUE!</v>
      </c>
      <c r="AJ106" s="199" t="e">
        <f t="shared" ca="1" si="30"/>
        <v>#VALUE!</v>
      </c>
      <c r="AK106" s="199" t="e">
        <f t="shared" ca="1" si="30"/>
        <v>#VALUE!</v>
      </c>
      <c r="AL106" s="199" t="e">
        <f t="shared" ca="1" si="30"/>
        <v>#VALUE!</v>
      </c>
      <c r="AM106" s="199" t="e">
        <f t="shared" ca="1" si="30"/>
        <v>#VALUE!</v>
      </c>
      <c r="AN106" s="199" t="e">
        <f t="shared" ca="1" si="30"/>
        <v>#VALUE!</v>
      </c>
      <c r="AO106" s="199" t="e">
        <f t="shared" ca="1" si="30"/>
        <v>#VALUE!</v>
      </c>
      <c r="AP106" s="199" t="e">
        <f t="shared" ca="1" si="30"/>
        <v>#VALUE!</v>
      </c>
    </row>
    <row r="107" spans="1:42">
      <c r="A107" s="61" t="str">
        <f>'[4]TS BYDem'!A46</f>
        <v>*</v>
      </c>
      <c r="B107" s="199" t="s">
        <v>288</v>
      </c>
      <c r="C107" s="199" t="s">
        <v>137</v>
      </c>
      <c r="D107" s="199" t="str">
        <f>'[4]TS BYDem'!D46</f>
        <v>IFAS</v>
      </c>
      <c r="E107" s="199" t="s">
        <v>137</v>
      </c>
      <c r="F107" s="199" t="s">
        <v>137</v>
      </c>
      <c r="G107" s="199" t="s">
        <v>137</v>
      </c>
      <c r="H107" s="199" t="s">
        <v>137</v>
      </c>
      <c r="I107" s="199">
        <v>0</v>
      </c>
      <c r="J107" s="199" t="str">
        <f>INDEX('[4]TS BYDem'!$J$10:$J$203,MATCH(D107,'[4]TS BYDem'!$D$10:$D$203,0))</f>
        <v/>
      </c>
      <c r="K107" s="199" t="e">
        <f t="shared" ca="1" si="33"/>
        <v>#VALUE!</v>
      </c>
      <c r="L107" s="199" t="e">
        <f t="shared" ca="1" si="33"/>
        <v>#VALUE!</v>
      </c>
      <c r="M107" s="199" t="e">
        <f t="shared" ca="1" si="33"/>
        <v>#VALUE!</v>
      </c>
      <c r="N107" s="199" t="e">
        <f t="shared" ca="1" si="33"/>
        <v>#VALUE!</v>
      </c>
      <c r="O107" s="199" t="e">
        <f t="shared" ca="1" si="33"/>
        <v>#VALUE!</v>
      </c>
      <c r="P107" s="199" t="e">
        <f t="shared" ca="1" si="33"/>
        <v>#VALUE!</v>
      </c>
      <c r="Q107" s="199" t="e">
        <f t="shared" ca="1" si="33"/>
        <v>#VALUE!</v>
      </c>
      <c r="R107" s="199" t="e">
        <f t="shared" ca="1" si="33"/>
        <v>#VALUE!</v>
      </c>
      <c r="S107" s="199" t="e">
        <f t="shared" ca="1" si="33"/>
        <v>#VALUE!</v>
      </c>
      <c r="T107" s="199" t="e">
        <f t="shared" ca="1" si="33"/>
        <v>#VALUE!</v>
      </c>
      <c r="U107" s="199" t="e">
        <f t="shared" ca="1" si="33"/>
        <v>#VALUE!</v>
      </c>
      <c r="V107" s="199" t="e">
        <f t="shared" ca="1" si="33"/>
        <v>#VALUE!</v>
      </c>
      <c r="W107" s="199" t="e">
        <f t="shared" ca="1" si="33"/>
        <v>#VALUE!</v>
      </c>
      <c r="X107" s="199" t="e">
        <f t="shared" ca="1" si="33"/>
        <v>#VALUE!</v>
      </c>
      <c r="Y107" s="199" t="e">
        <f t="shared" ca="1" si="33"/>
        <v>#VALUE!</v>
      </c>
      <c r="Z107" s="199" t="e">
        <f t="shared" ca="1" si="32"/>
        <v>#VALUE!</v>
      </c>
      <c r="AA107" s="199" t="e">
        <f t="shared" ca="1" si="32"/>
        <v>#VALUE!</v>
      </c>
      <c r="AB107" s="199" t="e">
        <f t="shared" ca="1" si="32"/>
        <v>#VALUE!</v>
      </c>
      <c r="AC107" s="199" t="e">
        <f t="shared" ca="1" si="32"/>
        <v>#VALUE!</v>
      </c>
      <c r="AD107" s="199" t="e">
        <f t="shared" ca="1" si="32"/>
        <v>#VALUE!</v>
      </c>
      <c r="AE107" s="199" t="e">
        <f t="shared" ca="1" si="32"/>
        <v>#VALUE!</v>
      </c>
      <c r="AF107" s="199" t="e">
        <f t="shared" ca="1" si="32"/>
        <v>#VALUE!</v>
      </c>
      <c r="AG107" s="199" t="e">
        <f t="shared" ca="1" si="32"/>
        <v>#VALUE!</v>
      </c>
      <c r="AH107" s="199" t="e">
        <f t="shared" ca="1" si="32"/>
        <v>#VALUE!</v>
      </c>
      <c r="AI107" s="199" t="e">
        <f t="shared" ca="1" si="30"/>
        <v>#VALUE!</v>
      </c>
      <c r="AJ107" s="199" t="e">
        <f t="shared" ca="1" si="30"/>
        <v>#VALUE!</v>
      </c>
      <c r="AK107" s="199" t="e">
        <f t="shared" ca="1" si="30"/>
        <v>#VALUE!</v>
      </c>
      <c r="AL107" s="199" t="e">
        <f t="shared" ca="1" si="30"/>
        <v>#VALUE!</v>
      </c>
      <c r="AM107" s="199" t="e">
        <f t="shared" ca="1" si="30"/>
        <v>#VALUE!</v>
      </c>
      <c r="AN107" s="199" t="e">
        <f t="shared" ca="1" si="30"/>
        <v>#VALUE!</v>
      </c>
      <c r="AO107" s="199" t="e">
        <f t="shared" ca="1" si="30"/>
        <v>#VALUE!</v>
      </c>
      <c r="AP107" s="199" t="e">
        <f t="shared" ca="1" si="30"/>
        <v>#VALUE!</v>
      </c>
    </row>
    <row r="108" spans="1:42">
      <c r="A108" s="61" t="str">
        <f>'[4]TS BYDem'!A47</f>
        <v>*</v>
      </c>
      <c r="B108" s="199" t="s">
        <v>288</v>
      </c>
      <c r="C108" s="199" t="s">
        <v>137</v>
      </c>
      <c r="D108" s="199">
        <f>'[4]TS BYDem'!D47</f>
        <v>0</v>
      </c>
      <c r="E108" s="199" t="s">
        <v>137</v>
      </c>
      <c r="F108" s="199" t="s">
        <v>137</v>
      </c>
      <c r="G108" s="199" t="s">
        <v>137</v>
      </c>
      <c r="H108" s="199" t="s">
        <v>137</v>
      </c>
      <c r="I108" s="199">
        <v>0</v>
      </c>
      <c r="J108" s="199" t="str">
        <f>INDEX('[4]TS BYDem'!$J$10:$J$203,MATCH(D108,'[4]TS BYDem'!$D$10:$D$203,0))</f>
        <v/>
      </c>
      <c r="K108" s="199" t="e">
        <f t="shared" ca="1" si="33"/>
        <v>#VALUE!</v>
      </c>
      <c r="L108" s="199" t="e">
        <f t="shared" ca="1" si="33"/>
        <v>#VALUE!</v>
      </c>
      <c r="M108" s="199" t="e">
        <f t="shared" ca="1" si="33"/>
        <v>#VALUE!</v>
      </c>
      <c r="N108" s="199" t="e">
        <f t="shared" ca="1" si="33"/>
        <v>#VALUE!</v>
      </c>
      <c r="O108" s="199" t="e">
        <f t="shared" ca="1" si="33"/>
        <v>#VALUE!</v>
      </c>
      <c r="P108" s="199" t="e">
        <f t="shared" ca="1" si="33"/>
        <v>#VALUE!</v>
      </c>
      <c r="Q108" s="199" t="e">
        <f t="shared" ca="1" si="33"/>
        <v>#VALUE!</v>
      </c>
      <c r="R108" s="199" t="e">
        <f t="shared" ca="1" si="33"/>
        <v>#VALUE!</v>
      </c>
      <c r="S108" s="199" t="e">
        <f t="shared" ca="1" si="33"/>
        <v>#VALUE!</v>
      </c>
      <c r="T108" s="199" t="e">
        <f t="shared" ca="1" si="33"/>
        <v>#VALUE!</v>
      </c>
      <c r="U108" s="199" t="e">
        <f t="shared" ca="1" si="33"/>
        <v>#VALUE!</v>
      </c>
      <c r="V108" s="199" t="e">
        <f t="shared" ca="1" si="33"/>
        <v>#VALUE!</v>
      </c>
      <c r="W108" s="199" t="e">
        <f t="shared" ca="1" si="33"/>
        <v>#VALUE!</v>
      </c>
      <c r="X108" s="199" t="e">
        <f t="shared" ca="1" si="33"/>
        <v>#VALUE!</v>
      </c>
      <c r="Y108" s="199" t="e">
        <f t="shared" ca="1" si="33"/>
        <v>#VALUE!</v>
      </c>
      <c r="Z108" s="199" t="e">
        <f t="shared" ca="1" si="32"/>
        <v>#VALUE!</v>
      </c>
      <c r="AA108" s="199" t="e">
        <f t="shared" ca="1" si="32"/>
        <v>#VALUE!</v>
      </c>
      <c r="AB108" s="199" t="e">
        <f t="shared" ca="1" si="32"/>
        <v>#VALUE!</v>
      </c>
      <c r="AC108" s="199" t="e">
        <f t="shared" ca="1" si="32"/>
        <v>#VALUE!</v>
      </c>
      <c r="AD108" s="199" t="e">
        <f t="shared" ca="1" si="32"/>
        <v>#VALUE!</v>
      </c>
      <c r="AE108" s="199" t="e">
        <f t="shared" ca="1" si="32"/>
        <v>#VALUE!</v>
      </c>
      <c r="AF108" s="199" t="e">
        <f t="shared" ca="1" si="32"/>
        <v>#VALUE!</v>
      </c>
      <c r="AG108" s="199" t="e">
        <f t="shared" ca="1" si="32"/>
        <v>#VALUE!</v>
      </c>
      <c r="AH108" s="199" t="e">
        <f t="shared" ca="1" si="32"/>
        <v>#VALUE!</v>
      </c>
      <c r="AI108" s="199" t="e">
        <f t="shared" ca="1" si="32"/>
        <v>#VALUE!</v>
      </c>
      <c r="AJ108" s="199" t="e">
        <f t="shared" ca="1" si="32"/>
        <v>#VALUE!</v>
      </c>
      <c r="AK108" s="199" t="e">
        <f t="shared" ca="1" si="32"/>
        <v>#VALUE!</v>
      </c>
      <c r="AL108" s="199" t="e">
        <f t="shared" ca="1" si="32"/>
        <v>#VALUE!</v>
      </c>
      <c r="AM108" s="199" t="e">
        <f t="shared" ca="1" si="32"/>
        <v>#VALUE!</v>
      </c>
      <c r="AN108" s="199" t="e">
        <f t="shared" ca="1" si="32"/>
        <v>#VALUE!</v>
      </c>
      <c r="AO108" s="199" t="e">
        <f t="shared" ca="1" si="32"/>
        <v>#VALUE!</v>
      </c>
      <c r="AP108" s="199" t="e">
        <f t="shared" ref="AP108:AP111" ca="1" si="34">AP$91/AO$91*AO108</f>
        <v>#VALUE!</v>
      </c>
    </row>
    <row r="109" spans="1:42">
      <c r="A109" s="61" t="str">
        <f>'[4]TS BYDem'!A48</f>
        <v>*</v>
      </c>
      <c r="B109" s="199" t="s">
        <v>288</v>
      </c>
      <c r="C109" s="199" t="s">
        <v>137</v>
      </c>
      <c r="D109" s="199" t="str">
        <f>'[4]TS BYDem'!D48</f>
        <v>IFAR</v>
      </c>
      <c r="E109" s="199" t="s">
        <v>137</v>
      </c>
      <c r="F109" s="199" t="s">
        <v>137</v>
      </c>
      <c r="G109" s="199" t="s">
        <v>137</v>
      </c>
      <c r="H109" s="199" t="s">
        <v>137</v>
      </c>
      <c r="I109" s="199">
        <v>0</v>
      </c>
      <c r="J109" s="199" t="str">
        <f>INDEX('[4]TS BYDem'!$J$10:$J$203,MATCH(D109,'[4]TS BYDem'!$D$10:$D$203,0))</f>
        <v/>
      </c>
      <c r="K109" s="199" t="e">
        <f t="shared" ca="1" si="33"/>
        <v>#VALUE!</v>
      </c>
      <c r="L109" s="199" t="e">
        <f t="shared" ca="1" si="33"/>
        <v>#VALUE!</v>
      </c>
      <c r="M109" s="199" t="e">
        <f t="shared" ca="1" si="33"/>
        <v>#VALUE!</v>
      </c>
      <c r="N109" s="199" t="e">
        <f t="shared" ca="1" si="33"/>
        <v>#VALUE!</v>
      </c>
      <c r="O109" s="199" t="e">
        <f t="shared" ca="1" si="33"/>
        <v>#VALUE!</v>
      </c>
      <c r="P109" s="199" t="e">
        <f t="shared" ca="1" si="33"/>
        <v>#VALUE!</v>
      </c>
      <c r="Q109" s="199" t="e">
        <f t="shared" ca="1" si="33"/>
        <v>#VALUE!</v>
      </c>
      <c r="R109" s="199" t="e">
        <f t="shared" ca="1" si="33"/>
        <v>#VALUE!</v>
      </c>
      <c r="S109" s="199" t="e">
        <f t="shared" ca="1" si="33"/>
        <v>#VALUE!</v>
      </c>
      <c r="T109" s="199" t="e">
        <f t="shared" ca="1" si="33"/>
        <v>#VALUE!</v>
      </c>
      <c r="U109" s="199" t="e">
        <f t="shared" ca="1" si="33"/>
        <v>#VALUE!</v>
      </c>
      <c r="V109" s="199" t="e">
        <f t="shared" ca="1" si="33"/>
        <v>#VALUE!</v>
      </c>
      <c r="W109" s="199" t="e">
        <f t="shared" ca="1" si="33"/>
        <v>#VALUE!</v>
      </c>
      <c r="X109" s="199" t="e">
        <f t="shared" ca="1" si="33"/>
        <v>#VALUE!</v>
      </c>
      <c r="Y109" s="199" t="e">
        <f t="shared" ca="1" si="33"/>
        <v>#VALUE!</v>
      </c>
      <c r="Z109" s="199" t="e">
        <f t="shared" ca="1" si="32"/>
        <v>#VALUE!</v>
      </c>
      <c r="AA109" s="199" t="e">
        <f t="shared" ca="1" si="32"/>
        <v>#VALUE!</v>
      </c>
      <c r="AB109" s="199" t="e">
        <f t="shared" ca="1" si="32"/>
        <v>#VALUE!</v>
      </c>
      <c r="AC109" s="199" t="e">
        <f t="shared" ca="1" si="32"/>
        <v>#VALUE!</v>
      </c>
      <c r="AD109" s="199" t="e">
        <f t="shared" ca="1" si="32"/>
        <v>#VALUE!</v>
      </c>
      <c r="AE109" s="199" t="e">
        <f t="shared" ca="1" si="32"/>
        <v>#VALUE!</v>
      </c>
      <c r="AF109" s="199" t="e">
        <f t="shared" ca="1" si="32"/>
        <v>#VALUE!</v>
      </c>
      <c r="AG109" s="199" t="e">
        <f t="shared" ca="1" si="32"/>
        <v>#VALUE!</v>
      </c>
      <c r="AH109" s="199" t="e">
        <f t="shared" ca="1" si="32"/>
        <v>#VALUE!</v>
      </c>
      <c r="AI109" s="199" t="e">
        <f t="shared" ca="1" si="32"/>
        <v>#VALUE!</v>
      </c>
      <c r="AJ109" s="199" t="e">
        <f t="shared" ca="1" si="32"/>
        <v>#VALUE!</v>
      </c>
      <c r="AK109" s="199" t="e">
        <f t="shared" ca="1" si="32"/>
        <v>#VALUE!</v>
      </c>
      <c r="AL109" s="199" t="e">
        <f t="shared" ca="1" si="32"/>
        <v>#VALUE!</v>
      </c>
      <c r="AM109" s="199" t="e">
        <f t="shared" ca="1" si="32"/>
        <v>#VALUE!</v>
      </c>
      <c r="AN109" s="199" t="e">
        <f t="shared" ca="1" si="32"/>
        <v>#VALUE!</v>
      </c>
      <c r="AO109" s="199" t="e">
        <f t="shared" ca="1" si="32"/>
        <v>#VALUE!</v>
      </c>
      <c r="AP109" s="199" t="e">
        <f t="shared" ca="1" si="34"/>
        <v>#VALUE!</v>
      </c>
    </row>
    <row r="110" spans="1:42">
      <c r="A110" s="61" t="str">
        <f>'[4]TS BYDem'!A49</f>
        <v>*</v>
      </c>
      <c r="B110" s="199" t="s">
        <v>288</v>
      </c>
      <c r="C110" s="199" t="s">
        <v>137</v>
      </c>
      <c r="D110" s="199" t="str">
        <f>'[4]TS BYDem'!D49</f>
        <v>Useful Energy Service</v>
      </c>
      <c r="E110" s="199" t="s">
        <v>137</v>
      </c>
      <c r="F110" s="199" t="s">
        <v>137</v>
      </c>
      <c r="G110" s="199" t="s">
        <v>137</v>
      </c>
      <c r="H110" s="199" t="s">
        <v>137</v>
      </c>
      <c r="I110" s="199">
        <v>0</v>
      </c>
      <c r="J110" s="199" t="str">
        <f>INDEX('[4]TS BYDem'!$J$10:$J$203,MATCH(D110,'[4]TS BYDem'!$D$10:$D$203,0))</f>
        <v/>
      </c>
      <c r="K110" s="199" t="e">
        <f t="shared" ca="1" si="33"/>
        <v>#VALUE!</v>
      </c>
      <c r="L110" s="199" t="e">
        <f t="shared" ca="1" si="33"/>
        <v>#VALUE!</v>
      </c>
      <c r="M110" s="199" t="e">
        <f t="shared" ca="1" si="33"/>
        <v>#VALUE!</v>
      </c>
      <c r="N110" s="199" t="e">
        <f t="shared" ca="1" si="33"/>
        <v>#VALUE!</v>
      </c>
      <c r="O110" s="199" t="e">
        <f t="shared" ca="1" si="33"/>
        <v>#VALUE!</v>
      </c>
      <c r="P110" s="199" t="e">
        <f t="shared" ca="1" si="33"/>
        <v>#VALUE!</v>
      </c>
      <c r="Q110" s="199" t="e">
        <f t="shared" ca="1" si="33"/>
        <v>#VALUE!</v>
      </c>
      <c r="R110" s="199" t="e">
        <f t="shared" ca="1" si="33"/>
        <v>#VALUE!</v>
      </c>
      <c r="S110" s="199" t="e">
        <f t="shared" ca="1" si="33"/>
        <v>#VALUE!</v>
      </c>
      <c r="T110" s="199" t="e">
        <f t="shared" ca="1" si="33"/>
        <v>#VALUE!</v>
      </c>
      <c r="U110" s="199" t="e">
        <f t="shared" ca="1" si="33"/>
        <v>#VALUE!</v>
      </c>
      <c r="V110" s="199" t="e">
        <f t="shared" ca="1" si="33"/>
        <v>#VALUE!</v>
      </c>
      <c r="W110" s="199" t="e">
        <f t="shared" ca="1" si="33"/>
        <v>#VALUE!</v>
      </c>
      <c r="X110" s="199" t="e">
        <f t="shared" ca="1" si="33"/>
        <v>#VALUE!</v>
      </c>
      <c r="Y110" s="199" t="e">
        <f t="shared" ca="1" si="33"/>
        <v>#VALUE!</v>
      </c>
      <c r="Z110" s="199" t="e">
        <f t="shared" ca="1" si="32"/>
        <v>#VALUE!</v>
      </c>
      <c r="AA110" s="199" t="e">
        <f t="shared" ca="1" si="32"/>
        <v>#VALUE!</v>
      </c>
      <c r="AB110" s="199" t="e">
        <f t="shared" ca="1" si="32"/>
        <v>#VALUE!</v>
      </c>
      <c r="AC110" s="199" t="e">
        <f t="shared" ca="1" si="32"/>
        <v>#VALUE!</v>
      </c>
      <c r="AD110" s="199" t="e">
        <f t="shared" ca="1" si="32"/>
        <v>#VALUE!</v>
      </c>
      <c r="AE110" s="199" t="e">
        <f t="shared" ca="1" si="32"/>
        <v>#VALUE!</v>
      </c>
      <c r="AF110" s="199" t="e">
        <f t="shared" ca="1" si="32"/>
        <v>#VALUE!</v>
      </c>
      <c r="AG110" s="199" t="e">
        <f t="shared" ca="1" si="32"/>
        <v>#VALUE!</v>
      </c>
      <c r="AH110" s="199" t="e">
        <f t="shared" ca="1" si="32"/>
        <v>#VALUE!</v>
      </c>
      <c r="AI110" s="199" t="e">
        <f t="shared" ca="1" si="32"/>
        <v>#VALUE!</v>
      </c>
      <c r="AJ110" s="199" t="e">
        <f t="shared" ca="1" si="32"/>
        <v>#VALUE!</v>
      </c>
      <c r="AK110" s="199" t="e">
        <f t="shared" ca="1" si="32"/>
        <v>#VALUE!</v>
      </c>
      <c r="AL110" s="199" t="e">
        <f t="shared" ca="1" si="32"/>
        <v>#VALUE!</v>
      </c>
      <c r="AM110" s="199" t="e">
        <f t="shared" ca="1" si="32"/>
        <v>#VALUE!</v>
      </c>
      <c r="AN110" s="199" t="e">
        <f t="shared" ca="1" si="32"/>
        <v>#VALUE!</v>
      </c>
      <c r="AO110" s="199" t="e">
        <f t="shared" ca="1" si="32"/>
        <v>#VALUE!</v>
      </c>
      <c r="AP110" s="199" t="e">
        <f t="shared" ca="1" si="34"/>
        <v>#VALUE!</v>
      </c>
    </row>
    <row r="111" spans="1:42">
      <c r="A111" s="61" t="str">
        <f>'[4]TS BYDem'!A50</f>
        <v>*</v>
      </c>
      <c r="B111" s="199" t="s">
        <v>288</v>
      </c>
      <c r="C111" s="199" t="s">
        <v>137</v>
      </c>
      <c r="D111" s="199">
        <f>'[4]TS BYDem'!D50</f>
        <v>0</v>
      </c>
      <c r="E111" s="199" t="s">
        <v>137</v>
      </c>
      <c r="F111" s="199" t="s">
        <v>137</v>
      </c>
      <c r="G111" s="199" t="s">
        <v>137</v>
      </c>
      <c r="H111" s="199" t="s">
        <v>137</v>
      </c>
      <c r="I111" s="199">
        <v>0</v>
      </c>
      <c r="J111" s="199" t="str">
        <f>INDEX('[4]TS BYDem'!$J$10:$J$203,MATCH(D111,'[4]TS BYDem'!$D$10:$D$203,0))</f>
        <v/>
      </c>
      <c r="K111" s="199" t="e">
        <f t="shared" ca="1" si="33"/>
        <v>#VALUE!</v>
      </c>
      <c r="L111" s="199" t="e">
        <f t="shared" ca="1" si="33"/>
        <v>#VALUE!</v>
      </c>
      <c r="M111" s="199" t="e">
        <f t="shared" ca="1" si="33"/>
        <v>#VALUE!</v>
      </c>
      <c r="N111" s="199" t="e">
        <f t="shared" ca="1" si="33"/>
        <v>#VALUE!</v>
      </c>
      <c r="O111" s="199" t="e">
        <f t="shared" ca="1" si="33"/>
        <v>#VALUE!</v>
      </c>
      <c r="P111" s="199" t="e">
        <f t="shared" ca="1" si="33"/>
        <v>#VALUE!</v>
      </c>
      <c r="Q111" s="199" t="e">
        <f t="shared" ca="1" si="33"/>
        <v>#VALUE!</v>
      </c>
      <c r="R111" s="199" t="e">
        <f t="shared" ca="1" si="33"/>
        <v>#VALUE!</v>
      </c>
      <c r="S111" s="199" t="e">
        <f t="shared" ca="1" si="33"/>
        <v>#VALUE!</v>
      </c>
      <c r="T111" s="199" t="e">
        <f t="shared" ca="1" si="33"/>
        <v>#VALUE!</v>
      </c>
      <c r="U111" s="199" t="e">
        <f t="shared" ca="1" si="33"/>
        <v>#VALUE!</v>
      </c>
      <c r="V111" s="199" t="e">
        <f t="shared" ca="1" si="33"/>
        <v>#VALUE!</v>
      </c>
      <c r="W111" s="199" t="e">
        <f t="shared" ca="1" si="33"/>
        <v>#VALUE!</v>
      </c>
      <c r="X111" s="199" t="e">
        <f t="shared" ca="1" si="33"/>
        <v>#VALUE!</v>
      </c>
      <c r="Y111" s="199" t="e">
        <f t="shared" ca="1" si="33"/>
        <v>#VALUE!</v>
      </c>
      <c r="Z111" s="199" t="e">
        <f t="shared" ca="1" si="32"/>
        <v>#VALUE!</v>
      </c>
      <c r="AA111" s="199" t="e">
        <f t="shared" ca="1" si="32"/>
        <v>#VALUE!</v>
      </c>
      <c r="AB111" s="199" t="e">
        <f t="shared" ca="1" si="32"/>
        <v>#VALUE!</v>
      </c>
      <c r="AC111" s="199" t="e">
        <f t="shared" ca="1" si="32"/>
        <v>#VALUE!</v>
      </c>
      <c r="AD111" s="199" t="e">
        <f t="shared" ca="1" si="32"/>
        <v>#VALUE!</v>
      </c>
      <c r="AE111" s="199" t="e">
        <f t="shared" ca="1" si="32"/>
        <v>#VALUE!</v>
      </c>
      <c r="AF111" s="199" t="e">
        <f t="shared" ca="1" si="32"/>
        <v>#VALUE!</v>
      </c>
      <c r="AG111" s="199" t="e">
        <f t="shared" ca="1" si="32"/>
        <v>#VALUE!</v>
      </c>
      <c r="AH111" s="199" t="e">
        <f t="shared" ca="1" si="32"/>
        <v>#VALUE!</v>
      </c>
      <c r="AI111" s="199" t="e">
        <f t="shared" ca="1" si="32"/>
        <v>#VALUE!</v>
      </c>
      <c r="AJ111" s="199" t="e">
        <f t="shared" ca="1" si="32"/>
        <v>#VALUE!</v>
      </c>
      <c r="AK111" s="199" t="e">
        <f t="shared" ca="1" si="32"/>
        <v>#VALUE!</v>
      </c>
      <c r="AL111" s="199" t="e">
        <f t="shared" ca="1" si="32"/>
        <v>#VALUE!</v>
      </c>
      <c r="AM111" s="199" t="e">
        <f t="shared" ca="1" si="32"/>
        <v>#VALUE!</v>
      </c>
      <c r="AN111" s="199" t="e">
        <f t="shared" ca="1" si="32"/>
        <v>#VALUE!</v>
      </c>
      <c r="AO111" s="199" t="e">
        <f t="shared" ca="1" si="32"/>
        <v>#VALUE!</v>
      </c>
      <c r="AP111" s="199" t="e">
        <f t="shared" ca="1" si="34"/>
        <v>#VALUE!</v>
      </c>
    </row>
    <row r="112" spans="1:42" s="5" customFormat="1">
      <c r="A112" s="61"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12.778840124390374</v>
      </c>
      <c r="T112" s="5">
        <f t="shared" ca="1" si="35"/>
        <v>13.163166142179319</v>
      </c>
      <c r="U112" s="5">
        <f t="shared" ca="1" si="35"/>
        <v>13.557100310408256</v>
      </c>
      <c r="V112" s="5">
        <f t="shared" ca="1" si="35"/>
        <v>14.018291531880806</v>
      </c>
      <c r="W112" s="5">
        <f t="shared" ca="1" si="35"/>
        <v>14.517915355188556</v>
      </c>
      <c r="X112" s="5">
        <f t="shared" ca="1" si="35"/>
        <v>15.055971780327514</v>
      </c>
      <c r="Y112" s="5">
        <f t="shared" ca="1" si="35"/>
        <v>15.632460807293949</v>
      </c>
      <c r="Z112" s="5">
        <f t="shared" ca="1" si="35"/>
        <v>16.23777428561954</v>
      </c>
      <c r="AA112" s="5">
        <f t="shared" ca="1" si="35"/>
        <v>16.919952967623679</v>
      </c>
      <c r="AB112" s="5">
        <f t="shared" ca="1" si="35"/>
        <v>17.621347950516579</v>
      </c>
      <c r="AC112" s="5">
        <f t="shared" ca="1" si="35"/>
        <v>18.274702181055108</v>
      </c>
      <c r="AD112" s="5">
        <f t="shared" ca="1" si="35"/>
        <v>18.947272712484722</v>
      </c>
      <c r="AE112" s="5">
        <f t="shared" ca="1" si="35"/>
        <v>19.64866769526693</v>
      </c>
      <c r="AF112" s="5">
        <f t="shared" ca="1" si="35"/>
        <v>20.359670828476606</v>
      </c>
      <c r="AG112" s="5">
        <f t="shared" ca="1" si="35"/>
        <v>21.032241359807486</v>
      </c>
      <c r="AH112" s="5">
        <f t="shared" ca="1" si="35"/>
        <v>21.695203740646768</v>
      </c>
      <c r="AI112" s="5">
        <f t="shared" ca="1" si="35"/>
        <v>22.34855797099625</v>
      </c>
      <c r="AJ112" s="5">
        <f t="shared" ca="1" si="35"/>
        <v>23.136426307758093</v>
      </c>
      <c r="AK112" s="5">
        <f t="shared" ca="1" si="35"/>
        <v>23.962727246325755</v>
      </c>
      <c r="AL112" s="5">
        <f t="shared" ca="1" si="35"/>
        <v>24.817852636238026</v>
      </c>
      <c r="AM112" s="5">
        <f t="shared" ca="1" si="35"/>
        <v>30.870987420063372</v>
      </c>
      <c r="AN112" s="5">
        <f t="shared" ca="1" si="35"/>
        <v>39.182037560263602</v>
      </c>
      <c r="AO112" s="5">
        <f t="shared" ca="1" si="35"/>
        <v>53.169903258226896</v>
      </c>
      <c r="AP112" s="5">
        <f t="shared" ca="1" si="35"/>
        <v>67.534088182252617</v>
      </c>
    </row>
    <row r="113" spans="1:42">
      <c r="A113" s="61" t="str">
        <f>'[4]TS BYDem'!A52</f>
        <v>*</v>
      </c>
      <c r="B113" s="199" t="s">
        <v>288</v>
      </c>
      <c r="C113" s="199" t="s">
        <v>137</v>
      </c>
      <c r="D113" s="199" t="str">
        <f>'[4]TS BYDem'!D52</f>
        <v>IISK</v>
      </c>
      <c r="E113" s="199" t="s">
        <v>137</v>
      </c>
      <c r="F113" s="199" t="s">
        <v>137</v>
      </c>
      <c r="G113" s="199" t="s">
        <v>137</v>
      </c>
      <c r="H113" s="199" t="s">
        <v>137</v>
      </c>
      <c r="I113" s="199">
        <v>0</v>
      </c>
      <c r="J113" s="199" t="str">
        <f>INDEX('[4]TS BYDem'!$J$10:$J$203,MATCH(D113,'[4]TS BYDem'!$D$10:$D$203,0))</f>
        <v/>
      </c>
      <c r="K113" s="199" t="e">
        <f t="shared" ref="K113:Z128" ca="1" si="36">K$112/J$112*J113</f>
        <v>#VALUE!</v>
      </c>
      <c r="L113" s="199" t="e">
        <f t="shared" ca="1" si="36"/>
        <v>#VALUE!</v>
      </c>
      <c r="M113" s="199" t="e">
        <f t="shared" ca="1" si="36"/>
        <v>#VALUE!</v>
      </c>
      <c r="N113" s="199" t="e">
        <f t="shared" ca="1" si="36"/>
        <v>#VALUE!</v>
      </c>
      <c r="O113" s="199" t="e">
        <f t="shared" ca="1" si="36"/>
        <v>#VALUE!</v>
      </c>
      <c r="P113" s="199" t="e">
        <f t="shared" ca="1" si="36"/>
        <v>#VALUE!</v>
      </c>
      <c r="Q113" s="199" t="e">
        <f t="shared" ca="1" si="36"/>
        <v>#VALUE!</v>
      </c>
      <c r="R113" s="199" t="e">
        <f t="shared" ca="1" si="36"/>
        <v>#VALUE!</v>
      </c>
      <c r="S113" s="199" t="e">
        <f t="shared" ca="1" si="36"/>
        <v>#VALUE!</v>
      </c>
      <c r="T113" s="199" t="e">
        <f t="shared" ca="1" si="36"/>
        <v>#VALUE!</v>
      </c>
      <c r="U113" s="199" t="e">
        <f t="shared" ca="1" si="36"/>
        <v>#VALUE!</v>
      </c>
      <c r="V113" s="199" t="e">
        <f t="shared" ca="1" si="36"/>
        <v>#VALUE!</v>
      </c>
      <c r="W113" s="199" t="e">
        <f t="shared" ca="1" si="36"/>
        <v>#VALUE!</v>
      </c>
      <c r="X113" s="199" t="e">
        <f t="shared" ca="1" si="36"/>
        <v>#VALUE!</v>
      </c>
      <c r="Y113" s="199" t="e">
        <f t="shared" ca="1" si="36"/>
        <v>#VALUE!</v>
      </c>
      <c r="Z113" s="199" t="e">
        <f t="shared" ca="1" si="36"/>
        <v>#VALUE!</v>
      </c>
      <c r="AA113" s="199" t="e">
        <f t="shared" ref="AA113:AP128" ca="1" si="37">AA$112/Z$112*Z113</f>
        <v>#VALUE!</v>
      </c>
      <c r="AB113" s="199" t="e">
        <f t="shared" ca="1" si="37"/>
        <v>#VALUE!</v>
      </c>
      <c r="AC113" s="199" t="e">
        <f t="shared" ca="1" si="37"/>
        <v>#VALUE!</v>
      </c>
      <c r="AD113" s="199" t="e">
        <f t="shared" ca="1" si="37"/>
        <v>#VALUE!</v>
      </c>
      <c r="AE113" s="199" t="e">
        <f t="shared" ca="1" si="37"/>
        <v>#VALUE!</v>
      </c>
      <c r="AF113" s="199" t="e">
        <f t="shared" ca="1" si="37"/>
        <v>#VALUE!</v>
      </c>
      <c r="AG113" s="199" t="e">
        <f t="shared" ca="1" si="37"/>
        <v>#VALUE!</v>
      </c>
      <c r="AH113" s="199" t="e">
        <f t="shared" ca="1" si="37"/>
        <v>#VALUE!</v>
      </c>
      <c r="AI113" s="199" t="e">
        <f t="shared" ca="1" si="37"/>
        <v>#VALUE!</v>
      </c>
      <c r="AJ113" s="199" t="e">
        <f t="shared" ca="1" si="37"/>
        <v>#VALUE!</v>
      </c>
      <c r="AK113" s="199" t="e">
        <f t="shared" ca="1" si="37"/>
        <v>#VALUE!</v>
      </c>
      <c r="AL113" s="199" t="e">
        <f t="shared" ca="1" si="37"/>
        <v>#VALUE!</v>
      </c>
      <c r="AM113" s="199" t="e">
        <f t="shared" ca="1" si="37"/>
        <v>#VALUE!</v>
      </c>
      <c r="AN113" s="199" t="e">
        <f t="shared" ca="1" si="37"/>
        <v>#VALUE!</v>
      </c>
      <c r="AO113" s="199" t="e">
        <f t="shared" ca="1" si="37"/>
        <v>#VALUE!</v>
      </c>
      <c r="AP113" s="199" t="e">
        <f t="shared" ca="1" si="37"/>
        <v>#VALUE!</v>
      </c>
    </row>
    <row r="114" spans="1:42">
      <c r="A114" s="61" t="str">
        <f>'[4]TS BYDem'!A53</f>
        <v>*</v>
      </c>
      <c r="B114" s="199" t="s">
        <v>288</v>
      </c>
      <c r="C114" s="199" t="s">
        <v>137</v>
      </c>
      <c r="D114" s="199" t="str">
        <f>'[4]TS BYDem'!D53</f>
        <v>IISA</v>
      </c>
      <c r="E114" s="199" t="s">
        <v>137</v>
      </c>
      <c r="F114" s="199" t="s">
        <v>137</v>
      </c>
      <c r="G114" s="199" t="s">
        <v>137</v>
      </c>
      <c r="H114" s="199" t="s">
        <v>137</v>
      </c>
      <c r="I114" s="199">
        <v>0</v>
      </c>
      <c r="J114" s="199" t="str">
        <f>INDEX('[4]TS BYDem'!$J$10:$J$203,MATCH(D114,'[4]TS BYDem'!$D$10:$D$203,0))</f>
        <v/>
      </c>
      <c r="K114" s="199" t="e">
        <f t="shared" ca="1" si="36"/>
        <v>#VALUE!</v>
      </c>
      <c r="L114" s="199" t="e">
        <f t="shared" ca="1" si="36"/>
        <v>#VALUE!</v>
      </c>
      <c r="M114" s="199" t="e">
        <f t="shared" ca="1" si="36"/>
        <v>#VALUE!</v>
      </c>
      <c r="N114" s="199" t="e">
        <f t="shared" ca="1" si="36"/>
        <v>#VALUE!</v>
      </c>
      <c r="O114" s="199" t="e">
        <f t="shared" ca="1" si="36"/>
        <v>#VALUE!</v>
      </c>
      <c r="P114" s="199" t="e">
        <f t="shared" ca="1" si="36"/>
        <v>#VALUE!</v>
      </c>
      <c r="Q114" s="199" t="e">
        <f t="shared" ca="1" si="36"/>
        <v>#VALUE!</v>
      </c>
      <c r="R114" s="199" t="e">
        <f t="shared" ca="1" si="36"/>
        <v>#VALUE!</v>
      </c>
      <c r="S114" s="199" t="e">
        <f t="shared" ca="1" si="36"/>
        <v>#VALUE!</v>
      </c>
      <c r="T114" s="199" t="e">
        <f t="shared" ca="1" si="36"/>
        <v>#VALUE!</v>
      </c>
      <c r="U114" s="199" t="e">
        <f t="shared" ca="1" si="36"/>
        <v>#VALUE!</v>
      </c>
      <c r="V114" s="199" t="e">
        <f t="shared" ca="1" si="36"/>
        <v>#VALUE!</v>
      </c>
      <c r="W114" s="199" t="e">
        <f t="shared" ca="1" si="36"/>
        <v>#VALUE!</v>
      </c>
      <c r="X114" s="199" t="e">
        <f t="shared" ca="1" si="36"/>
        <v>#VALUE!</v>
      </c>
      <c r="Y114" s="199" t="e">
        <f t="shared" ca="1" si="36"/>
        <v>#VALUE!</v>
      </c>
      <c r="Z114" s="199" t="e">
        <f t="shared" ca="1" si="36"/>
        <v>#VALUE!</v>
      </c>
      <c r="AA114" s="199" t="e">
        <f t="shared" ca="1" si="37"/>
        <v>#VALUE!</v>
      </c>
      <c r="AB114" s="199" t="e">
        <f t="shared" ca="1" si="37"/>
        <v>#VALUE!</v>
      </c>
      <c r="AC114" s="199" t="e">
        <f t="shared" ca="1" si="37"/>
        <v>#VALUE!</v>
      </c>
      <c r="AD114" s="199" t="e">
        <f t="shared" ca="1" si="37"/>
        <v>#VALUE!</v>
      </c>
      <c r="AE114" s="199" t="e">
        <f t="shared" ca="1" si="37"/>
        <v>#VALUE!</v>
      </c>
      <c r="AF114" s="199" t="e">
        <f t="shared" ca="1" si="37"/>
        <v>#VALUE!</v>
      </c>
      <c r="AG114" s="199" t="e">
        <f t="shared" ca="1" si="37"/>
        <v>#VALUE!</v>
      </c>
      <c r="AH114" s="199" t="e">
        <f t="shared" ca="1" si="37"/>
        <v>#VALUE!</v>
      </c>
      <c r="AI114" s="199" t="e">
        <f t="shared" ca="1" si="37"/>
        <v>#VALUE!</v>
      </c>
      <c r="AJ114" s="199" t="e">
        <f t="shared" ca="1" si="37"/>
        <v>#VALUE!</v>
      </c>
      <c r="AK114" s="199" t="e">
        <f t="shared" ca="1" si="37"/>
        <v>#VALUE!</v>
      </c>
      <c r="AL114" s="199" t="e">
        <f t="shared" ca="1" si="37"/>
        <v>#VALUE!</v>
      </c>
      <c r="AM114" s="199" t="e">
        <f t="shared" ca="1" si="37"/>
        <v>#VALUE!</v>
      </c>
      <c r="AN114" s="199" t="e">
        <f t="shared" ca="1" si="37"/>
        <v>#VALUE!</v>
      </c>
      <c r="AO114" s="199" t="e">
        <f t="shared" ca="1" si="37"/>
        <v>#VALUE!</v>
      </c>
      <c r="AP114" s="199" t="e">
        <f t="shared" ca="1" si="37"/>
        <v>#VALUE!</v>
      </c>
    </row>
    <row r="115" spans="1:42">
      <c r="A115" s="61" t="str">
        <f>'[4]TS BYDem'!A54</f>
        <v>*</v>
      </c>
      <c r="B115" s="199" t="s">
        <v>288</v>
      </c>
      <c r="C115" s="199" t="s">
        <v>137</v>
      </c>
      <c r="D115" s="199" t="str">
        <f>'[4]TS BYDem'!D54</f>
        <v>IISL</v>
      </c>
      <c r="E115" s="199" t="s">
        <v>137</v>
      </c>
      <c r="F115" s="199" t="s">
        <v>137</v>
      </c>
      <c r="G115" s="199" t="s">
        <v>137</v>
      </c>
      <c r="H115" s="199" t="s">
        <v>137</v>
      </c>
      <c r="I115" s="199">
        <v>0</v>
      </c>
      <c r="J115" s="199" t="str">
        <f>INDEX('[4]TS BYDem'!$J$10:$J$203,MATCH(D115,'[4]TS BYDem'!$D$10:$D$203,0))</f>
        <v/>
      </c>
      <c r="K115" s="199" t="e">
        <f t="shared" ca="1" si="36"/>
        <v>#VALUE!</v>
      </c>
      <c r="L115" s="199" t="e">
        <f t="shared" ca="1" si="36"/>
        <v>#VALUE!</v>
      </c>
      <c r="M115" s="199" t="e">
        <f t="shared" ca="1" si="36"/>
        <v>#VALUE!</v>
      </c>
      <c r="N115" s="199" t="e">
        <f t="shared" ca="1" si="36"/>
        <v>#VALUE!</v>
      </c>
      <c r="O115" s="199" t="e">
        <f t="shared" ca="1" si="36"/>
        <v>#VALUE!</v>
      </c>
      <c r="P115" s="199" t="e">
        <f t="shared" ca="1" si="36"/>
        <v>#VALUE!</v>
      </c>
      <c r="Q115" s="199" t="e">
        <f t="shared" ca="1" si="36"/>
        <v>#VALUE!</v>
      </c>
      <c r="R115" s="199" t="e">
        <f t="shared" ca="1" si="36"/>
        <v>#VALUE!</v>
      </c>
      <c r="S115" s="199" t="e">
        <f t="shared" ca="1" si="36"/>
        <v>#VALUE!</v>
      </c>
      <c r="T115" s="199" t="e">
        <f t="shared" ca="1" si="36"/>
        <v>#VALUE!</v>
      </c>
      <c r="U115" s="199" t="e">
        <f t="shared" ca="1" si="36"/>
        <v>#VALUE!</v>
      </c>
      <c r="V115" s="199" t="e">
        <f t="shared" ca="1" si="36"/>
        <v>#VALUE!</v>
      </c>
      <c r="W115" s="199" t="e">
        <f t="shared" ca="1" si="36"/>
        <v>#VALUE!</v>
      </c>
      <c r="X115" s="199" t="e">
        <f t="shared" ca="1" si="36"/>
        <v>#VALUE!</v>
      </c>
      <c r="Y115" s="199" t="e">
        <f t="shared" ca="1" si="36"/>
        <v>#VALUE!</v>
      </c>
      <c r="Z115" s="199" t="e">
        <f t="shared" ca="1" si="36"/>
        <v>#VALUE!</v>
      </c>
      <c r="AA115" s="199" t="e">
        <f t="shared" ca="1" si="37"/>
        <v>#VALUE!</v>
      </c>
      <c r="AB115" s="199" t="e">
        <f t="shared" ca="1" si="37"/>
        <v>#VALUE!</v>
      </c>
      <c r="AC115" s="199" t="e">
        <f t="shared" ca="1" si="37"/>
        <v>#VALUE!</v>
      </c>
      <c r="AD115" s="199" t="e">
        <f t="shared" ca="1" si="37"/>
        <v>#VALUE!</v>
      </c>
      <c r="AE115" s="199" t="e">
        <f t="shared" ca="1" si="37"/>
        <v>#VALUE!</v>
      </c>
      <c r="AF115" s="199" t="e">
        <f t="shared" ca="1" si="37"/>
        <v>#VALUE!</v>
      </c>
      <c r="AG115" s="199" t="e">
        <f t="shared" ca="1" si="37"/>
        <v>#VALUE!</v>
      </c>
      <c r="AH115" s="199" t="e">
        <f t="shared" ca="1" si="37"/>
        <v>#VALUE!</v>
      </c>
      <c r="AI115" s="199" t="e">
        <f t="shared" ca="1" si="37"/>
        <v>#VALUE!</v>
      </c>
      <c r="AJ115" s="199" t="e">
        <f t="shared" ca="1" si="37"/>
        <v>#VALUE!</v>
      </c>
      <c r="AK115" s="199" t="e">
        <f t="shared" ca="1" si="37"/>
        <v>#VALUE!</v>
      </c>
      <c r="AL115" s="199" t="e">
        <f t="shared" ca="1" si="37"/>
        <v>#VALUE!</v>
      </c>
      <c r="AM115" s="199" t="e">
        <f t="shared" ca="1" si="37"/>
        <v>#VALUE!</v>
      </c>
      <c r="AN115" s="199" t="e">
        <f t="shared" ca="1" si="37"/>
        <v>#VALUE!</v>
      </c>
      <c r="AO115" s="199" t="e">
        <f t="shared" ca="1" si="37"/>
        <v>#VALUE!</v>
      </c>
      <c r="AP115" s="199" t="e">
        <f t="shared" ca="1" si="37"/>
        <v>#VALUE!</v>
      </c>
    </row>
    <row r="116" spans="1:42">
      <c r="A116" s="61" t="str">
        <f>'[4]TS BYDem'!A55</f>
        <v>*</v>
      </c>
      <c r="B116" s="199" t="s">
        <v>288</v>
      </c>
      <c r="C116" s="199" t="s">
        <v>137</v>
      </c>
      <c r="D116" s="199" t="str">
        <f>'[4]TS BYDem'!D55</f>
        <v>IISC</v>
      </c>
      <c r="E116" s="199" t="s">
        <v>137</v>
      </c>
      <c r="F116" s="199" t="s">
        <v>137</v>
      </c>
      <c r="G116" s="199" t="s">
        <v>137</v>
      </c>
      <c r="H116" s="199" t="s">
        <v>137</v>
      </c>
      <c r="I116" s="199">
        <v>0</v>
      </c>
      <c r="J116" s="199" t="str">
        <f>INDEX('[4]TS BYDem'!$J$10:$J$203,MATCH(D116,'[4]TS BYDem'!$D$10:$D$203,0))</f>
        <v/>
      </c>
      <c r="K116" s="199" t="e">
        <f t="shared" ca="1" si="36"/>
        <v>#VALUE!</v>
      </c>
      <c r="L116" s="199" t="e">
        <f t="shared" ca="1" si="36"/>
        <v>#VALUE!</v>
      </c>
      <c r="M116" s="199" t="e">
        <f t="shared" ca="1" si="36"/>
        <v>#VALUE!</v>
      </c>
      <c r="N116" s="199" t="e">
        <f t="shared" ca="1" si="36"/>
        <v>#VALUE!</v>
      </c>
      <c r="O116" s="199" t="e">
        <f t="shared" ca="1" si="36"/>
        <v>#VALUE!</v>
      </c>
      <c r="P116" s="199" t="e">
        <f t="shared" ca="1" si="36"/>
        <v>#VALUE!</v>
      </c>
      <c r="Q116" s="199" t="e">
        <f t="shared" ca="1" si="36"/>
        <v>#VALUE!</v>
      </c>
      <c r="R116" s="199" t="e">
        <f t="shared" ca="1" si="36"/>
        <v>#VALUE!</v>
      </c>
      <c r="S116" s="199" t="e">
        <f t="shared" ca="1" si="36"/>
        <v>#VALUE!</v>
      </c>
      <c r="T116" s="199" t="e">
        <f t="shared" ca="1" si="36"/>
        <v>#VALUE!</v>
      </c>
      <c r="U116" s="199" t="e">
        <f t="shared" ca="1" si="36"/>
        <v>#VALUE!</v>
      </c>
      <c r="V116" s="199" t="e">
        <f t="shared" ca="1" si="36"/>
        <v>#VALUE!</v>
      </c>
      <c r="W116" s="199" t="e">
        <f t="shared" ca="1" si="36"/>
        <v>#VALUE!</v>
      </c>
      <c r="X116" s="199" t="e">
        <f t="shared" ca="1" si="36"/>
        <v>#VALUE!</v>
      </c>
      <c r="Y116" s="199" t="e">
        <f t="shared" ca="1" si="36"/>
        <v>#VALUE!</v>
      </c>
      <c r="Z116" s="199" t="e">
        <f t="shared" ca="1" si="36"/>
        <v>#VALUE!</v>
      </c>
      <c r="AA116" s="199" t="e">
        <f t="shared" ca="1" si="37"/>
        <v>#VALUE!</v>
      </c>
      <c r="AB116" s="199" t="e">
        <f t="shared" ca="1" si="37"/>
        <v>#VALUE!</v>
      </c>
      <c r="AC116" s="199" t="e">
        <f t="shared" ca="1" si="37"/>
        <v>#VALUE!</v>
      </c>
      <c r="AD116" s="199" t="e">
        <f t="shared" ca="1" si="37"/>
        <v>#VALUE!</v>
      </c>
      <c r="AE116" s="199" t="e">
        <f t="shared" ca="1" si="37"/>
        <v>#VALUE!</v>
      </c>
      <c r="AF116" s="199" t="e">
        <f t="shared" ca="1" si="37"/>
        <v>#VALUE!</v>
      </c>
      <c r="AG116" s="199" t="e">
        <f t="shared" ca="1" si="37"/>
        <v>#VALUE!</v>
      </c>
      <c r="AH116" s="199" t="e">
        <f t="shared" ca="1" si="37"/>
        <v>#VALUE!</v>
      </c>
      <c r="AI116" s="199" t="e">
        <f t="shared" ca="1" si="37"/>
        <v>#VALUE!</v>
      </c>
      <c r="AJ116" s="199" t="e">
        <f t="shared" ca="1" si="37"/>
        <v>#VALUE!</v>
      </c>
      <c r="AK116" s="199" t="e">
        <f t="shared" ca="1" si="37"/>
        <v>#VALUE!</v>
      </c>
      <c r="AL116" s="199" t="e">
        <f t="shared" ca="1" si="37"/>
        <v>#VALUE!</v>
      </c>
      <c r="AM116" s="199" t="e">
        <f t="shared" ca="1" si="37"/>
        <v>#VALUE!</v>
      </c>
      <c r="AN116" s="199" t="e">
        <f t="shared" ca="1" si="37"/>
        <v>#VALUE!</v>
      </c>
      <c r="AO116" s="199" t="e">
        <f t="shared" ca="1" si="37"/>
        <v>#VALUE!</v>
      </c>
      <c r="AP116" s="199" t="e">
        <f t="shared" ca="1" si="37"/>
        <v>#VALUE!</v>
      </c>
    </row>
    <row r="117" spans="1:42">
      <c r="A117" s="61" t="str">
        <f>'[4]TS BYDem'!A56</f>
        <v>*</v>
      </c>
      <c r="B117" s="199" t="s">
        <v>288</v>
      </c>
      <c r="C117" s="199" t="s">
        <v>137</v>
      </c>
      <c r="D117" s="199" t="str">
        <f>'[4]TS BYDem'!D56</f>
        <v>IISH</v>
      </c>
      <c r="E117" s="199" t="s">
        <v>137</v>
      </c>
      <c r="F117" s="199" t="s">
        <v>137</v>
      </c>
      <c r="G117" s="199" t="s">
        <v>137</v>
      </c>
      <c r="H117" s="199" t="s">
        <v>137</v>
      </c>
      <c r="I117" s="199">
        <v>0</v>
      </c>
      <c r="J117" s="199" t="str">
        <f>INDEX('[4]TS BYDem'!$J$10:$J$203,MATCH(D117,'[4]TS BYDem'!$D$10:$D$203,0))</f>
        <v/>
      </c>
      <c r="K117" s="199" t="e">
        <f t="shared" ca="1" si="36"/>
        <v>#VALUE!</v>
      </c>
      <c r="L117" s="199" t="e">
        <f t="shared" ca="1" si="36"/>
        <v>#VALUE!</v>
      </c>
      <c r="M117" s="199" t="e">
        <f t="shared" ca="1" si="36"/>
        <v>#VALUE!</v>
      </c>
      <c r="N117" s="199" t="e">
        <f t="shared" ca="1" si="36"/>
        <v>#VALUE!</v>
      </c>
      <c r="O117" s="199" t="e">
        <f t="shared" ca="1" si="36"/>
        <v>#VALUE!</v>
      </c>
      <c r="P117" s="199" t="e">
        <f t="shared" ca="1" si="36"/>
        <v>#VALUE!</v>
      </c>
      <c r="Q117" s="199" t="e">
        <f t="shared" ca="1" si="36"/>
        <v>#VALUE!</v>
      </c>
      <c r="R117" s="199" t="e">
        <f t="shared" ca="1" si="36"/>
        <v>#VALUE!</v>
      </c>
      <c r="S117" s="199" t="e">
        <f t="shared" ca="1" si="36"/>
        <v>#VALUE!</v>
      </c>
      <c r="T117" s="199" t="e">
        <f t="shared" ca="1" si="36"/>
        <v>#VALUE!</v>
      </c>
      <c r="U117" s="199" t="e">
        <f t="shared" ca="1" si="36"/>
        <v>#VALUE!</v>
      </c>
      <c r="V117" s="199" t="e">
        <f t="shared" ca="1" si="36"/>
        <v>#VALUE!</v>
      </c>
      <c r="W117" s="199" t="e">
        <f t="shared" ca="1" si="36"/>
        <v>#VALUE!</v>
      </c>
      <c r="X117" s="199" t="e">
        <f t="shared" ca="1" si="36"/>
        <v>#VALUE!</v>
      </c>
      <c r="Y117" s="199" t="e">
        <f t="shared" ca="1" si="36"/>
        <v>#VALUE!</v>
      </c>
      <c r="Z117" s="199" t="e">
        <f t="shared" ca="1" si="36"/>
        <v>#VALUE!</v>
      </c>
      <c r="AA117" s="199" t="e">
        <f t="shared" ca="1" si="37"/>
        <v>#VALUE!</v>
      </c>
      <c r="AB117" s="199" t="e">
        <f t="shared" ca="1" si="37"/>
        <v>#VALUE!</v>
      </c>
      <c r="AC117" s="199" t="e">
        <f t="shared" ca="1" si="37"/>
        <v>#VALUE!</v>
      </c>
      <c r="AD117" s="199" t="e">
        <f t="shared" ca="1" si="37"/>
        <v>#VALUE!</v>
      </c>
      <c r="AE117" s="199" t="e">
        <f t="shared" ca="1" si="37"/>
        <v>#VALUE!</v>
      </c>
      <c r="AF117" s="199" t="e">
        <f t="shared" ca="1" si="37"/>
        <v>#VALUE!</v>
      </c>
      <c r="AG117" s="199" t="e">
        <f t="shared" ca="1" si="37"/>
        <v>#VALUE!</v>
      </c>
      <c r="AH117" s="199" t="e">
        <f t="shared" ca="1" si="37"/>
        <v>#VALUE!</v>
      </c>
      <c r="AI117" s="199" t="e">
        <f t="shared" ca="1" si="37"/>
        <v>#VALUE!</v>
      </c>
      <c r="AJ117" s="199" t="e">
        <f t="shared" ca="1" si="37"/>
        <v>#VALUE!</v>
      </c>
      <c r="AK117" s="199" t="e">
        <f t="shared" ca="1" si="37"/>
        <v>#VALUE!</v>
      </c>
      <c r="AL117" s="199" t="e">
        <f t="shared" ca="1" si="37"/>
        <v>#VALUE!</v>
      </c>
      <c r="AM117" s="199" t="e">
        <f t="shared" ca="1" si="37"/>
        <v>#VALUE!</v>
      </c>
      <c r="AN117" s="199" t="e">
        <f t="shared" ca="1" si="37"/>
        <v>#VALUE!</v>
      </c>
      <c r="AO117" s="199" t="e">
        <f t="shared" ca="1" si="37"/>
        <v>#VALUE!</v>
      </c>
      <c r="AP117" s="199" t="e">
        <f t="shared" ca="1" si="37"/>
        <v>#VALUE!</v>
      </c>
    </row>
    <row r="118" spans="1:42">
      <c r="A118" s="61" t="str">
        <f>'[4]TS BYDem'!A57</f>
        <v>*</v>
      </c>
      <c r="B118" s="199" t="s">
        <v>288</v>
      </c>
      <c r="C118" s="199" t="s">
        <v>137</v>
      </c>
      <c r="D118" s="199" t="str">
        <f>'[4]TS BYDem'!D57</f>
        <v>IISP</v>
      </c>
      <c r="E118" s="199" t="s">
        <v>137</v>
      </c>
      <c r="F118" s="199" t="s">
        <v>137</v>
      </c>
      <c r="G118" s="199" t="s">
        <v>137</v>
      </c>
      <c r="H118" s="199" t="s">
        <v>137</v>
      </c>
      <c r="I118" s="199">
        <v>0</v>
      </c>
      <c r="J118" s="199" t="str">
        <f>INDEX('[4]TS BYDem'!$J$10:$J$203,MATCH(D118,'[4]TS BYDem'!$D$10:$D$203,0))</f>
        <v/>
      </c>
      <c r="K118" s="199" t="e">
        <f t="shared" ca="1" si="36"/>
        <v>#VALUE!</v>
      </c>
      <c r="L118" s="199" t="e">
        <f t="shared" ca="1" si="36"/>
        <v>#VALUE!</v>
      </c>
      <c r="M118" s="199" t="e">
        <f t="shared" ca="1" si="36"/>
        <v>#VALUE!</v>
      </c>
      <c r="N118" s="199" t="e">
        <f t="shared" ca="1" si="36"/>
        <v>#VALUE!</v>
      </c>
      <c r="O118" s="199" t="e">
        <f t="shared" ca="1" si="36"/>
        <v>#VALUE!</v>
      </c>
      <c r="P118" s="199" t="e">
        <f t="shared" ca="1" si="36"/>
        <v>#VALUE!</v>
      </c>
      <c r="Q118" s="199" t="e">
        <f t="shared" ca="1" si="36"/>
        <v>#VALUE!</v>
      </c>
      <c r="R118" s="199" t="e">
        <f t="shared" ca="1" si="36"/>
        <v>#VALUE!</v>
      </c>
      <c r="S118" s="199" t="e">
        <f t="shared" ca="1" si="36"/>
        <v>#VALUE!</v>
      </c>
      <c r="T118" s="199" t="e">
        <f t="shared" ca="1" si="36"/>
        <v>#VALUE!</v>
      </c>
      <c r="U118" s="199" t="e">
        <f t="shared" ca="1" si="36"/>
        <v>#VALUE!</v>
      </c>
      <c r="V118" s="199" t="e">
        <f t="shared" ca="1" si="36"/>
        <v>#VALUE!</v>
      </c>
      <c r="W118" s="199" t="e">
        <f t="shared" ca="1" si="36"/>
        <v>#VALUE!</v>
      </c>
      <c r="X118" s="199" t="e">
        <f t="shared" ca="1" si="36"/>
        <v>#VALUE!</v>
      </c>
      <c r="Y118" s="199" t="e">
        <f t="shared" ca="1" si="36"/>
        <v>#VALUE!</v>
      </c>
      <c r="Z118" s="199" t="e">
        <f t="shared" ca="1" si="36"/>
        <v>#VALUE!</v>
      </c>
      <c r="AA118" s="199" t="e">
        <f t="shared" ca="1" si="37"/>
        <v>#VALUE!</v>
      </c>
      <c r="AB118" s="199" t="e">
        <f t="shared" ca="1" si="37"/>
        <v>#VALUE!</v>
      </c>
      <c r="AC118" s="199" t="e">
        <f t="shared" ca="1" si="37"/>
        <v>#VALUE!</v>
      </c>
      <c r="AD118" s="199" t="e">
        <f t="shared" ca="1" si="37"/>
        <v>#VALUE!</v>
      </c>
      <c r="AE118" s="199" t="e">
        <f t="shared" ca="1" si="37"/>
        <v>#VALUE!</v>
      </c>
      <c r="AF118" s="199" t="e">
        <f t="shared" ca="1" si="37"/>
        <v>#VALUE!</v>
      </c>
      <c r="AG118" s="199" t="e">
        <f t="shared" ca="1" si="37"/>
        <v>#VALUE!</v>
      </c>
      <c r="AH118" s="199" t="e">
        <f t="shared" ca="1" si="37"/>
        <v>#VALUE!</v>
      </c>
      <c r="AI118" s="199" t="e">
        <f t="shared" ca="1" si="37"/>
        <v>#VALUE!</v>
      </c>
      <c r="AJ118" s="199" t="e">
        <f t="shared" ca="1" si="37"/>
        <v>#VALUE!</v>
      </c>
      <c r="AK118" s="199" t="e">
        <f t="shared" ca="1" si="37"/>
        <v>#VALUE!</v>
      </c>
      <c r="AL118" s="199" t="e">
        <f t="shared" ca="1" si="37"/>
        <v>#VALUE!</v>
      </c>
      <c r="AM118" s="199" t="e">
        <f t="shared" ca="1" si="37"/>
        <v>#VALUE!</v>
      </c>
      <c r="AN118" s="199" t="e">
        <f t="shared" ca="1" si="37"/>
        <v>#VALUE!</v>
      </c>
      <c r="AO118" s="199" t="e">
        <f t="shared" ca="1" si="37"/>
        <v>#VALUE!</v>
      </c>
      <c r="AP118" s="199" t="e">
        <f t="shared" ca="1" si="37"/>
        <v>#VALUE!</v>
      </c>
    </row>
    <row r="119" spans="1:42">
      <c r="A119" s="61" t="str">
        <f>'[4]TS BYDem'!A58</f>
        <v>*</v>
      </c>
      <c r="B119" s="199" t="s">
        <v>288</v>
      </c>
      <c r="C119" s="199" t="s">
        <v>137</v>
      </c>
      <c r="D119" s="199" t="str">
        <f>'[4]TS BYDem'!D58</f>
        <v>IISF</v>
      </c>
      <c r="E119" s="199" t="s">
        <v>137</v>
      </c>
      <c r="F119" s="199" t="s">
        <v>137</v>
      </c>
      <c r="G119" s="199" t="s">
        <v>137</v>
      </c>
      <c r="H119" s="199" t="s">
        <v>137</v>
      </c>
      <c r="I119" s="199">
        <v>0</v>
      </c>
      <c r="J119" s="199" t="str">
        <f>INDEX('[4]TS BYDem'!$J$10:$J$203,MATCH(D119,'[4]TS BYDem'!$D$10:$D$203,0))</f>
        <v/>
      </c>
      <c r="K119" s="199" t="e">
        <f t="shared" ca="1" si="36"/>
        <v>#VALUE!</v>
      </c>
      <c r="L119" s="199" t="e">
        <f t="shared" ca="1" si="36"/>
        <v>#VALUE!</v>
      </c>
      <c r="M119" s="199" t="e">
        <f t="shared" ca="1" si="36"/>
        <v>#VALUE!</v>
      </c>
      <c r="N119" s="199" t="e">
        <f t="shared" ca="1" si="36"/>
        <v>#VALUE!</v>
      </c>
      <c r="O119" s="199" t="e">
        <f t="shared" ca="1" si="36"/>
        <v>#VALUE!</v>
      </c>
      <c r="P119" s="199" t="e">
        <f t="shared" ca="1" si="36"/>
        <v>#VALUE!</v>
      </c>
      <c r="Q119" s="199" t="e">
        <f t="shared" ca="1" si="36"/>
        <v>#VALUE!</v>
      </c>
      <c r="R119" s="199" t="e">
        <f t="shared" ca="1" si="36"/>
        <v>#VALUE!</v>
      </c>
      <c r="S119" s="199" t="e">
        <f t="shared" ca="1" si="36"/>
        <v>#VALUE!</v>
      </c>
      <c r="T119" s="199" t="e">
        <f t="shared" ca="1" si="36"/>
        <v>#VALUE!</v>
      </c>
      <c r="U119" s="199" t="e">
        <f t="shared" ca="1" si="36"/>
        <v>#VALUE!</v>
      </c>
      <c r="V119" s="199" t="e">
        <f t="shared" ca="1" si="36"/>
        <v>#VALUE!</v>
      </c>
      <c r="W119" s="199" t="e">
        <f t="shared" ca="1" si="36"/>
        <v>#VALUE!</v>
      </c>
      <c r="X119" s="199" t="e">
        <f t="shared" ca="1" si="36"/>
        <v>#VALUE!</v>
      </c>
      <c r="Y119" s="199" t="e">
        <f t="shared" ca="1" si="36"/>
        <v>#VALUE!</v>
      </c>
      <c r="Z119" s="199" t="e">
        <f t="shared" ca="1" si="36"/>
        <v>#VALUE!</v>
      </c>
      <c r="AA119" s="199" t="e">
        <f t="shared" ca="1" si="37"/>
        <v>#VALUE!</v>
      </c>
      <c r="AB119" s="199" t="e">
        <f t="shared" ca="1" si="37"/>
        <v>#VALUE!</v>
      </c>
      <c r="AC119" s="199" t="e">
        <f t="shared" ca="1" si="37"/>
        <v>#VALUE!</v>
      </c>
      <c r="AD119" s="199" t="e">
        <f t="shared" ca="1" si="37"/>
        <v>#VALUE!</v>
      </c>
      <c r="AE119" s="199" t="e">
        <f t="shared" ca="1" si="37"/>
        <v>#VALUE!</v>
      </c>
      <c r="AF119" s="199" t="e">
        <f t="shared" ca="1" si="37"/>
        <v>#VALUE!</v>
      </c>
      <c r="AG119" s="199" t="e">
        <f t="shared" ca="1" si="37"/>
        <v>#VALUE!</v>
      </c>
      <c r="AH119" s="199" t="e">
        <f t="shared" ca="1" si="37"/>
        <v>#VALUE!</v>
      </c>
      <c r="AI119" s="199" t="e">
        <f t="shared" ca="1" si="37"/>
        <v>#VALUE!</v>
      </c>
      <c r="AJ119" s="199" t="e">
        <f t="shared" ca="1" si="37"/>
        <v>#VALUE!</v>
      </c>
      <c r="AK119" s="199" t="e">
        <f t="shared" ca="1" si="37"/>
        <v>#VALUE!</v>
      </c>
      <c r="AL119" s="199" t="e">
        <f t="shared" ca="1" si="37"/>
        <v>#VALUE!</v>
      </c>
      <c r="AM119" s="199" t="e">
        <f t="shared" ca="1" si="37"/>
        <v>#VALUE!</v>
      </c>
      <c r="AN119" s="199" t="e">
        <f t="shared" ca="1" si="37"/>
        <v>#VALUE!</v>
      </c>
      <c r="AO119" s="199" t="e">
        <f t="shared" ca="1" si="37"/>
        <v>#VALUE!</v>
      </c>
      <c r="AP119" s="199" t="e">
        <f t="shared" ca="1" si="37"/>
        <v>#VALUE!</v>
      </c>
    </row>
    <row r="120" spans="1:42">
      <c r="A120" s="61" t="str">
        <f>'[4]TS BYDem'!A59</f>
        <v>*</v>
      </c>
      <c r="B120" s="199" t="s">
        <v>288</v>
      </c>
      <c r="C120" s="199" t="s">
        <v>137</v>
      </c>
      <c r="D120" s="199" t="str">
        <f>'[4]TS BYDem'!D59</f>
        <v>IISO</v>
      </c>
      <c r="E120" s="199" t="s">
        <v>137</v>
      </c>
      <c r="F120" s="199" t="s">
        <v>137</v>
      </c>
      <c r="G120" s="199" t="s">
        <v>137</v>
      </c>
      <c r="H120" s="199" t="s">
        <v>137</v>
      </c>
      <c r="I120" s="199">
        <v>0</v>
      </c>
      <c r="J120" s="199" t="str">
        <f>INDEX('[4]TS BYDem'!$J$10:$J$203,MATCH(D120,'[4]TS BYDem'!$D$10:$D$203,0))</f>
        <v/>
      </c>
      <c r="K120" s="199" t="e">
        <f t="shared" ca="1" si="36"/>
        <v>#VALUE!</v>
      </c>
      <c r="L120" s="199" t="e">
        <f t="shared" ca="1" si="36"/>
        <v>#VALUE!</v>
      </c>
      <c r="M120" s="199" t="e">
        <f t="shared" ca="1" si="36"/>
        <v>#VALUE!</v>
      </c>
      <c r="N120" s="199" t="e">
        <f t="shared" ca="1" si="36"/>
        <v>#VALUE!</v>
      </c>
      <c r="O120" s="199" t="e">
        <f t="shared" ca="1" si="36"/>
        <v>#VALUE!</v>
      </c>
      <c r="P120" s="199" t="e">
        <f t="shared" ca="1" si="36"/>
        <v>#VALUE!</v>
      </c>
      <c r="Q120" s="199" t="e">
        <f t="shared" ca="1" si="36"/>
        <v>#VALUE!</v>
      </c>
      <c r="R120" s="199" t="e">
        <f t="shared" ca="1" si="36"/>
        <v>#VALUE!</v>
      </c>
      <c r="S120" s="199" t="e">
        <f t="shared" ca="1" si="36"/>
        <v>#VALUE!</v>
      </c>
      <c r="T120" s="199" t="e">
        <f t="shared" ca="1" si="36"/>
        <v>#VALUE!</v>
      </c>
      <c r="U120" s="199" t="e">
        <f t="shared" ca="1" si="36"/>
        <v>#VALUE!</v>
      </c>
      <c r="V120" s="199" t="e">
        <f t="shared" ca="1" si="36"/>
        <v>#VALUE!</v>
      </c>
      <c r="W120" s="199" t="e">
        <f t="shared" ca="1" si="36"/>
        <v>#VALUE!</v>
      </c>
      <c r="X120" s="199" t="e">
        <f t="shared" ca="1" si="36"/>
        <v>#VALUE!</v>
      </c>
      <c r="Y120" s="199" t="e">
        <f t="shared" ca="1" si="36"/>
        <v>#VALUE!</v>
      </c>
      <c r="Z120" s="199" t="e">
        <f t="shared" ca="1" si="36"/>
        <v>#VALUE!</v>
      </c>
      <c r="AA120" s="199" t="e">
        <f t="shared" ca="1" si="37"/>
        <v>#VALUE!</v>
      </c>
      <c r="AB120" s="199" t="e">
        <f t="shared" ca="1" si="37"/>
        <v>#VALUE!</v>
      </c>
      <c r="AC120" s="199" t="e">
        <f t="shared" ca="1" si="37"/>
        <v>#VALUE!</v>
      </c>
      <c r="AD120" s="199" t="e">
        <f t="shared" ca="1" si="37"/>
        <v>#VALUE!</v>
      </c>
      <c r="AE120" s="199" t="e">
        <f t="shared" ca="1" si="37"/>
        <v>#VALUE!</v>
      </c>
      <c r="AF120" s="199" t="e">
        <f t="shared" ca="1" si="37"/>
        <v>#VALUE!</v>
      </c>
      <c r="AG120" s="199" t="e">
        <f t="shared" ca="1" si="37"/>
        <v>#VALUE!</v>
      </c>
      <c r="AH120" s="199" t="e">
        <f t="shared" ca="1" si="37"/>
        <v>#VALUE!</v>
      </c>
      <c r="AI120" s="199" t="e">
        <f t="shared" ca="1" si="37"/>
        <v>#VALUE!</v>
      </c>
      <c r="AJ120" s="199" t="e">
        <f t="shared" ca="1" si="37"/>
        <v>#VALUE!</v>
      </c>
      <c r="AK120" s="199" t="e">
        <f t="shared" ca="1" si="37"/>
        <v>#VALUE!</v>
      </c>
      <c r="AL120" s="199" t="e">
        <f t="shared" ca="1" si="37"/>
        <v>#VALUE!</v>
      </c>
      <c r="AM120" s="199" t="e">
        <f t="shared" ca="1" si="37"/>
        <v>#VALUE!</v>
      </c>
      <c r="AN120" s="199" t="e">
        <f t="shared" ca="1" si="37"/>
        <v>#VALUE!</v>
      </c>
      <c r="AO120" s="199" t="e">
        <f t="shared" ca="1" si="37"/>
        <v>#VALUE!</v>
      </c>
      <c r="AP120" s="199" t="e">
        <f t="shared" ca="1" si="37"/>
        <v>#VALUE!</v>
      </c>
    </row>
    <row r="121" spans="1:42">
      <c r="A121" s="61" t="str">
        <f>'[4]TS BYDem'!A60</f>
        <v>*</v>
      </c>
      <c r="B121" s="199" t="s">
        <v>288</v>
      </c>
      <c r="C121" s="199" t="s">
        <v>137</v>
      </c>
      <c r="D121" s="199" t="str">
        <f>'[4]TS BYDem'!D60</f>
        <v>IISE</v>
      </c>
      <c r="E121" s="199" t="s">
        <v>137</v>
      </c>
      <c r="F121" s="199" t="s">
        <v>137</v>
      </c>
      <c r="G121" s="199" t="s">
        <v>137</v>
      </c>
      <c r="H121" s="199" t="s">
        <v>137</v>
      </c>
      <c r="I121" s="199">
        <v>0</v>
      </c>
      <c r="J121" s="199" t="str">
        <f>INDEX('[4]TS BYDem'!$J$10:$J$203,MATCH(D121,'[4]TS BYDem'!$D$10:$D$203,0))</f>
        <v/>
      </c>
      <c r="K121" s="199" t="e">
        <f t="shared" ca="1" si="36"/>
        <v>#VALUE!</v>
      </c>
      <c r="L121" s="199" t="e">
        <f t="shared" ca="1" si="36"/>
        <v>#VALUE!</v>
      </c>
      <c r="M121" s="199" t="e">
        <f t="shared" ca="1" si="36"/>
        <v>#VALUE!</v>
      </c>
      <c r="N121" s="199" t="e">
        <f t="shared" ca="1" si="36"/>
        <v>#VALUE!</v>
      </c>
      <c r="O121" s="199" t="e">
        <f t="shared" ca="1" si="36"/>
        <v>#VALUE!</v>
      </c>
      <c r="P121" s="199" t="e">
        <f t="shared" ca="1" si="36"/>
        <v>#VALUE!</v>
      </c>
      <c r="Q121" s="199" t="e">
        <f t="shared" ca="1" si="36"/>
        <v>#VALUE!</v>
      </c>
      <c r="R121" s="199" t="e">
        <f t="shared" ca="1" si="36"/>
        <v>#VALUE!</v>
      </c>
      <c r="S121" s="199" t="e">
        <f t="shared" ca="1" si="36"/>
        <v>#VALUE!</v>
      </c>
      <c r="T121" s="199" t="e">
        <f t="shared" ca="1" si="36"/>
        <v>#VALUE!</v>
      </c>
      <c r="U121" s="199" t="e">
        <f t="shared" ca="1" si="36"/>
        <v>#VALUE!</v>
      </c>
      <c r="V121" s="199" t="e">
        <f t="shared" ca="1" si="36"/>
        <v>#VALUE!</v>
      </c>
      <c r="W121" s="199" t="e">
        <f t="shared" ca="1" si="36"/>
        <v>#VALUE!</v>
      </c>
      <c r="X121" s="199" t="e">
        <f t="shared" ca="1" si="36"/>
        <v>#VALUE!</v>
      </c>
      <c r="Y121" s="199" t="e">
        <f t="shared" ca="1" si="36"/>
        <v>#VALUE!</v>
      </c>
      <c r="Z121" s="199" t="e">
        <f t="shared" ca="1" si="36"/>
        <v>#VALUE!</v>
      </c>
      <c r="AA121" s="199" t="e">
        <f t="shared" ca="1" si="37"/>
        <v>#VALUE!</v>
      </c>
      <c r="AB121" s="199" t="e">
        <f t="shared" ca="1" si="37"/>
        <v>#VALUE!</v>
      </c>
      <c r="AC121" s="199" t="e">
        <f t="shared" ca="1" si="37"/>
        <v>#VALUE!</v>
      </c>
      <c r="AD121" s="199" t="e">
        <f t="shared" ca="1" si="37"/>
        <v>#VALUE!</v>
      </c>
      <c r="AE121" s="199" t="e">
        <f t="shared" ca="1" si="37"/>
        <v>#VALUE!</v>
      </c>
      <c r="AF121" s="199" t="e">
        <f t="shared" ca="1" si="37"/>
        <v>#VALUE!</v>
      </c>
      <c r="AG121" s="199" t="e">
        <f t="shared" ca="1" si="37"/>
        <v>#VALUE!</v>
      </c>
      <c r="AH121" s="199" t="e">
        <f t="shared" ca="1" si="37"/>
        <v>#VALUE!</v>
      </c>
      <c r="AI121" s="199" t="e">
        <f t="shared" ca="1" si="37"/>
        <v>#VALUE!</v>
      </c>
      <c r="AJ121" s="199" t="e">
        <f t="shared" ca="1" si="37"/>
        <v>#VALUE!</v>
      </c>
      <c r="AK121" s="199" t="e">
        <f t="shared" ca="1" si="37"/>
        <v>#VALUE!</v>
      </c>
      <c r="AL121" s="199" t="e">
        <f t="shared" ca="1" si="37"/>
        <v>#VALUE!</v>
      </c>
      <c r="AM121" s="199" t="e">
        <f t="shared" ca="1" si="37"/>
        <v>#VALUE!</v>
      </c>
      <c r="AN121" s="199" t="e">
        <f t="shared" ca="1" si="37"/>
        <v>#VALUE!</v>
      </c>
      <c r="AO121" s="199" t="e">
        <f t="shared" ca="1" si="37"/>
        <v>#VALUE!</v>
      </c>
      <c r="AP121" s="199" t="e">
        <f t="shared" ca="1" si="37"/>
        <v>#VALUE!</v>
      </c>
    </row>
    <row r="122" spans="1:42">
      <c r="A122" s="61" t="str">
        <f>'[4]TS BYDem'!A61</f>
        <v>*</v>
      </c>
      <c r="B122" s="199" t="s">
        <v>288</v>
      </c>
      <c r="C122" s="199" t="s">
        <v>137</v>
      </c>
      <c r="D122" s="199" t="str">
        <f>'[4]TS BYDem'!D61</f>
        <v xml:space="preserve"> </v>
      </c>
      <c r="E122" s="199" t="s">
        <v>137</v>
      </c>
      <c r="F122" s="199" t="s">
        <v>137</v>
      </c>
      <c r="G122" s="199" t="s">
        <v>137</v>
      </c>
      <c r="H122" s="199" t="s">
        <v>137</v>
      </c>
      <c r="I122" s="199">
        <v>0</v>
      </c>
      <c r="J122" s="199" t="str">
        <f>INDEX('[4]TS BYDem'!$J$10:$J$203,MATCH(D122,'[4]TS BYDem'!$D$10:$D$203,0))</f>
        <v/>
      </c>
      <c r="K122" s="199" t="e">
        <f t="shared" ca="1" si="36"/>
        <v>#VALUE!</v>
      </c>
      <c r="L122" s="199" t="e">
        <f t="shared" ca="1" si="36"/>
        <v>#VALUE!</v>
      </c>
      <c r="M122" s="199" t="e">
        <f t="shared" ca="1" si="36"/>
        <v>#VALUE!</v>
      </c>
      <c r="N122" s="199" t="e">
        <f t="shared" ca="1" si="36"/>
        <v>#VALUE!</v>
      </c>
      <c r="O122" s="199" t="e">
        <f t="shared" ca="1" si="36"/>
        <v>#VALUE!</v>
      </c>
      <c r="P122" s="199" t="e">
        <f t="shared" ca="1" si="36"/>
        <v>#VALUE!</v>
      </c>
      <c r="Q122" s="199" t="e">
        <f t="shared" ca="1" si="36"/>
        <v>#VALUE!</v>
      </c>
      <c r="R122" s="199" t="e">
        <f t="shared" ca="1" si="36"/>
        <v>#VALUE!</v>
      </c>
      <c r="S122" s="199" t="e">
        <f t="shared" ca="1" si="36"/>
        <v>#VALUE!</v>
      </c>
      <c r="T122" s="199" t="e">
        <f t="shared" ca="1" si="36"/>
        <v>#VALUE!</v>
      </c>
      <c r="U122" s="199" t="e">
        <f t="shared" ca="1" si="36"/>
        <v>#VALUE!</v>
      </c>
      <c r="V122" s="199" t="e">
        <f t="shared" ca="1" si="36"/>
        <v>#VALUE!</v>
      </c>
      <c r="W122" s="199" t="e">
        <f t="shared" ca="1" si="36"/>
        <v>#VALUE!</v>
      </c>
      <c r="X122" s="199" t="e">
        <f t="shared" ca="1" si="36"/>
        <v>#VALUE!</v>
      </c>
      <c r="Y122" s="199" t="e">
        <f t="shared" ca="1" si="36"/>
        <v>#VALUE!</v>
      </c>
      <c r="Z122" s="199" t="e">
        <f t="shared" ca="1" si="36"/>
        <v>#VALUE!</v>
      </c>
      <c r="AA122" s="199" t="e">
        <f t="shared" ca="1" si="37"/>
        <v>#VALUE!</v>
      </c>
      <c r="AB122" s="199" t="e">
        <f t="shared" ca="1" si="37"/>
        <v>#VALUE!</v>
      </c>
      <c r="AC122" s="199" t="e">
        <f t="shared" ca="1" si="37"/>
        <v>#VALUE!</v>
      </c>
      <c r="AD122" s="199" t="e">
        <f t="shared" ca="1" si="37"/>
        <v>#VALUE!</v>
      </c>
      <c r="AE122" s="199" t="e">
        <f t="shared" ca="1" si="37"/>
        <v>#VALUE!</v>
      </c>
      <c r="AF122" s="199" t="e">
        <f t="shared" ca="1" si="37"/>
        <v>#VALUE!</v>
      </c>
      <c r="AG122" s="199" t="e">
        <f t="shared" ca="1" si="37"/>
        <v>#VALUE!</v>
      </c>
      <c r="AH122" s="199" t="e">
        <f t="shared" ca="1" si="37"/>
        <v>#VALUE!</v>
      </c>
      <c r="AI122" s="199" t="e">
        <f t="shared" ca="1" si="37"/>
        <v>#VALUE!</v>
      </c>
      <c r="AJ122" s="199" t="e">
        <f t="shared" ca="1" si="37"/>
        <v>#VALUE!</v>
      </c>
      <c r="AK122" s="199" t="e">
        <f t="shared" ca="1" si="37"/>
        <v>#VALUE!</v>
      </c>
      <c r="AL122" s="199" t="e">
        <f t="shared" ca="1" si="37"/>
        <v>#VALUE!</v>
      </c>
      <c r="AM122" s="199" t="e">
        <f t="shared" ca="1" si="37"/>
        <v>#VALUE!</v>
      </c>
      <c r="AN122" s="199" t="e">
        <f t="shared" ca="1" si="37"/>
        <v>#VALUE!</v>
      </c>
      <c r="AO122" s="199" t="e">
        <f t="shared" ca="1" si="37"/>
        <v>#VALUE!</v>
      </c>
      <c r="AP122" s="199" t="e">
        <f t="shared" ca="1" si="37"/>
        <v>#VALUE!</v>
      </c>
    </row>
    <row r="123" spans="1:42">
      <c r="A123" s="61" t="str">
        <f>'[4]TS BYDem'!A62</f>
        <v>*</v>
      </c>
      <c r="B123" s="199" t="s">
        <v>288</v>
      </c>
      <c r="C123" s="199" t="s">
        <v>137</v>
      </c>
      <c r="D123" s="199" t="str">
        <f>'[4]TS BYDem'!D62</f>
        <v>IISS</v>
      </c>
      <c r="E123" s="199" t="s">
        <v>137</v>
      </c>
      <c r="F123" s="199" t="s">
        <v>137</v>
      </c>
      <c r="G123" s="199" t="s">
        <v>137</v>
      </c>
      <c r="H123" s="199" t="s">
        <v>137</v>
      </c>
      <c r="I123" s="199">
        <v>0</v>
      </c>
      <c r="J123" s="199" t="str">
        <f>INDEX('[4]TS BYDem'!$J$10:$J$203,MATCH(D123,'[4]TS BYDem'!$D$10:$D$203,0))</f>
        <v/>
      </c>
      <c r="K123" s="199" t="e">
        <f t="shared" ca="1" si="36"/>
        <v>#VALUE!</v>
      </c>
      <c r="L123" s="199" t="e">
        <f t="shared" ca="1" si="36"/>
        <v>#VALUE!</v>
      </c>
      <c r="M123" s="199" t="e">
        <f t="shared" ca="1" si="36"/>
        <v>#VALUE!</v>
      </c>
      <c r="N123" s="199" t="e">
        <f t="shared" ca="1" si="36"/>
        <v>#VALUE!</v>
      </c>
      <c r="O123" s="199" t="e">
        <f t="shared" ca="1" si="36"/>
        <v>#VALUE!</v>
      </c>
      <c r="P123" s="199" t="e">
        <f t="shared" ca="1" si="36"/>
        <v>#VALUE!</v>
      </c>
      <c r="Q123" s="199" t="e">
        <f t="shared" ca="1" si="36"/>
        <v>#VALUE!</v>
      </c>
      <c r="R123" s="199" t="e">
        <f t="shared" ca="1" si="36"/>
        <v>#VALUE!</v>
      </c>
      <c r="S123" s="199" t="e">
        <f t="shared" ca="1" si="36"/>
        <v>#VALUE!</v>
      </c>
      <c r="T123" s="199" t="e">
        <f t="shared" ca="1" si="36"/>
        <v>#VALUE!</v>
      </c>
      <c r="U123" s="199" t="e">
        <f t="shared" ca="1" si="36"/>
        <v>#VALUE!</v>
      </c>
      <c r="V123" s="199" t="e">
        <f t="shared" ca="1" si="36"/>
        <v>#VALUE!</v>
      </c>
      <c r="W123" s="199" t="e">
        <f t="shared" ca="1" si="36"/>
        <v>#VALUE!</v>
      </c>
      <c r="X123" s="199" t="e">
        <f t="shared" ca="1" si="36"/>
        <v>#VALUE!</v>
      </c>
      <c r="Y123" s="199" t="e">
        <f t="shared" ca="1" si="36"/>
        <v>#VALUE!</v>
      </c>
      <c r="Z123" s="199" t="e">
        <f t="shared" ca="1" si="36"/>
        <v>#VALUE!</v>
      </c>
      <c r="AA123" s="199" t="e">
        <f t="shared" ca="1" si="37"/>
        <v>#VALUE!</v>
      </c>
      <c r="AB123" s="199" t="e">
        <f t="shared" ca="1" si="37"/>
        <v>#VALUE!</v>
      </c>
      <c r="AC123" s="199" t="e">
        <f t="shared" ca="1" si="37"/>
        <v>#VALUE!</v>
      </c>
      <c r="AD123" s="199" t="e">
        <f t="shared" ca="1" si="37"/>
        <v>#VALUE!</v>
      </c>
      <c r="AE123" s="199" t="e">
        <f t="shared" ca="1" si="37"/>
        <v>#VALUE!</v>
      </c>
      <c r="AF123" s="199" t="e">
        <f t="shared" ca="1" si="37"/>
        <v>#VALUE!</v>
      </c>
      <c r="AG123" s="199" t="e">
        <f t="shared" ca="1" si="37"/>
        <v>#VALUE!</v>
      </c>
      <c r="AH123" s="199" t="e">
        <f t="shared" ca="1" si="37"/>
        <v>#VALUE!</v>
      </c>
      <c r="AI123" s="199" t="e">
        <f t="shared" ca="1" si="37"/>
        <v>#VALUE!</v>
      </c>
      <c r="AJ123" s="199" t="e">
        <f t="shared" ca="1" si="37"/>
        <v>#VALUE!</v>
      </c>
      <c r="AK123" s="199" t="e">
        <f t="shared" ca="1" si="37"/>
        <v>#VALUE!</v>
      </c>
      <c r="AL123" s="199" t="e">
        <f t="shared" ca="1" si="37"/>
        <v>#VALUE!</v>
      </c>
      <c r="AM123" s="199" t="e">
        <f t="shared" ca="1" si="37"/>
        <v>#VALUE!</v>
      </c>
      <c r="AN123" s="199" t="e">
        <f t="shared" ca="1" si="37"/>
        <v>#VALUE!</v>
      </c>
      <c r="AO123" s="199" t="e">
        <f t="shared" ca="1" si="37"/>
        <v>#VALUE!</v>
      </c>
      <c r="AP123" s="199" t="e">
        <f t="shared" ca="1" si="37"/>
        <v>#VALUE!</v>
      </c>
    </row>
    <row r="124" spans="1:42">
      <c r="A124" s="61" t="str">
        <f>'[4]TS BYDem'!A63</f>
        <v>*</v>
      </c>
      <c r="B124" s="199" t="s">
        <v>288</v>
      </c>
      <c r="C124" s="199" t="s">
        <v>137</v>
      </c>
      <c r="D124" s="199" t="str">
        <f>'[4]TS BYDem'!D63</f>
        <v>IISS</v>
      </c>
      <c r="E124" s="199" t="s">
        <v>137</v>
      </c>
      <c r="F124" s="199" t="s">
        <v>137</v>
      </c>
      <c r="G124" s="199" t="s">
        <v>137</v>
      </c>
      <c r="H124" s="199" t="s">
        <v>137</v>
      </c>
      <c r="I124" s="199">
        <v>0</v>
      </c>
      <c r="J124" s="199" t="str">
        <f>INDEX('[4]TS BYDem'!$J$10:$J$203,MATCH(D124,'[4]TS BYDem'!$D$10:$D$203,0))</f>
        <v/>
      </c>
      <c r="K124" s="199" t="e">
        <f t="shared" ca="1" si="36"/>
        <v>#VALUE!</v>
      </c>
      <c r="L124" s="199" t="e">
        <f t="shared" ca="1" si="36"/>
        <v>#VALUE!</v>
      </c>
      <c r="M124" s="199" t="e">
        <f t="shared" ca="1" si="36"/>
        <v>#VALUE!</v>
      </c>
      <c r="N124" s="199" t="e">
        <f t="shared" ca="1" si="36"/>
        <v>#VALUE!</v>
      </c>
      <c r="O124" s="199" t="e">
        <f t="shared" ca="1" si="36"/>
        <v>#VALUE!</v>
      </c>
      <c r="P124" s="199" t="e">
        <f t="shared" ca="1" si="36"/>
        <v>#VALUE!</v>
      </c>
      <c r="Q124" s="199" t="e">
        <f t="shared" ca="1" si="36"/>
        <v>#VALUE!</v>
      </c>
      <c r="R124" s="199" t="e">
        <f t="shared" ca="1" si="36"/>
        <v>#VALUE!</v>
      </c>
      <c r="S124" s="199" t="e">
        <f t="shared" ca="1" si="36"/>
        <v>#VALUE!</v>
      </c>
      <c r="T124" s="199" t="e">
        <f t="shared" ca="1" si="36"/>
        <v>#VALUE!</v>
      </c>
      <c r="U124" s="199" t="e">
        <f t="shared" ca="1" si="36"/>
        <v>#VALUE!</v>
      </c>
      <c r="V124" s="199" t="e">
        <f t="shared" ca="1" si="36"/>
        <v>#VALUE!</v>
      </c>
      <c r="W124" s="199" t="e">
        <f t="shared" ca="1" si="36"/>
        <v>#VALUE!</v>
      </c>
      <c r="X124" s="199" t="e">
        <f t="shared" ca="1" si="36"/>
        <v>#VALUE!</v>
      </c>
      <c r="Y124" s="199" t="e">
        <f t="shared" ca="1" si="36"/>
        <v>#VALUE!</v>
      </c>
      <c r="Z124" s="199" t="e">
        <f t="shared" ca="1" si="36"/>
        <v>#VALUE!</v>
      </c>
      <c r="AA124" s="199" t="e">
        <f t="shared" ca="1" si="37"/>
        <v>#VALUE!</v>
      </c>
      <c r="AB124" s="199" t="e">
        <f t="shared" ca="1" si="37"/>
        <v>#VALUE!</v>
      </c>
      <c r="AC124" s="199" t="e">
        <f t="shared" ca="1" si="37"/>
        <v>#VALUE!</v>
      </c>
      <c r="AD124" s="199" t="e">
        <f t="shared" ca="1" si="37"/>
        <v>#VALUE!</v>
      </c>
      <c r="AE124" s="199" t="e">
        <f t="shared" ca="1" si="37"/>
        <v>#VALUE!</v>
      </c>
      <c r="AF124" s="199" t="e">
        <f t="shared" ca="1" si="37"/>
        <v>#VALUE!</v>
      </c>
      <c r="AG124" s="199" t="e">
        <f t="shared" ca="1" si="37"/>
        <v>#VALUE!</v>
      </c>
      <c r="AH124" s="199" t="e">
        <f t="shared" ca="1" si="37"/>
        <v>#VALUE!</v>
      </c>
      <c r="AI124" s="199" t="e">
        <f t="shared" ca="1" si="37"/>
        <v>#VALUE!</v>
      </c>
      <c r="AJ124" s="199" t="e">
        <f t="shared" ca="1" si="37"/>
        <v>#VALUE!</v>
      </c>
      <c r="AK124" s="199" t="e">
        <f t="shared" ca="1" si="37"/>
        <v>#VALUE!</v>
      </c>
      <c r="AL124" s="199" t="e">
        <f t="shared" ca="1" si="37"/>
        <v>#VALUE!</v>
      </c>
      <c r="AM124" s="199" t="e">
        <f t="shared" ca="1" si="37"/>
        <v>#VALUE!</v>
      </c>
      <c r="AN124" s="199" t="e">
        <f t="shared" ca="1" si="37"/>
        <v>#VALUE!</v>
      </c>
      <c r="AO124" s="199" t="e">
        <f t="shared" ca="1" si="37"/>
        <v>#VALUE!</v>
      </c>
      <c r="AP124" s="199" t="e">
        <f t="shared" ca="1" si="37"/>
        <v>#VALUE!</v>
      </c>
    </row>
    <row r="125" spans="1:42">
      <c r="A125" s="61" t="str">
        <f>'[4]TS BYDem'!A64</f>
        <v>*</v>
      </c>
      <c r="B125" s="199" t="s">
        <v>288</v>
      </c>
      <c r="C125" s="199" t="s">
        <v>137</v>
      </c>
      <c r="D125" s="199" t="str">
        <f>'[4]TS BYDem'!D64</f>
        <v>IISS</v>
      </c>
      <c r="E125" s="199" t="s">
        <v>137</v>
      </c>
      <c r="F125" s="199" t="s">
        <v>137</v>
      </c>
      <c r="G125" s="199" t="s">
        <v>137</v>
      </c>
      <c r="H125" s="199" t="s">
        <v>137</v>
      </c>
      <c r="I125" s="199">
        <v>0</v>
      </c>
      <c r="J125" s="199" t="str">
        <f>INDEX('[4]TS BYDem'!$J$10:$J$203,MATCH(D125,'[4]TS BYDem'!$D$10:$D$203,0))</f>
        <v/>
      </c>
      <c r="K125" s="199" t="e">
        <f t="shared" ca="1" si="36"/>
        <v>#VALUE!</v>
      </c>
      <c r="L125" s="199" t="e">
        <f t="shared" ca="1" si="36"/>
        <v>#VALUE!</v>
      </c>
      <c r="M125" s="199" t="e">
        <f t="shared" ca="1" si="36"/>
        <v>#VALUE!</v>
      </c>
      <c r="N125" s="199" t="e">
        <f t="shared" ca="1" si="36"/>
        <v>#VALUE!</v>
      </c>
      <c r="O125" s="199" t="e">
        <f t="shared" ca="1" si="36"/>
        <v>#VALUE!</v>
      </c>
      <c r="P125" s="199" t="e">
        <f t="shared" ca="1" si="36"/>
        <v>#VALUE!</v>
      </c>
      <c r="Q125" s="199" t="e">
        <f t="shared" ca="1" si="36"/>
        <v>#VALUE!</v>
      </c>
      <c r="R125" s="199" t="e">
        <f t="shared" ca="1" si="36"/>
        <v>#VALUE!</v>
      </c>
      <c r="S125" s="199" t="e">
        <f t="shared" ca="1" si="36"/>
        <v>#VALUE!</v>
      </c>
      <c r="T125" s="199" t="e">
        <f t="shared" ca="1" si="36"/>
        <v>#VALUE!</v>
      </c>
      <c r="U125" s="199" t="e">
        <f t="shared" ca="1" si="36"/>
        <v>#VALUE!</v>
      </c>
      <c r="V125" s="199" t="e">
        <f t="shared" ca="1" si="36"/>
        <v>#VALUE!</v>
      </c>
      <c r="W125" s="199" t="e">
        <f t="shared" ca="1" si="36"/>
        <v>#VALUE!</v>
      </c>
      <c r="X125" s="199" t="e">
        <f t="shared" ca="1" si="36"/>
        <v>#VALUE!</v>
      </c>
      <c r="Y125" s="199" t="e">
        <f t="shared" ca="1" si="36"/>
        <v>#VALUE!</v>
      </c>
      <c r="Z125" s="199" t="e">
        <f t="shared" ca="1" si="36"/>
        <v>#VALUE!</v>
      </c>
      <c r="AA125" s="199" t="e">
        <f t="shared" ca="1" si="37"/>
        <v>#VALUE!</v>
      </c>
      <c r="AB125" s="199" t="e">
        <f t="shared" ca="1" si="37"/>
        <v>#VALUE!</v>
      </c>
      <c r="AC125" s="199" t="e">
        <f t="shared" ca="1" si="37"/>
        <v>#VALUE!</v>
      </c>
      <c r="AD125" s="199" t="e">
        <f t="shared" ca="1" si="37"/>
        <v>#VALUE!</v>
      </c>
      <c r="AE125" s="199" t="e">
        <f t="shared" ca="1" si="37"/>
        <v>#VALUE!</v>
      </c>
      <c r="AF125" s="199" t="e">
        <f t="shared" ca="1" si="37"/>
        <v>#VALUE!</v>
      </c>
      <c r="AG125" s="199" t="e">
        <f t="shared" ca="1" si="37"/>
        <v>#VALUE!</v>
      </c>
      <c r="AH125" s="199" t="e">
        <f t="shared" ca="1" si="37"/>
        <v>#VALUE!</v>
      </c>
      <c r="AI125" s="199" t="e">
        <f t="shared" ca="1" si="37"/>
        <v>#VALUE!</v>
      </c>
      <c r="AJ125" s="199" t="e">
        <f t="shared" ca="1" si="37"/>
        <v>#VALUE!</v>
      </c>
      <c r="AK125" s="199" t="e">
        <f t="shared" ca="1" si="37"/>
        <v>#VALUE!</v>
      </c>
      <c r="AL125" s="199" t="e">
        <f t="shared" ca="1" si="37"/>
        <v>#VALUE!</v>
      </c>
      <c r="AM125" s="199" t="e">
        <f t="shared" ca="1" si="37"/>
        <v>#VALUE!</v>
      </c>
      <c r="AN125" s="199" t="e">
        <f t="shared" ca="1" si="37"/>
        <v>#VALUE!</v>
      </c>
      <c r="AO125" s="199" t="e">
        <f t="shared" ca="1" si="37"/>
        <v>#VALUE!</v>
      </c>
      <c r="AP125" s="199" t="e">
        <f t="shared" ca="1" si="37"/>
        <v>#VALUE!</v>
      </c>
    </row>
    <row r="126" spans="1:42">
      <c r="A126" s="61" t="str">
        <f>'[4]TS BYDem'!A65</f>
        <v>*</v>
      </c>
      <c r="B126" s="199" t="s">
        <v>288</v>
      </c>
      <c r="C126" s="199" t="s">
        <v>137</v>
      </c>
      <c r="D126" s="199" t="str">
        <f>'[4]TS BYDem'!D65</f>
        <v>IISS</v>
      </c>
      <c r="E126" s="199" t="s">
        <v>137</v>
      </c>
      <c r="F126" s="199" t="s">
        <v>137</v>
      </c>
      <c r="G126" s="199" t="s">
        <v>137</v>
      </c>
      <c r="H126" s="199" t="s">
        <v>137</v>
      </c>
      <c r="I126" s="199">
        <v>0</v>
      </c>
      <c r="J126" s="199" t="str">
        <f>INDEX('[4]TS BYDem'!$J$10:$J$203,MATCH(D126,'[4]TS BYDem'!$D$10:$D$203,0))</f>
        <v/>
      </c>
      <c r="K126" s="199" t="e">
        <f t="shared" ca="1" si="36"/>
        <v>#VALUE!</v>
      </c>
      <c r="L126" s="199" t="e">
        <f t="shared" ca="1" si="36"/>
        <v>#VALUE!</v>
      </c>
      <c r="M126" s="199" t="e">
        <f t="shared" ca="1" si="36"/>
        <v>#VALUE!</v>
      </c>
      <c r="N126" s="199" t="e">
        <f t="shared" ca="1" si="36"/>
        <v>#VALUE!</v>
      </c>
      <c r="O126" s="199" t="e">
        <f t="shared" ca="1" si="36"/>
        <v>#VALUE!</v>
      </c>
      <c r="P126" s="199" t="e">
        <f t="shared" ca="1" si="36"/>
        <v>#VALUE!</v>
      </c>
      <c r="Q126" s="199" t="e">
        <f t="shared" ca="1" si="36"/>
        <v>#VALUE!</v>
      </c>
      <c r="R126" s="199" t="e">
        <f t="shared" ca="1" si="36"/>
        <v>#VALUE!</v>
      </c>
      <c r="S126" s="199" t="e">
        <f t="shared" ca="1" si="36"/>
        <v>#VALUE!</v>
      </c>
      <c r="T126" s="199" t="e">
        <f t="shared" ca="1" si="36"/>
        <v>#VALUE!</v>
      </c>
      <c r="U126" s="199" t="e">
        <f t="shared" ca="1" si="36"/>
        <v>#VALUE!</v>
      </c>
      <c r="V126" s="199" t="e">
        <f t="shared" ca="1" si="36"/>
        <v>#VALUE!</v>
      </c>
      <c r="W126" s="199" t="e">
        <f t="shared" ca="1" si="36"/>
        <v>#VALUE!</v>
      </c>
      <c r="X126" s="199" t="e">
        <f t="shared" ca="1" si="36"/>
        <v>#VALUE!</v>
      </c>
      <c r="Y126" s="199" t="e">
        <f t="shared" ca="1" si="36"/>
        <v>#VALUE!</v>
      </c>
      <c r="Z126" s="199" t="e">
        <f t="shared" ca="1" si="36"/>
        <v>#VALUE!</v>
      </c>
      <c r="AA126" s="199" t="e">
        <f t="shared" ca="1" si="37"/>
        <v>#VALUE!</v>
      </c>
      <c r="AB126" s="199" t="e">
        <f t="shared" ca="1" si="37"/>
        <v>#VALUE!</v>
      </c>
      <c r="AC126" s="199" t="e">
        <f t="shared" ca="1" si="37"/>
        <v>#VALUE!</v>
      </c>
      <c r="AD126" s="199" t="e">
        <f t="shared" ca="1" si="37"/>
        <v>#VALUE!</v>
      </c>
      <c r="AE126" s="199" t="e">
        <f t="shared" ca="1" si="37"/>
        <v>#VALUE!</v>
      </c>
      <c r="AF126" s="199" t="e">
        <f t="shared" ca="1" si="37"/>
        <v>#VALUE!</v>
      </c>
      <c r="AG126" s="199" t="e">
        <f t="shared" ca="1" si="37"/>
        <v>#VALUE!</v>
      </c>
      <c r="AH126" s="199" t="e">
        <f t="shared" ca="1" si="37"/>
        <v>#VALUE!</v>
      </c>
      <c r="AI126" s="199" t="e">
        <f t="shared" ca="1" si="37"/>
        <v>#VALUE!</v>
      </c>
      <c r="AJ126" s="199" t="e">
        <f t="shared" ca="1" si="37"/>
        <v>#VALUE!</v>
      </c>
      <c r="AK126" s="199" t="e">
        <f t="shared" ca="1" si="37"/>
        <v>#VALUE!</v>
      </c>
      <c r="AL126" s="199" t="e">
        <f t="shared" ca="1" si="37"/>
        <v>#VALUE!</v>
      </c>
      <c r="AM126" s="199" t="e">
        <f t="shared" ca="1" si="37"/>
        <v>#VALUE!</v>
      </c>
      <c r="AN126" s="199" t="e">
        <f t="shared" ca="1" si="37"/>
        <v>#VALUE!</v>
      </c>
      <c r="AO126" s="199" t="e">
        <f t="shared" ca="1" si="37"/>
        <v>#VALUE!</v>
      </c>
      <c r="AP126" s="199" t="e">
        <f t="shared" ca="1" si="37"/>
        <v>#VALUE!</v>
      </c>
    </row>
    <row r="127" spans="1:42">
      <c r="A127" s="61" t="str">
        <f>'[4]TS BYDem'!A66</f>
        <v>*</v>
      </c>
      <c r="B127" s="199" t="s">
        <v>288</v>
      </c>
      <c r="C127" s="199" t="s">
        <v>137</v>
      </c>
      <c r="D127" s="199" t="str">
        <f>'[4]TS BYDem'!D66</f>
        <v>IISS</v>
      </c>
      <c r="E127" s="199" t="s">
        <v>137</v>
      </c>
      <c r="F127" s="199" t="s">
        <v>137</v>
      </c>
      <c r="G127" s="199" t="s">
        <v>137</v>
      </c>
      <c r="H127" s="199" t="s">
        <v>137</v>
      </c>
      <c r="I127" s="199">
        <v>0</v>
      </c>
      <c r="J127" s="199" t="str">
        <f>INDEX('[4]TS BYDem'!$J$10:$J$203,MATCH(D127,'[4]TS BYDem'!$D$10:$D$203,0))</f>
        <v/>
      </c>
      <c r="K127" s="199" t="e">
        <f t="shared" ca="1" si="36"/>
        <v>#VALUE!</v>
      </c>
      <c r="L127" s="199" t="e">
        <f t="shared" ca="1" si="36"/>
        <v>#VALUE!</v>
      </c>
      <c r="M127" s="199" t="e">
        <f t="shared" ca="1" si="36"/>
        <v>#VALUE!</v>
      </c>
      <c r="N127" s="199" t="e">
        <f t="shared" ca="1" si="36"/>
        <v>#VALUE!</v>
      </c>
      <c r="O127" s="199" t="e">
        <f t="shared" ca="1" si="36"/>
        <v>#VALUE!</v>
      </c>
      <c r="P127" s="199" t="e">
        <f t="shared" ca="1" si="36"/>
        <v>#VALUE!</v>
      </c>
      <c r="Q127" s="199" t="e">
        <f t="shared" ca="1" si="36"/>
        <v>#VALUE!</v>
      </c>
      <c r="R127" s="199" t="e">
        <f t="shared" ca="1" si="36"/>
        <v>#VALUE!</v>
      </c>
      <c r="S127" s="199" t="e">
        <f t="shared" ca="1" si="36"/>
        <v>#VALUE!</v>
      </c>
      <c r="T127" s="199" t="e">
        <f t="shared" ca="1" si="36"/>
        <v>#VALUE!</v>
      </c>
      <c r="U127" s="199" t="e">
        <f t="shared" ca="1" si="36"/>
        <v>#VALUE!</v>
      </c>
      <c r="V127" s="199" t="e">
        <f t="shared" ca="1" si="36"/>
        <v>#VALUE!</v>
      </c>
      <c r="W127" s="199" t="e">
        <f t="shared" ca="1" si="36"/>
        <v>#VALUE!</v>
      </c>
      <c r="X127" s="199" t="e">
        <f t="shared" ca="1" si="36"/>
        <v>#VALUE!</v>
      </c>
      <c r="Y127" s="199" t="e">
        <f t="shared" ca="1" si="36"/>
        <v>#VALUE!</v>
      </c>
      <c r="Z127" s="199" t="e">
        <f t="shared" ca="1" si="36"/>
        <v>#VALUE!</v>
      </c>
      <c r="AA127" s="199" t="e">
        <f t="shared" ca="1" si="37"/>
        <v>#VALUE!</v>
      </c>
      <c r="AB127" s="199" t="e">
        <f t="shared" ca="1" si="37"/>
        <v>#VALUE!</v>
      </c>
      <c r="AC127" s="199" t="e">
        <f t="shared" ca="1" si="37"/>
        <v>#VALUE!</v>
      </c>
      <c r="AD127" s="199" t="e">
        <f t="shared" ca="1" si="37"/>
        <v>#VALUE!</v>
      </c>
      <c r="AE127" s="199" t="e">
        <f t="shared" ca="1" si="37"/>
        <v>#VALUE!</v>
      </c>
      <c r="AF127" s="199" t="e">
        <f t="shared" ca="1" si="37"/>
        <v>#VALUE!</v>
      </c>
      <c r="AG127" s="199" t="e">
        <f t="shared" ca="1" si="37"/>
        <v>#VALUE!</v>
      </c>
      <c r="AH127" s="199" t="e">
        <f t="shared" ca="1" si="37"/>
        <v>#VALUE!</v>
      </c>
      <c r="AI127" s="199" t="e">
        <f t="shared" ca="1" si="37"/>
        <v>#VALUE!</v>
      </c>
      <c r="AJ127" s="199" t="e">
        <f t="shared" ca="1" si="37"/>
        <v>#VALUE!</v>
      </c>
      <c r="AK127" s="199" t="e">
        <f t="shared" ca="1" si="37"/>
        <v>#VALUE!</v>
      </c>
      <c r="AL127" s="199" t="e">
        <f t="shared" ca="1" si="37"/>
        <v>#VALUE!</v>
      </c>
      <c r="AM127" s="199" t="e">
        <f t="shared" ca="1" si="37"/>
        <v>#VALUE!</v>
      </c>
      <c r="AN127" s="199" t="e">
        <f t="shared" ca="1" si="37"/>
        <v>#VALUE!</v>
      </c>
      <c r="AO127" s="199" t="e">
        <f t="shared" ca="1" si="37"/>
        <v>#VALUE!</v>
      </c>
      <c r="AP127" s="199" t="e">
        <f t="shared" ca="1" si="37"/>
        <v>#VALUE!</v>
      </c>
    </row>
    <row r="128" spans="1:42">
      <c r="A128" s="61" t="str">
        <f>'[4]TS BYDem'!A67</f>
        <v>*</v>
      </c>
      <c r="B128" s="199" t="s">
        <v>288</v>
      </c>
      <c r="C128" s="199" t="s">
        <v>137</v>
      </c>
      <c r="D128" s="199" t="str">
        <f>'[4]TS BYDem'!D67</f>
        <v>IISS</v>
      </c>
      <c r="E128" s="199" t="s">
        <v>137</v>
      </c>
      <c r="F128" s="199" t="s">
        <v>137</v>
      </c>
      <c r="G128" s="199" t="s">
        <v>137</v>
      </c>
      <c r="H128" s="199" t="s">
        <v>137</v>
      </c>
      <c r="I128" s="199">
        <v>0</v>
      </c>
      <c r="J128" s="199" t="str">
        <f>INDEX('[4]TS BYDem'!$J$10:$J$203,MATCH(D128,'[4]TS BYDem'!$D$10:$D$203,0))</f>
        <v/>
      </c>
      <c r="K128" s="199" t="e">
        <f t="shared" ca="1" si="36"/>
        <v>#VALUE!</v>
      </c>
      <c r="L128" s="199" t="e">
        <f t="shared" ca="1" si="36"/>
        <v>#VALUE!</v>
      </c>
      <c r="M128" s="199" t="e">
        <f t="shared" ca="1" si="36"/>
        <v>#VALUE!</v>
      </c>
      <c r="N128" s="199" t="e">
        <f t="shared" ca="1" si="36"/>
        <v>#VALUE!</v>
      </c>
      <c r="O128" s="199" t="e">
        <f t="shared" ca="1" si="36"/>
        <v>#VALUE!</v>
      </c>
      <c r="P128" s="199" t="e">
        <f t="shared" ca="1" si="36"/>
        <v>#VALUE!</v>
      </c>
      <c r="Q128" s="199" t="e">
        <f t="shared" ca="1" si="36"/>
        <v>#VALUE!</v>
      </c>
      <c r="R128" s="199" t="e">
        <f t="shared" ca="1" si="36"/>
        <v>#VALUE!</v>
      </c>
      <c r="S128" s="199" t="e">
        <f t="shared" ca="1" si="36"/>
        <v>#VALUE!</v>
      </c>
      <c r="T128" s="199" t="e">
        <f t="shared" ca="1" si="36"/>
        <v>#VALUE!</v>
      </c>
      <c r="U128" s="199" t="e">
        <f t="shared" ca="1" si="36"/>
        <v>#VALUE!</v>
      </c>
      <c r="V128" s="199" t="e">
        <f t="shared" ca="1" si="36"/>
        <v>#VALUE!</v>
      </c>
      <c r="W128" s="199" t="e">
        <f t="shared" ca="1" si="36"/>
        <v>#VALUE!</v>
      </c>
      <c r="X128" s="199" t="e">
        <f t="shared" ca="1" si="36"/>
        <v>#VALUE!</v>
      </c>
      <c r="Y128" s="199" t="e">
        <f t="shared" ca="1" si="36"/>
        <v>#VALUE!</v>
      </c>
      <c r="Z128" s="199" t="e">
        <f t="shared" ref="Z128:AO132" ca="1" si="38">Z$112/Y$112*Y128</f>
        <v>#VALUE!</v>
      </c>
      <c r="AA128" s="199" t="e">
        <f t="shared" ca="1" si="37"/>
        <v>#VALUE!</v>
      </c>
      <c r="AB128" s="199" t="e">
        <f t="shared" ca="1" si="37"/>
        <v>#VALUE!</v>
      </c>
      <c r="AC128" s="199" t="e">
        <f t="shared" ca="1" si="37"/>
        <v>#VALUE!</v>
      </c>
      <c r="AD128" s="199" t="e">
        <f t="shared" ca="1" si="37"/>
        <v>#VALUE!</v>
      </c>
      <c r="AE128" s="199" t="e">
        <f t="shared" ca="1" si="37"/>
        <v>#VALUE!</v>
      </c>
      <c r="AF128" s="199" t="e">
        <f t="shared" ca="1" si="37"/>
        <v>#VALUE!</v>
      </c>
      <c r="AG128" s="199" t="e">
        <f t="shared" ca="1" si="37"/>
        <v>#VALUE!</v>
      </c>
      <c r="AH128" s="199" t="e">
        <f t="shared" ca="1" si="37"/>
        <v>#VALUE!</v>
      </c>
      <c r="AI128" s="199" t="e">
        <f t="shared" ca="1" si="37"/>
        <v>#VALUE!</v>
      </c>
      <c r="AJ128" s="199" t="e">
        <f t="shared" ca="1" si="37"/>
        <v>#VALUE!</v>
      </c>
      <c r="AK128" s="199" t="e">
        <f t="shared" ca="1" si="37"/>
        <v>#VALUE!</v>
      </c>
      <c r="AL128" s="199" t="e">
        <f t="shared" ca="1" si="37"/>
        <v>#VALUE!</v>
      </c>
      <c r="AM128" s="199" t="e">
        <f t="shared" ca="1" si="37"/>
        <v>#VALUE!</v>
      </c>
      <c r="AN128" s="199" t="e">
        <f t="shared" ca="1" si="37"/>
        <v>#VALUE!</v>
      </c>
      <c r="AO128" s="199" t="e">
        <f t="shared" ca="1" si="37"/>
        <v>#VALUE!</v>
      </c>
      <c r="AP128" s="199" t="e">
        <f t="shared" ref="AP128:AP132" ca="1" si="39">AP$112/AO$112*AO128</f>
        <v>#VALUE!</v>
      </c>
    </row>
    <row r="129" spans="1:42">
      <c r="A129" s="61" t="str">
        <f>'[4]TS BYDem'!A68</f>
        <v>*</v>
      </c>
      <c r="B129" s="199" t="s">
        <v>288</v>
      </c>
      <c r="C129" s="199" t="s">
        <v>137</v>
      </c>
      <c r="D129" s="199">
        <f>'[4]TS BYDem'!D68</f>
        <v>0</v>
      </c>
      <c r="E129" s="199" t="s">
        <v>137</v>
      </c>
      <c r="F129" s="199" t="s">
        <v>137</v>
      </c>
      <c r="G129" s="199" t="s">
        <v>137</v>
      </c>
      <c r="H129" s="199" t="s">
        <v>137</v>
      </c>
      <c r="I129" s="199">
        <v>0</v>
      </c>
      <c r="J129" s="199" t="str">
        <f>INDEX('[4]TS BYDem'!$J$10:$J$203,MATCH(D129,'[4]TS BYDem'!$D$10:$D$203,0))</f>
        <v/>
      </c>
      <c r="K129" s="199" t="e">
        <f t="shared" ref="K129:Z132" ca="1" si="40">K$112/J$112*J129</f>
        <v>#VALUE!</v>
      </c>
      <c r="L129" s="199" t="e">
        <f t="shared" ca="1" si="40"/>
        <v>#VALUE!</v>
      </c>
      <c r="M129" s="199" t="e">
        <f t="shared" ca="1" si="40"/>
        <v>#VALUE!</v>
      </c>
      <c r="N129" s="199" t="e">
        <f t="shared" ca="1" si="40"/>
        <v>#VALUE!</v>
      </c>
      <c r="O129" s="199" t="e">
        <f t="shared" ca="1" si="40"/>
        <v>#VALUE!</v>
      </c>
      <c r="P129" s="199" t="e">
        <f t="shared" ca="1" si="40"/>
        <v>#VALUE!</v>
      </c>
      <c r="Q129" s="199" t="e">
        <f t="shared" ca="1" si="40"/>
        <v>#VALUE!</v>
      </c>
      <c r="R129" s="199" t="e">
        <f t="shared" ca="1" si="40"/>
        <v>#VALUE!</v>
      </c>
      <c r="S129" s="199" t="e">
        <f t="shared" ca="1" si="40"/>
        <v>#VALUE!</v>
      </c>
      <c r="T129" s="199" t="e">
        <f t="shared" ca="1" si="40"/>
        <v>#VALUE!</v>
      </c>
      <c r="U129" s="199" t="e">
        <f t="shared" ca="1" si="40"/>
        <v>#VALUE!</v>
      </c>
      <c r="V129" s="199" t="e">
        <f t="shared" ca="1" si="40"/>
        <v>#VALUE!</v>
      </c>
      <c r="W129" s="199" t="e">
        <f t="shared" ca="1" si="40"/>
        <v>#VALUE!</v>
      </c>
      <c r="X129" s="199" t="e">
        <f t="shared" ca="1" si="40"/>
        <v>#VALUE!</v>
      </c>
      <c r="Y129" s="199" t="e">
        <f t="shared" ca="1" si="40"/>
        <v>#VALUE!</v>
      </c>
      <c r="Z129" s="199" t="e">
        <f t="shared" ca="1" si="38"/>
        <v>#VALUE!</v>
      </c>
      <c r="AA129" s="199" t="e">
        <f t="shared" ca="1" si="38"/>
        <v>#VALUE!</v>
      </c>
      <c r="AB129" s="199" t="e">
        <f t="shared" ca="1" si="38"/>
        <v>#VALUE!</v>
      </c>
      <c r="AC129" s="199" t="e">
        <f t="shared" ca="1" si="38"/>
        <v>#VALUE!</v>
      </c>
      <c r="AD129" s="199" t="e">
        <f t="shared" ca="1" si="38"/>
        <v>#VALUE!</v>
      </c>
      <c r="AE129" s="199" t="e">
        <f t="shared" ca="1" si="38"/>
        <v>#VALUE!</v>
      </c>
      <c r="AF129" s="199" t="e">
        <f t="shared" ca="1" si="38"/>
        <v>#VALUE!</v>
      </c>
      <c r="AG129" s="199" t="e">
        <f t="shared" ca="1" si="38"/>
        <v>#VALUE!</v>
      </c>
      <c r="AH129" s="199" t="e">
        <f t="shared" ca="1" si="38"/>
        <v>#VALUE!</v>
      </c>
      <c r="AI129" s="199" t="e">
        <f t="shared" ca="1" si="38"/>
        <v>#VALUE!</v>
      </c>
      <c r="AJ129" s="199" t="e">
        <f t="shared" ca="1" si="38"/>
        <v>#VALUE!</v>
      </c>
      <c r="AK129" s="199" t="e">
        <f t="shared" ca="1" si="38"/>
        <v>#VALUE!</v>
      </c>
      <c r="AL129" s="199" t="e">
        <f t="shared" ca="1" si="38"/>
        <v>#VALUE!</v>
      </c>
      <c r="AM129" s="199" t="e">
        <f t="shared" ca="1" si="38"/>
        <v>#VALUE!</v>
      </c>
      <c r="AN129" s="199" t="e">
        <f t="shared" ca="1" si="38"/>
        <v>#VALUE!</v>
      </c>
      <c r="AO129" s="199" t="e">
        <f t="shared" ca="1" si="38"/>
        <v>#VALUE!</v>
      </c>
      <c r="AP129" s="199" t="e">
        <f t="shared" ca="1" si="39"/>
        <v>#VALUE!</v>
      </c>
    </row>
    <row r="130" spans="1:42">
      <c r="A130" s="61" t="str">
        <f>'[4]TS BYDem'!A69</f>
        <v>*</v>
      </c>
      <c r="B130" s="199" t="s">
        <v>288</v>
      </c>
      <c r="C130" s="199" t="s">
        <v>137</v>
      </c>
      <c r="D130" s="199" t="str">
        <f>'[4]TS BYDem'!D69</f>
        <v>IIST</v>
      </c>
      <c r="E130" s="199" t="s">
        <v>137</v>
      </c>
      <c r="F130" s="199" t="s">
        <v>137</v>
      </c>
      <c r="G130" s="199" t="s">
        <v>137</v>
      </c>
      <c r="H130" s="199" t="s">
        <v>137</v>
      </c>
      <c r="I130" s="199">
        <v>0</v>
      </c>
      <c r="J130" s="199" t="str">
        <f>INDEX('[4]TS BYDem'!$J$10:$J$203,MATCH(D130,'[4]TS BYDem'!$D$10:$D$203,0))</f>
        <v/>
      </c>
      <c r="K130" s="199" t="e">
        <f t="shared" ca="1" si="40"/>
        <v>#VALUE!</v>
      </c>
      <c r="L130" s="199" t="e">
        <f t="shared" ca="1" si="40"/>
        <v>#VALUE!</v>
      </c>
      <c r="M130" s="199" t="e">
        <f t="shared" ca="1" si="40"/>
        <v>#VALUE!</v>
      </c>
      <c r="N130" s="199" t="e">
        <f t="shared" ca="1" si="40"/>
        <v>#VALUE!</v>
      </c>
      <c r="O130" s="199" t="e">
        <f t="shared" ca="1" si="40"/>
        <v>#VALUE!</v>
      </c>
      <c r="P130" s="199" t="e">
        <f t="shared" ca="1" si="40"/>
        <v>#VALUE!</v>
      </c>
      <c r="Q130" s="199" t="e">
        <f t="shared" ca="1" si="40"/>
        <v>#VALUE!</v>
      </c>
      <c r="R130" s="199" t="e">
        <f t="shared" ca="1" si="40"/>
        <v>#VALUE!</v>
      </c>
      <c r="S130" s="199" t="e">
        <f t="shared" ca="1" si="40"/>
        <v>#VALUE!</v>
      </c>
      <c r="T130" s="199" t="e">
        <f t="shared" ca="1" si="40"/>
        <v>#VALUE!</v>
      </c>
      <c r="U130" s="199" t="e">
        <f t="shared" ca="1" si="40"/>
        <v>#VALUE!</v>
      </c>
      <c r="V130" s="199" t="e">
        <f t="shared" ca="1" si="40"/>
        <v>#VALUE!</v>
      </c>
      <c r="W130" s="199" t="e">
        <f t="shared" ca="1" si="40"/>
        <v>#VALUE!</v>
      </c>
      <c r="X130" s="199" t="e">
        <f t="shared" ca="1" si="40"/>
        <v>#VALUE!</v>
      </c>
      <c r="Y130" s="199" t="e">
        <f t="shared" ca="1" si="40"/>
        <v>#VALUE!</v>
      </c>
      <c r="Z130" s="199" t="e">
        <f t="shared" ca="1" si="38"/>
        <v>#VALUE!</v>
      </c>
      <c r="AA130" s="199" t="e">
        <f t="shared" ca="1" si="38"/>
        <v>#VALUE!</v>
      </c>
      <c r="AB130" s="199" t="e">
        <f t="shared" ca="1" si="38"/>
        <v>#VALUE!</v>
      </c>
      <c r="AC130" s="199" t="e">
        <f t="shared" ca="1" si="38"/>
        <v>#VALUE!</v>
      </c>
      <c r="AD130" s="199" t="e">
        <f t="shared" ca="1" si="38"/>
        <v>#VALUE!</v>
      </c>
      <c r="AE130" s="199" t="e">
        <f t="shared" ca="1" si="38"/>
        <v>#VALUE!</v>
      </c>
      <c r="AF130" s="199" t="e">
        <f t="shared" ca="1" si="38"/>
        <v>#VALUE!</v>
      </c>
      <c r="AG130" s="199" t="e">
        <f t="shared" ca="1" si="38"/>
        <v>#VALUE!</v>
      </c>
      <c r="AH130" s="199" t="e">
        <f t="shared" ca="1" si="38"/>
        <v>#VALUE!</v>
      </c>
      <c r="AI130" s="199" t="e">
        <f t="shared" ca="1" si="38"/>
        <v>#VALUE!</v>
      </c>
      <c r="AJ130" s="199" t="e">
        <f t="shared" ca="1" si="38"/>
        <v>#VALUE!</v>
      </c>
      <c r="AK130" s="199" t="e">
        <f t="shared" ca="1" si="38"/>
        <v>#VALUE!</v>
      </c>
      <c r="AL130" s="199" t="e">
        <f t="shared" ca="1" si="38"/>
        <v>#VALUE!</v>
      </c>
      <c r="AM130" s="199" t="e">
        <f t="shared" ca="1" si="38"/>
        <v>#VALUE!</v>
      </c>
      <c r="AN130" s="199" t="e">
        <f t="shared" ca="1" si="38"/>
        <v>#VALUE!</v>
      </c>
      <c r="AO130" s="199" t="e">
        <f t="shared" ca="1" si="38"/>
        <v>#VALUE!</v>
      </c>
      <c r="AP130" s="199" t="e">
        <f t="shared" ca="1" si="39"/>
        <v>#VALUE!</v>
      </c>
    </row>
    <row r="131" spans="1:42">
      <c r="A131" s="61" t="str">
        <f>'[4]TS BYDem'!A70</f>
        <v>*</v>
      </c>
      <c r="B131" s="199" t="s">
        <v>288</v>
      </c>
      <c r="C131" s="199" t="s">
        <v>137</v>
      </c>
      <c r="D131" s="199" t="str">
        <f>'[4]TS BYDem'!D70</f>
        <v>Useful Energy Service</v>
      </c>
      <c r="E131" s="199" t="s">
        <v>137</v>
      </c>
      <c r="F131" s="199" t="s">
        <v>137</v>
      </c>
      <c r="G131" s="199" t="s">
        <v>137</v>
      </c>
      <c r="H131" s="199" t="s">
        <v>137</v>
      </c>
      <c r="I131" s="199">
        <v>0</v>
      </c>
      <c r="J131" s="199" t="str">
        <f>INDEX('[4]TS BYDem'!$J$10:$J$203,MATCH(D131,'[4]TS BYDem'!$D$10:$D$203,0))</f>
        <v/>
      </c>
      <c r="K131" s="199" t="e">
        <f t="shared" ca="1" si="40"/>
        <v>#VALUE!</v>
      </c>
      <c r="L131" s="199" t="e">
        <f t="shared" ca="1" si="40"/>
        <v>#VALUE!</v>
      </c>
      <c r="M131" s="199" t="e">
        <f t="shared" ca="1" si="40"/>
        <v>#VALUE!</v>
      </c>
      <c r="N131" s="199" t="e">
        <f t="shared" ca="1" si="40"/>
        <v>#VALUE!</v>
      </c>
      <c r="O131" s="199" t="e">
        <f t="shared" ca="1" si="40"/>
        <v>#VALUE!</v>
      </c>
      <c r="P131" s="199" t="e">
        <f t="shared" ca="1" si="40"/>
        <v>#VALUE!</v>
      </c>
      <c r="Q131" s="199" t="e">
        <f t="shared" ca="1" si="40"/>
        <v>#VALUE!</v>
      </c>
      <c r="R131" s="199" t="e">
        <f t="shared" ca="1" si="40"/>
        <v>#VALUE!</v>
      </c>
      <c r="S131" s="199" t="e">
        <f t="shared" ca="1" si="40"/>
        <v>#VALUE!</v>
      </c>
      <c r="T131" s="199" t="e">
        <f t="shared" ca="1" si="40"/>
        <v>#VALUE!</v>
      </c>
      <c r="U131" s="199" t="e">
        <f t="shared" ca="1" si="40"/>
        <v>#VALUE!</v>
      </c>
      <c r="V131" s="199" t="e">
        <f t="shared" ca="1" si="40"/>
        <v>#VALUE!</v>
      </c>
      <c r="W131" s="199" t="e">
        <f t="shared" ca="1" si="40"/>
        <v>#VALUE!</v>
      </c>
      <c r="X131" s="199" t="e">
        <f t="shared" ca="1" si="40"/>
        <v>#VALUE!</v>
      </c>
      <c r="Y131" s="199" t="e">
        <f t="shared" ca="1" si="40"/>
        <v>#VALUE!</v>
      </c>
      <c r="Z131" s="199" t="e">
        <f t="shared" ca="1" si="38"/>
        <v>#VALUE!</v>
      </c>
      <c r="AA131" s="199" t="e">
        <f t="shared" ca="1" si="38"/>
        <v>#VALUE!</v>
      </c>
      <c r="AB131" s="199" t="e">
        <f t="shared" ca="1" si="38"/>
        <v>#VALUE!</v>
      </c>
      <c r="AC131" s="199" t="e">
        <f t="shared" ca="1" si="38"/>
        <v>#VALUE!</v>
      </c>
      <c r="AD131" s="199" t="e">
        <f t="shared" ca="1" si="38"/>
        <v>#VALUE!</v>
      </c>
      <c r="AE131" s="199" t="e">
        <f t="shared" ca="1" si="38"/>
        <v>#VALUE!</v>
      </c>
      <c r="AF131" s="199" t="e">
        <f t="shared" ca="1" si="38"/>
        <v>#VALUE!</v>
      </c>
      <c r="AG131" s="199" t="e">
        <f t="shared" ca="1" si="38"/>
        <v>#VALUE!</v>
      </c>
      <c r="AH131" s="199" t="e">
        <f t="shared" ca="1" si="38"/>
        <v>#VALUE!</v>
      </c>
      <c r="AI131" s="199" t="e">
        <f t="shared" ca="1" si="38"/>
        <v>#VALUE!</v>
      </c>
      <c r="AJ131" s="199" t="e">
        <f t="shared" ca="1" si="38"/>
        <v>#VALUE!</v>
      </c>
      <c r="AK131" s="199" t="e">
        <f t="shared" ca="1" si="38"/>
        <v>#VALUE!</v>
      </c>
      <c r="AL131" s="199" t="e">
        <f t="shared" ca="1" si="38"/>
        <v>#VALUE!</v>
      </c>
      <c r="AM131" s="199" t="e">
        <f t="shared" ca="1" si="38"/>
        <v>#VALUE!</v>
      </c>
      <c r="AN131" s="199" t="e">
        <f t="shared" ca="1" si="38"/>
        <v>#VALUE!</v>
      </c>
      <c r="AO131" s="199" t="e">
        <f t="shared" ca="1" si="38"/>
        <v>#VALUE!</v>
      </c>
      <c r="AP131" s="199" t="e">
        <f t="shared" ca="1" si="39"/>
        <v>#VALUE!</v>
      </c>
    </row>
    <row r="132" spans="1:42">
      <c r="A132" s="61" t="str">
        <f>'[4]TS BYDem'!A71</f>
        <v>*</v>
      </c>
      <c r="B132" s="199" t="s">
        <v>288</v>
      </c>
      <c r="C132" s="199" t="s">
        <v>137</v>
      </c>
      <c r="D132" s="199">
        <f>'[4]TS BYDem'!D71</f>
        <v>0</v>
      </c>
      <c r="E132" s="199" t="s">
        <v>137</v>
      </c>
      <c r="F132" s="199" t="s">
        <v>137</v>
      </c>
      <c r="G132" s="199" t="s">
        <v>137</v>
      </c>
      <c r="H132" s="199" t="s">
        <v>137</v>
      </c>
      <c r="I132" s="199">
        <v>0</v>
      </c>
      <c r="J132" s="199" t="str">
        <f>INDEX('[4]TS BYDem'!$J$10:$J$203,MATCH(D132,'[4]TS BYDem'!$D$10:$D$203,0))</f>
        <v/>
      </c>
      <c r="K132" s="199" t="e">
        <f t="shared" ca="1" si="40"/>
        <v>#VALUE!</v>
      </c>
      <c r="L132" s="199" t="e">
        <f t="shared" ca="1" si="40"/>
        <v>#VALUE!</v>
      </c>
      <c r="M132" s="199" t="e">
        <f t="shared" ca="1" si="40"/>
        <v>#VALUE!</v>
      </c>
      <c r="N132" s="199" t="e">
        <f t="shared" ca="1" si="40"/>
        <v>#VALUE!</v>
      </c>
      <c r="O132" s="199" t="e">
        <f t="shared" ca="1" si="40"/>
        <v>#VALUE!</v>
      </c>
      <c r="P132" s="199" t="e">
        <f t="shared" ca="1" si="40"/>
        <v>#VALUE!</v>
      </c>
      <c r="Q132" s="199" t="e">
        <f t="shared" ca="1" si="40"/>
        <v>#VALUE!</v>
      </c>
      <c r="R132" s="199" t="e">
        <f t="shared" ca="1" si="40"/>
        <v>#VALUE!</v>
      </c>
      <c r="S132" s="199" t="e">
        <f t="shared" ca="1" si="40"/>
        <v>#VALUE!</v>
      </c>
      <c r="T132" s="199" t="e">
        <f t="shared" ca="1" si="40"/>
        <v>#VALUE!</v>
      </c>
      <c r="U132" s="199" t="e">
        <f t="shared" ca="1" si="40"/>
        <v>#VALUE!</v>
      </c>
      <c r="V132" s="199" t="e">
        <f t="shared" ca="1" si="40"/>
        <v>#VALUE!</v>
      </c>
      <c r="W132" s="199" t="e">
        <f t="shared" ca="1" si="40"/>
        <v>#VALUE!</v>
      </c>
      <c r="X132" s="199" t="e">
        <f t="shared" ca="1" si="40"/>
        <v>#VALUE!</v>
      </c>
      <c r="Y132" s="199" t="e">
        <f t="shared" ca="1" si="40"/>
        <v>#VALUE!</v>
      </c>
      <c r="Z132" s="199" t="e">
        <f t="shared" ca="1" si="40"/>
        <v>#VALUE!</v>
      </c>
      <c r="AA132" s="199" t="e">
        <f t="shared" ca="1" si="38"/>
        <v>#VALUE!</v>
      </c>
      <c r="AB132" s="199" t="e">
        <f t="shared" ca="1" si="38"/>
        <v>#VALUE!</v>
      </c>
      <c r="AC132" s="199" t="e">
        <f t="shared" ca="1" si="38"/>
        <v>#VALUE!</v>
      </c>
      <c r="AD132" s="199" t="e">
        <f t="shared" ca="1" si="38"/>
        <v>#VALUE!</v>
      </c>
      <c r="AE132" s="199" t="e">
        <f t="shared" ca="1" si="38"/>
        <v>#VALUE!</v>
      </c>
      <c r="AF132" s="199" t="e">
        <f t="shared" ca="1" si="38"/>
        <v>#VALUE!</v>
      </c>
      <c r="AG132" s="199" t="e">
        <f t="shared" ca="1" si="38"/>
        <v>#VALUE!</v>
      </c>
      <c r="AH132" s="199" t="e">
        <f t="shared" ca="1" si="38"/>
        <v>#VALUE!</v>
      </c>
      <c r="AI132" s="199" t="e">
        <f t="shared" ca="1" si="38"/>
        <v>#VALUE!</v>
      </c>
      <c r="AJ132" s="199" t="e">
        <f t="shared" ca="1" si="38"/>
        <v>#VALUE!</v>
      </c>
      <c r="AK132" s="199" t="e">
        <f t="shared" ca="1" si="38"/>
        <v>#VALUE!</v>
      </c>
      <c r="AL132" s="199" t="e">
        <f t="shared" ca="1" si="38"/>
        <v>#VALUE!</v>
      </c>
      <c r="AM132" s="199" t="e">
        <f t="shared" ca="1" si="38"/>
        <v>#VALUE!</v>
      </c>
      <c r="AN132" s="199" t="e">
        <f t="shared" ca="1" si="38"/>
        <v>#VALUE!</v>
      </c>
      <c r="AO132" s="199" t="e">
        <f t="shared" ca="1" si="38"/>
        <v>#VALUE!</v>
      </c>
      <c r="AP132" s="199" t="e">
        <f t="shared" ca="1" si="39"/>
        <v>#VALUE!</v>
      </c>
    </row>
    <row r="133" spans="1:42" s="5" customFormat="1">
      <c r="A133" s="61"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54.620084822891016</v>
      </c>
      <c r="T133" s="5">
        <f t="shared" ca="1" si="41"/>
        <v>56.570802136994082</v>
      </c>
      <c r="U133" s="5">
        <f t="shared" ca="1" si="41"/>
        <v>58.62774663158558</v>
      </c>
      <c r="V133" s="5">
        <f t="shared" ca="1" si="41"/>
        <v>61.003372667703147</v>
      </c>
      <c r="W133" s="5">
        <f t="shared" ca="1" si="41"/>
        <v>63.610767097641222</v>
      </c>
      <c r="X133" s="5">
        <f t="shared" ca="1" si="41"/>
        <v>66.391987822930645</v>
      </c>
      <c r="Y133" s="5">
        <f t="shared" ca="1" si="41"/>
        <v>69.376005892799427</v>
      </c>
      <c r="Z133" s="5">
        <f t="shared" ca="1" si="41"/>
        <v>72.611106389295344</v>
      </c>
      <c r="AA133" s="5">
        <f t="shared" ca="1" si="41"/>
        <v>76.26145859138704</v>
      </c>
      <c r="AB133" s="5">
        <f t="shared" ca="1" si="41"/>
        <v>80.124265154454321</v>
      </c>
      <c r="AC133" s="5">
        <f t="shared" ca="1" si="41"/>
        <v>83.871187520555438</v>
      </c>
      <c r="AD133" s="5">
        <f t="shared" ca="1" si="41"/>
        <v>87.840221264040096</v>
      </c>
      <c r="AE133" s="5">
        <f t="shared" ca="1" si="41"/>
        <v>91.96376727003711</v>
      </c>
      <c r="AF133" s="5">
        <f t="shared" ca="1" si="41"/>
        <v>96.338395702641634</v>
      </c>
      <c r="AG133" s="5">
        <f t="shared" ca="1" si="41"/>
        <v>100.59713993828771</v>
      </c>
      <c r="AH133" s="5">
        <f t="shared" ca="1" si="41"/>
        <v>105.00073942003478</v>
      </c>
      <c r="AI133" s="5">
        <f t="shared" ca="1" si="41"/>
        <v>109.91616077143787</v>
      </c>
      <c r="AJ133" s="5">
        <f t="shared" ca="1" si="41"/>
        <v>115.15026366430418</v>
      </c>
      <c r="AK133" s="5">
        <f t="shared" ca="1" si="41"/>
        <v>120.7127051150395</v>
      </c>
      <c r="AL133" s="5">
        <f t="shared" ca="1" si="41"/>
        <v>126.54554302518582</v>
      </c>
      <c r="AM133" s="5">
        <f t="shared" ca="1" si="41"/>
        <v>162.48895809432148</v>
      </c>
      <c r="AN133" s="5">
        <f t="shared" ca="1" si="41"/>
        <v>208.83297983447909</v>
      </c>
      <c r="AO133" s="5">
        <f t="shared" ca="1" si="41"/>
        <v>289.38698219860453</v>
      </c>
      <c r="AP133" s="5">
        <f t="shared" ca="1" si="41"/>
        <v>371.67441900789709</v>
      </c>
    </row>
    <row r="134" spans="1:42">
      <c r="A134" s="61" t="str">
        <f>'[4]TS BYDem'!A73</f>
        <v/>
      </c>
      <c r="B134" s="199" t="s">
        <v>288</v>
      </c>
      <c r="C134" s="199" t="s">
        <v>137</v>
      </c>
      <c r="D134" s="199" t="str">
        <f>'[4]TS BYDem'!D73</f>
        <v>ICPK</v>
      </c>
      <c r="E134" s="199" t="s">
        <v>137</v>
      </c>
      <c r="F134" s="199" t="s">
        <v>137</v>
      </c>
      <c r="G134" s="199" t="s">
        <v>137</v>
      </c>
      <c r="H134" s="199" t="s">
        <v>137</v>
      </c>
      <c r="I134" s="199">
        <v>0</v>
      </c>
      <c r="J134" s="199">
        <f>INDEX('[4]TS BYDem'!$J$10:$J$203,MATCH(D134,'[4]TS BYDem'!$D$10:$D$203,0))</f>
        <v>0.55647663194961794</v>
      </c>
      <c r="K134" s="199">
        <f ca="1">K$133/J$133*J134</f>
        <v>0.57228263361453802</v>
      </c>
      <c r="L134" s="199">
        <f t="shared" ref="L134:AA134" ca="1" si="42">L$133/K$133*K134</f>
        <v>0.58229310133565393</v>
      </c>
      <c r="M134" s="206">
        <f t="shared" ref="M134:M142" si="43">O134</f>
        <v>0.80918000000000012</v>
      </c>
      <c r="N134" s="206">
        <f t="shared" ref="N134:N142" si="44">O134</f>
        <v>0.80918000000000012</v>
      </c>
      <c r="O134" s="206">
        <f>INDEX('[4]TS BYDem'!$O$10:$O$203,MATCH(D134,'[4]TS BYDem'!$D$10:$D$203,0))</f>
        <v>0.80918000000000012</v>
      </c>
      <c r="P134" s="199">
        <f t="shared" ca="1" si="42"/>
        <v>0.81618526855123685</v>
      </c>
      <c r="Q134" s="199">
        <f t="shared" ca="1" si="42"/>
        <v>0.81432672791519445</v>
      </c>
      <c r="R134" s="199">
        <f t="shared" ca="1" si="42"/>
        <v>0.74870594699646642</v>
      </c>
      <c r="S134" s="199">
        <f t="shared" ca="1" si="42"/>
        <v>0.78087420913404515</v>
      </c>
      <c r="T134" s="199">
        <f t="shared" ca="1" si="42"/>
        <v>0.80876257373167615</v>
      </c>
      <c r="U134" s="199">
        <f t="shared" ca="1" si="42"/>
        <v>0.83816961164922998</v>
      </c>
      <c r="V134" s="199">
        <f t="shared" ca="1" si="42"/>
        <v>0.87213266952742108</v>
      </c>
      <c r="W134" s="199">
        <f t="shared" ca="1" si="42"/>
        <v>0.90940919646765594</v>
      </c>
      <c r="X134" s="199">
        <f t="shared" ca="1" si="42"/>
        <v>0.94917082520422291</v>
      </c>
      <c r="Y134" s="199">
        <f t="shared" ca="1" si="42"/>
        <v>0.99183173936988411</v>
      </c>
      <c r="Z134" s="199">
        <f t="shared" ca="1" si="42"/>
        <v>1.0380822450192582</v>
      </c>
      <c r="AA134" s="199">
        <f t="shared" ca="1" si="42"/>
        <v>1.0902693827381373</v>
      </c>
      <c r="AB134" s="199">
        <f t="shared" ref="AA134:AP149" ca="1" si="45">AB$133/AA$133*AA134</f>
        <v>1.1454938670968438</v>
      </c>
      <c r="AC134" s="199">
        <f t="shared" ca="1" si="45"/>
        <v>1.1990616169237291</v>
      </c>
      <c r="AD134" s="199">
        <f t="shared" ca="1" si="45"/>
        <v>1.2558047746013425</v>
      </c>
      <c r="AE134" s="199">
        <f t="shared" ca="1" si="45"/>
        <v>1.3147569116531566</v>
      </c>
      <c r="AF134" s="199">
        <f t="shared" ca="1" si="45"/>
        <v>1.3772986401884026</v>
      </c>
      <c r="AG134" s="199">
        <f t="shared" ca="1" si="45"/>
        <v>1.4381836341919378</v>
      </c>
      <c r="AH134" s="199">
        <f t="shared" ca="1" si="45"/>
        <v>1.501139546358724</v>
      </c>
      <c r="AI134" s="199">
        <f t="shared" ca="1" si="45"/>
        <v>1.5714127027037481</v>
      </c>
      <c r="AJ134" s="199">
        <f t="shared" ca="1" si="45"/>
        <v>1.6462418790085107</v>
      </c>
      <c r="AK134" s="199">
        <f t="shared" ca="1" si="45"/>
        <v>1.725765136483882</v>
      </c>
      <c r="AL134" s="199">
        <f t="shared" ca="1" si="45"/>
        <v>1.8091541078643096</v>
      </c>
      <c r="AM134" s="199">
        <f t="shared" ca="1" si="45"/>
        <v>2.3230179348191369</v>
      </c>
      <c r="AN134" s="199">
        <f t="shared" ca="1" si="45"/>
        <v>2.9855736859092565</v>
      </c>
      <c r="AO134" s="199">
        <f t="shared" ca="1" si="45"/>
        <v>4.1372112765983564</v>
      </c>
      <c r="AP134" s="199">
        <f t="shared" ca="1" si="45"/>
        <v>5.3136308546432929</v>
      </c>
    </row>
    <row r="135" spans="1:42">
      <c r="A135" s="61" t="str">
        <f>'[4]TS BYDem'!A74</f>
        <v/>
      </c>
      <c r="B135" s="199" t="s">
        <v>288</v>
      </c>
      <c r="C135" s="199" t="s">
        <v>137</v>
      </c>
      <c r="D135" s="199" t="str">
        <f>'[4]TS BYDem'!D74</f>
        <v>ICPA</v>
      </c>
      <c r="E135" s="199" t="s">
        <v>137</v>
      </c>
      <c r="F135" s="199" t="s">
        <v>137</v>
      </c>
      <c r="G135" s="199" t="s">
        <v>137</v>
      </c>
      <c r="H135" s="199" t="s">
        <v>137</v>
      </c>
      <c r="I135" s="199">
        <v>0</v>
      </c>
      <c r="J135" s="199">
        <f>INDEX('[4]TS BYDem'!$J$10:$J$203,MATCH(D135,'[4]TS BYDem'!$D$10:$D$203,0))</f>
        <v>0.2086787369811067</v>
      </c>
      <c r="K135" s="199">
        <f t="shared" ref="K135:Z150" ca="1" si="46">K$133/J$133*J135</f>
        <v>0.21460598760545171</v>
      </c>
      <c r="L135" s="199">
        <f t="shared" ca="1" si="46"/>
        <v>0.21835991300087018</v>
      </c>
      <c r="M135" s="206">
        <f t="shared" si="43"/>
        <v>0.30344250000000006</v>
      </c>
      <c r="N135" s="206">
        <f t="shared" si="44"/>
        <v>0.30344250000000006</v>
      </c>
      <c r="O135" s="206">
        <f>INDEX('[4]TS BYDem'!$O$10:$O$203,MATCH(D135,'[4]TS BYDem'!$D$10:$D$203,0))</f>
        <v>0.30344250000000006</v>
      </c>
      <c r="P135" s="199">
        <f t="shared" ca="1" si="46"/>
        <v>0.30606947570671383</v>
      </c>
      <c r="Q135" s="199">
        <f t="shared" ca="1" si="46"/>
        <v>0.30537252296819795</v>
      </c>
      <c r="R135" s="199">
        <f t="shared" ca="1" si="46"/>
        <v>0.28076473012367492</v>
      </c>
      <c r="S135" s="199">
        <f t="shared" ca="1" si="46"/>
        <v>0.29282782842526695</v>
      </c>
      <c r="T135" s="199">
        <f t="shared" ca="1" si="46"/>
        <v>0.30328596514937861</v>
      </c>
      <c r="U135" s="199">
        <f t="shared" ca="1" si="46"/>
        <v>0.31431360436846129</v>
      </c>
      <c r="V135" s="199">
        <f t="shared" ca="1" si="46"/>
        <v>0.32704975107278295</v>
      </c>
      <c r="W135" s="199">
        <f t="shared" ca="1" si="46"/>
        <v>0.34102844867537102</v>
      </c>
      <c r="X135" s="199">
        <f t="shared" ca="1" si="46"/>
        <v>0.35593905945158366</v>
      </c>
      <c r="Y135" s="199">
        <f t="shared" ca="1" si="46"/>
        <v>0.37193690226370663</v>
      </c>
      <c r="Z135" s="199">
        <f t="shared" ca="1" si="46"/>
        <v>0.3892808418822219</v>
      </c>
      <c r="AA135" s="199">
        <f t="shared" ca="1" si="45"/>
        <v>0.40885101852680156</v>
      </c>
      <c r="AB135" s="199">
        <f t="shared" ca="1" si="45"/>
        <v>0.42956020016131646</v>
      </c>
      <c r="AC135" s="199">
        <f t="shared" ca="1" si="45"/>
        <v>0.44964810634639846</v>
      </c>
      <c r="AD135" s="199">
        <f t="shared" ca="1" si="45"/>
        <v>0.47092679047550345</v>
      </c>
      <c r="AE135" s="199">
        <f t="shared" ca="1" si="45"/>
        <v>0.49303384186993371</v>
      </c>
      <c r="AF135" s="199">
        <f t="shared" ca="1" si="45"/>
        <v>0.51648699007065102</v>
      </c>
      <c r="AG135" s="199">
        <f t="shared" ca="1" si="45"/>
        <v>0.53931886282197672</v>
      </c>
      <c r="AH135" s="199">
        <f t="shared" ca="1" si="45"/>
        <v>0.56292732988452154</v>
      </c>
      <c r="AI135" s="199">
        <f t="shared" ca="1" si="45"/>
        <v>0.58927976351390554</v>
      </c>
      <c r="AJ135" s="199">
        <f t="shared" ca="1" si="45"/>
        <v>0.61734070462819146</v>
      </c>
      <c r="AK135" s="199">
        <f t="shared" ca="1" si="45"/>
        <v>0.64716192618145563</v>
      </c>
      <c r="AL135" s="199">
        <f t="shared" ca="1" si="45"/>
        <v>0.67843279044911597</v>
      </c>
      <c r="AM135" s="199">
        <f t="shared" ca="1" si="45"/>
        <v>0.87113172555717611</v>
      </c>
      <c r="AN135" s="199">
        <f t="shared" ca="1" si="45"/>
        <v>1.1195901322159709</v>
      </c>
      <c r="AO135" s="199">
        <f t="shared" ca="1" si="45"/>
        <v>1.5514542287243833</v>
      </c>
      <c r="AP135" s="199">
        <f t="shared" ca="1" si="45"/>
        <v>1.9926115704912344</v>
      </c>
    </row>
    <row r="136" spans="1:42">
      <c r="A136" s="61" t="str">
        <f>'[4]TS BYDem'!A75</f>
        <v/>
      </c>
      <c r="B136" s="199" t="s">
        <v>288</v>
      </c>
      <c r="C136" s="199" t="s">
        <v>137</v>
      </c>
      <c r="D136" s="199" t="str">
        <f>'[4]TS BYDem'!D75</f>
        <v>ICPL</v>
      </c>
      <c r="E136" s="199" t="s">
        <v>137</v>
      </c>
      <c r="F136" s="199" t="s">
        <v>137</v>
      </c>
      <c r="G136" s="199" t="s">
        <v>137</v>
      </c>
      <c r="H136" s="199" t="s">
        <v>137</v>
      </c>
      <c r="I136" s="199">
        <v>0</v>
      </c>
      <c r="J136" s="199">
        <f>INDEX('[4]TS BYDem'!$J$10:$J$203,MATCH(D136,'[4]TS BYDem'!$D$10:$D$203,0))</f>
        <v>0.3338859791697707</v>
      </c>
      <c r="K136" s="199">
        <f t="shared" ca="1" si="46"/>
        <v>0.34336958016872271</v>
      </c>
      <c r="L136" s="199">
        <f t="shared" ca="1" si="46"/>
        <v>0.34937586080139227</v>
      </c>
      <c r="M136" s="206">
        <f t="shared" si="43"/>
        <v>0.48550800000000005</v>
      </c>
      <c r="N136" s="206">
        <f t="shared" si="44"/>
        <v>0.48550800000000005</v>
      </c>
      <c r="O136" s="206">
        <f>INDEX('[4]TS BYDem'!$O$10:$O$203,MATCH(D136,'[4]TS BYDem'!$D$10:$D$203,0))</f>
        <v>0.48550800000000005</v>
      </c>
      <c r="P136" s="199">
        <f t="shared" ca="1" si="46"/>
        <v>0.48971116113074209</v>
      </c>
      <c r="Q136" s="199">
        <f t="shared" ca="1" si="46"/>
        <v>0.48859603674911667</v>
      </c>
      <c r="R136" s="199">
        <f t="shared" ca="1" si="46"/>
        <v>0.4492235681978799</v>
      </c>
      <c r="S136" s="199">
        <f t="shared" ca="1" si="46"/>
        <v>0.46852452548042717</v>
      </c>
      <c r="T136" s="199">
        <f t="shared" ca="1" si="46"/>
        <v>0.4852575442390058</v>
      </c>
      <c r="U136" s="199">
        <f t="shared" ca="1" si="46"/>
        <v>0.50290176698953815</v>
      </c>
      <c r="V136" s="199">
        <f t="shared" ca="1" si="46"/>
        <v>0.52327960171645282</v>
      </c>
      <c r="W136" s="199">
        <f t="shared" ca="1" si="46"/>
        <v>0.54564551788059368</v>
      </c>
      <c r="X136" s="199">
        <f t="shared" ca="1" si="46"/>
        <v>0.56950249512253392</v>
      </c>
      <c r="Y136" s="199">
        <f t="shared" ca="1" si="46"/>
        <v>0.59509904362193067</v>
      </c>
      <c r="Z136" s="199">
        <f t="shared" ca="1" si="46"/>
        <v>0.62284934701155503</v>
      </c>
      <c r="AA136" s="199">
        <f t="shared" ca="1" si="45"/>
        <v>0.65416162964288249</v>
      </c>
      <c r="AB136" s="199">
        <f t="shared" ca="1" si="45"/>
        <v>0.68729632025810639</v>
      </c>
      <c r="AC136" s="199">
        <f t="shared" ca="1" si="45"/>
        <v>0.71943697015423758</v>
      </c>
      <c r="AD136" s="199">
        <f t="shared" ca="1" si="45"/>
        <v>0.75348286476080562</v>
      </c>
      <c r="AE136" s="199">
        <f t="shared" ca="1" si="45"/>
        <v>0.78885414699189393</v>
      </c>
      <c r="AF136" s="199">
        <f t="shared" ca="1" si="45"/>
        <v>0.82637918411304168</v>
      </c>
      <c r="AG136" s="199">
        <f t="shared" ca="1" si="45"/>
        <v>0.86291018051516277</v>
      </c>
      <c r="AH136" s="199">
        <f t="shared" ca="1" si="45"/>
        <v>0.90068372781523443</v>
      </c>
      <c r="AI136" s="199">
        <f t="shared" ca="1" si="45"/>
        <v>0.94284762162224889</v>
      </c>
      <c r="AJ136" s="199">
        <f t="shared" ca="1" si="45"/>
        <v>0.98774512740510645</v>
      </c>
      <c r="AK136" s="199">
        <f t="shared" ca="1" si="45"/>
        <v>1.0354590818903291</v>
      </c>
      <c r="AL136" s="199">
        <f t="shared" ca="1" si="45"/>
        <v>1.0854924647185857</v>
      </c>
      <c r="AM136" s="199">
        <f t="shared" ca="1" si="45"/>
        <v>1.393810760891482</v>
      </c>
      <c r="AN136" s="199">
        <f t="shared" ca="1" si="45"/>
        <v>1.7913442115455538</v>
      </c>
      <c r="AO136" s="199">
        <f t="shared" ca="1" si="45"/>
        <v>2.4823267659590136</v>
      </c>
      <c r="AP136" s="199">
        <f t="shared" ca="1" si="45"/>
        <v>3.1881785127859752</v>
      </c>
    </row>
    <row r="137" spans="1:42">
      <c r="A137" s="61" t="str">
        <f>'[4]TS BYDem'!A76</f>
        <v/>
      </c>
      <c r="B137" s="199" t="s">
        <v>288</v>
      </c>
      <c r="C137" s="199" t="s">
        <v>137</v>
      </c>
      <c r="D137" s="199" t="str">
        <f>'[4]TS BYDem'!D76</f>
        <v>ICPC</v>
      </c>
      <c r="E137" s="199" t="s">
        <v>137</v>
      </c>
      <c r="F137" s="199" t="s">
        <v>137</v>
      </c>
      <c r="G137" s="199" t="s">
        <v>137</v>
      </c>
      <c r="H137" s="199" t="s">
        <v>137</v>
      </c>
      <c r="I137" s="199">
        <v>0</v>
      </c>
      <c r="J137" s="199">
        <f>INDEX('[4]TS BYDem'!$J$10:$J$203,MATCH(D137,'[4]TS BYDem'!$D$10:$D$203,0))</f>
        <v>2.7823831597480893</v>
      </c>
      <c r="K137" s="199">
        <f ca="1">K$133/J$133*J137</f>
        <v>2.8614131680726893</v>
      </c>
      <c r="L137" s="199">
        <f t="shared" ca="1" si="46"/>
        <v>2.9114655066782689</v>
      </c>
      <c r="M137" s="206">
        <f t="shared" si="43"/>
        <v>4.0459000000000005</v>
      </c>
      <c r="N137" s="206">
        <f t="shared" si="44"/>
        <v>4.0459000000000005</v>
      </c>
      <c r="O137" s="206">
        <f>INDEX('[4]TS BYDem'!$O$10:$O$203,MATCH(D137,'[4]TS BYDem'!$D$10:$D$203,0))</f>
        <v>4.0459000000000005</v>
      </c>
      <c r="P137" s="199">
        <f t="shared" ca="1" si="46"/>
        <v>4.0809263427561842</v>
      </c>
      <c r="Q137" s="199">
        <f t="shared" ca="1" si="46"/>
        <v>4.071633639575972</v>
      </c>
      <c r="R137" s="199">
        <f t="shared" ca="1" si="46"/>
        <v>3.743529734982332</v>
      </c>
      <c r="S137" s="199">
        <f t="shared" ca="1" si="46"/>
        <v>3.9043710456702256</v>
      </c>
      <c r="T137" s="199">
        <f t="shared" ca="1" si="46"/>
        <v>4.0438128686583807</v>
      </c>
      <c r="U137" s="199">
        <f t="shared" ca="1" si="46"/>
        <v>4.19084805824615</v>
      </c>
      <c r="V137" s="199">
        <f t="shared" ca="1" si="46"/>
        <v>4.3606633476371055</v>
      </c>
      <c r="W137" s="199">
        <f t="shared" ca="1" si="46"/>
        <v>4.5470459823382798</v>
      </c>
      <c r="X137" s="199">
        <f t="shared" ca="1" si="46"/>
        <v>4.7458541260211149</v>
      </c>
      <c r="Y137" s="199">
        <f t="shared" ca="1" si="46"/>
        <v>4.9591586968494212</v>
      </c>
      <c r="Z137" s="199">
        <f t="shared" ca="1" si="46"/>
        <v>5.190411225096291</v>
      </c>
      <c r="AA137" s="199">
        <f t="shared" ca="1" si="45"/>
        <v>5.4513469136906867</v>
      </c>
      <c r="AB137" s="199">
        <f t="shared" ca="1" si="45"/>
        <v>5.7274693354842183</v>
      </c>
      <c r="AC137" s="199">
        <f t="shared" ca="1" si="45"/>
        <v>5.9953080846186451</v>
      </c>
      <c r="AD137" s="199">
        <f t="shared" ca="1" si="45"/>
        <v>6.2790238730067118</v>
      </c>
      <c r="AE137" s="199">
        <f t="shared" ca="1" si="45"/>
        <v>6.5737845582657819</v>
      </c>
      <c r="AF137" s="199">
        <f t="shared" ca="1" si="45"/>
        <v>6.886493200942013</v>
      </c>
      <c r="AG137" s="199">
        <f t="shared" ca="1" si="45"/>
        <v>7.190918170959689</v>
      </c>
      <c r="AH137" s="199">
        <f t="shared" ca="1" si="45"/>
        <v>7.5056977317936191</v>
      </c>
      <c r="AI137" s="199">
        <f t="shared" ca="1" si="45"/>
        <v>7.8570635135187397</v>
      </c>
      <c r="AJ137" s="199">
        <f t="shared" ca="1" si="45"/>
        <v>8.2312093950425531</v>
      </c>
      <c r="AK137" s="199">
        <f t="shared" ca="1" si="45"/>
        <v>8.6288256824194089</v>
      </c>
      <c r="AL137" s="199">
        <f t="shared" ca="1" si="45"/>
        <v>9.0457705393215466</v>
      </c>
      <c r="AM137" s="199">
        <f t="shared" ca="1" si="45"/>
        <v>11.615089674095682</v>
      </c>
      <c r="AN137" s="199">
        <f t="shared" ca="1" si="45"/>
        <v>14.927868429546278</v>
      </c>
      <c r="AO137" s="199">
        <f t="shared" ca="1" si="45"/>
        <v>20.686056382991776</v>
      </c>
      <c r="AP137" s="199">
        <f t="shared" ca="1" si="45"/>
        <v>26.568154273216454</v>
      </c>
    </row>
    <row r="138" spans="1:42">
      <c r="A138" s="61" t="str">
        <f>'[4]TS BYDem'!A77</f>
        <v/>
      </c>
      <c r="B138" s="199" t="s">
        <v>288</v>
      </c>
      <c r="C138" s="199" t="s">
        <v>137</v>
      </c>
      <c r="D138" s="199" t="str">
        <f>'[4]TS BYDem'!D77</f>
        <v>ICPH</v>
      </c>
      <c r="E138" s="199" t="s">
        <v>137</v>
      </c>
      <c r="F138" s="199" t="s">
        <v>137</v>
      </c>
      <c r="G138" s="199" t="s">
        <v>137</v>
      </c>
      <c r="H138" s="199" t="s">
        <v>137</v>
      </c>
      <c r="I138" s="199">
        <v>0</v>
      </c>
      <c r="J138" s="199">
        <f>INDEX('[4]TS BYDem'!$J$10:$J$203,MATCH(D138,'[4]TS BYDem'!$D$10:$D$203,0))</f>
        <v>0.5008289687546561</v>
      </c>
      <c r="K138" s="199">
        <f t="shared" ref="K138:O153" ca="1" si="47">K$133/J$133*J138</f>
        <v>0.51505437025308409</v>
      </c>
      <c r="L138" s="199">
        <f t="shared" ca="1" si="46"/>
        <v>0.52406379120208846</v>
      </c>
      <c r="M138" s="206">
        <f t="shared" si="43"/>
        <v>0.72826200000000008</v>
      </c>
      <c r="N138" s="206">
        <f t="shared" si="44"/>
        <v>0.72826200000000008</v>
      </c>
      <c r="O138" s="206">
        <f>INDEX('[4]TS BYDem'!$O$10:$O$203,MATCH(D138,'[4]TS BYDem'!$D$10:$D$203,0))</f>
        <v>0.72826200000000008</v>
      </c>
      <c r="P138" s="199">
        <f t="shared" ca="1" si="46"/>
        <v>0.73456674169611313</v>
      </c>
      <c r="Q138" s="199">
        <f t="shared" ca="1" si="46"/>
        <v>0.732894055123675</v>
      </c>
      <c r="R138" s="199">
        <f t="shared" ca="1" si="46"/>
        <v>0.67383535229681979</v>
      </c>
      <c r="S138" s="199">
        <f t="shared" ca="1" si="46"/>
        <v>0.70278678822064067</v>
      </c>
      <c r="T138" s="199">
        <f t="shared" ca="1" si="46"/>
        <v>0.72788631635850864</v>
      </c>
      <c r="U138" s="199">
        <f t="shared" ca="1" si="46"/>
        <v>0.75435265048430711</v>
      </c>
      <c r="V138" s="199">
        <f t="shared" ca="1" si="46"/>
        <v>0.78491940257467907</v>
      </c>
      <c r="W138" s="199">
        <f t="shared" ca="1" si="46"/>
        <v>0.81846827682089041</v>
      </c>
      <c r="X138" s="199">
        <f t="shared" ca="1" si="46"/>
        <v>0.85425374268380072</v>
      </c>
      <c r="Y138" s="199">
        <f t="shared" ca="1" si="46"/>
        <v>0.89264856543289584</v>
      </c>
      <c r="Z138" s="199">
        <f t="shared" ca="1" si="46"/>
        <v>0.93427402051733244</v>
      </c>
      <c r="AA138" s="199">
        <f t="shared" ca="1" si="45"/>
        <v>0.98124244446432363</v>
      </c>
      <c r="AB138" s="199">
        <f t="shared" ca="1" si="45"/>
        <v>1.0309444803871595</v>
      </c>
      <c r="AC138" s="199">
        <f t="shared" ca="1" si="45"/>
        <v>1.0791554552313563</v>
      </c>
      <c r="AD138" s="199">
        <f t="shared" ca="1" si="45"/>
        <v>1.1302242971412082</v>
      </c>
      <c r="AE138" s="199">
        <f t="shared" ca="1" si="45"/>
        <v>1.1832812204878407</v>
      </c>
      <c r="AF138" s="199">
        <f t="shared" ca="1" si="45"/>
        <v>1.2395687761695622</v>
      </c>
      <c r="AG138" s="199">
        <f t="shared" ca="1" si="45"/>
        <v>1.2943652707727438</v>
      </c>
      <c r="AH138" s="199">
        <f t="shared" ca="1" si="45"/>
        <v>1.3510255917228513</v>
      </c>
      <c r="AI138" s="199">
        <f t="shared" ca="1" si="45"/>
        <v>1.4142714324333729</v>
      </c>
      <c r="AJ138" s="199">
        <f t="shared" ca="1" si="45"/>
        <v>1.4816176911076593</v>
      </c>
      <c r="AK138" s="199">
        <f t="shared" ca="1" si="45"/>
        <v>1.5531886228354934</v>
      </c>
      <c r="AL138" s="199">
        <f t="shared" ca="1" si="45"/>
        <v>1.6282386970778784</v>
      </c>
      <c r="AM138" s="199">
        <f t="shared" ca="1" si="45"/>
        <v>2.0907161413372228</v>
      </c>
      <c r="AN138" s="199">
        <f t="shared" ca="1" si="45"/>
        <v>2.6870163173183301</v>
      </c>
      <c r="AO138" s="199">
        <f t="shared" ca="1" si="45"/>
        <v>3.7234901489385197</v>
      </c>
      <c r="AP138" s="199">
        <f t="shared" ca="1" si="45"/>
        <v>4.7822677691789623</v>
      </c>
    </row>
    <row r="139" spans="1:42">
      <c r="A139" s="61" t="str">
        <f>'[4]TS BYDem'!A78</f>
        <v/>
      </c>
      <c r="B139" s="199" t="s">
        <v>288</v>
      </c>
      <c r="C139" s="199" t="s">
        <v>137</v>
      </c>
      <c r="D139" s="199" t="str">
        <f>'[4]TS BYDem'!D78</f>
        <v>ICPP</v>
      </c>
      <c r="E139" s="199" t="s">
        <v>137</v>
      </c>
      <c r="F139" s="199" t="s">
        <v>137</v>
      </c>
      <c r="G139" s="199" t="s">
        <v>137</v>
      </c>
      <c r="H139" s="199" t="s">
        <v>137</v>
      </c>
      <c r="I139" s="199">
        <v>0</v>
      </c>
      <c r="J139" s="199">
        <f>INDEX('[4]TS BYDem'!$J$10:$J$203,MATCH(D139,'[4]TS BYDem'!$D$10:$D$203,0))</f>
        <v>7.7906728472946494</v>
      </c>
      <c r="K139" s="199">
        <f t="shared" ca="1" si="47"/>
        <v>8.0119568706035302</v>
      </c>
      <c r="L139" s="199">
        <f t="shared" ca="1" si="46"/>
        <v>8.1521034186991539</v>
      </c>
      <c r="M139" s="206">
        <f t="shared" si="43"/>
        <v>11.328520000000001</v>
      </c>
      <c r="N139" s="206">
        <f t="shared" si="44"/>
        <v>11.328520000000001</v>
      </c>
      <c r="O139" s="206">
        <f>INDEX('[4]TS BYDem'!$O$10:$O$203,MATCH(D139,'[4]TS BYDem'!$D$10:$D$203,0))</f>
        <v>11.328520000000001</v>
      </c>
      <c r="P139" s="199">
        <f t="shared" ca="1" si="46"/>
        <v>11.426593759717315</v>
      </c>
      <c r="Q139" s="199">
        <f t="shared" ca="1" si="46"/>
        <v>11.400574190812721</v>
      </c>
      <c r="R139" s="199">
        <f t="shared" ca="1" si="46"/>
        <v>10.481883257950528</v>
      </c>
      <c r="S139" s="199">
        <f t="shared" ca="1" si="46"/>
        <v>10.932238927876631</v>
      </c>
      <c r="T139" s="199">
        <f t="shared" ca="1" si="46"/>
        <v>11.322676032243464</v>
      </c>
      <c r="U139" s="199">
        <f t="shared" ca="1" si="46"/>
        <v>11.734374563089219</v>
      </c>
      <c r="V139" s="199">
        <f t="shared" ca="1" si="46"/>
        <v>12.209857373383894</v>
      </c>
      <c r="W139" s="199">
        <f t="shared" ca="1" si="46"/>
        <v>12.731728750547182</v>
      </c>
      <c r="X139" s="199">
        <f t="shared" ca="1" si="46"/>
        <v>13.288391552859119</v>
      </c>
      <c r="Y139" s="199">
        <f t="shared" ca="1" si="46"/>
        <v>13.885644351178376</v>
      </c>
      <c r="Z139" s="199">
        <f t="shared" ca="1" si="46"/>
        <v>14.533151430269612</v>
      </c>
      <c r="AA139" s="199">
        <f t="shared" ca="1" si="45"/>
        <v>15.263771358333919</v>
      </c>
      <c r="AB139" s="199">
        <f t="shared" ca="1" si="45"/>
        <v>16.036914139355808</v>
      </c>
      <c r="AC139" s="199">
        <f t="shared" ca="1" si="45"/>
        <v>16.786862636932202</v>
      </c>
      <c r="AD139" s="199">
        <f t="shared" ca="1" si="45"/>
        <v>17.581266844418789</v>
      </c>
      <c r="AE139" s="199">
        <f t="shared" ca="1" si="45"/>
        <v>18.406596763144183</v>
      </c>
      <c r="AF139" s="199">
        <f t="shared" ca="1" si="45"/>
        <v>19.282180962637629</v>
      </c>
      <c r="AG139" s="199">
        <f t="shared" ca="1" si="45"/>
        <v>20.134570878687121</v>
      </c>
      <c r="AH139" s="199">
        <f t="shared" ca="1" si="45"/>
        <v>21.015953649022126</v>
      </c>
      <c r="AI139" s="199">
        <f t="shared" ca="1" si="45"/>
        <v>21.999777837852463</v>
      </c>
      <c r="AJ139" s="199">
        <f t="shared" ca="1" si="45"/>
        <v>23.04738630611914</v>
      </c>
      <c r="AK139" s="199">
        <f t="shared" ca="1" si="45"/>
        <v>24.160711910774335</v>
      </c>
      <c r="AL139" s="199">
        <f t="shared" ca="1" si="45"/>
        <v>25.328157510100322</v>
      </c>
      <c r="AM139" s="199">
        <f t="shared" ca="1" si="45"/>
        <v>32.522251087467893</v>
      </c>
      <c r="AN139" s="199">
        <f t="shared" ca="1" si="45"/>
        <v>41.798031602729559</v>
      </c>
      <c r="AO139" s="199">
        <f t="shared" ca="1" si="45"/>
        <v>57.920957872376945</v>
      </c>
      <c r="AP139" s="199">
        <f t="shared" ca="1" si="45"/>
        <v>74.390831965006043</v>
      </c>
    </row>
    <row r="140" spans="1:42">
      <c r="A140" s="61" t="str">
        <f>'[4]TS BYDem'!A79</f>
        <v/>
      </c>
      <c r="B140" s="199" t="s">
        <v>288</v>
      </c>
      <c r="C140" s="199" t="s">
        <v>137</v>
      </c>
      <c r="D140" s="199" t="str">
        <f>'[4]TS BYDem'!D79</f>
        <v>ICPF</v>
      </c>
      <c r="E140" s="199" t="s">
        <v>137</v>
      </c>
      <c r="F140" s="199" t="s">
        <v>137</v>
      </c>
      <c r="G140" s="199" t="s">
        <v>137</v>
      </c>
      <c r="H140" s="199" t="s">
        <v>137</v>
      </c>
      <c r="I140" s="199">
        <v>0</v>
      </c>
      <c r="J140" s="199">
        <f>INDEX('[4]TS BYDem'!$J$10:$J$203,MATCH(D140,'[4]TS BYDem'!$D$10:$D$203,0))</f>
        <v>1.7807252222387775</v>
      </c>
      <c r="K140" s="199">
        <f t="shared" ca="1" si="47"/>
        <v>1.8313044275665216</v>
      </c>
      <c r="L140" s="199">
        <f t="shared" ca="1" si="46"/>
        <v>1.8633379242740926</v>
      </c>
      <c r="M140" s="206">
        <f t="shared" si="43"/>
        <v>2.5893760000000006</v>
      </c>
      <c r="N140" s="206">
        <f t="shared" si="44"/>
        <v>2.5893760000000006</v>
      </c>
      <c r="O140" s="206">
        <f>INDEX('[4]TS BYDem'!$O$10:$O$203,MATCH(D140,'[4]TS BYDem'!$D$10:$D$203,0))</f>
        <v>2.5893760000000006</v>
      </c>
      <c r="P140" s="199">
        <f t="shared" ca="1" si="46"/>
        <v>2.6117928593639581</v>
      </c>
      <c r="Q140" s="199">
        <f t="shared" ca="1" si="46"/>
        <v>2.6058455293286222</v>
      </c>
      <c r="R140" s="199">
        <f t="shared" ca="1" si="46"/>
        <v>2.3958590303886926</v>
      </c>
      <c r="S140" s="199">
        <f t="shared" ca="1" si="46"/>
        <v>2.4987974692289447</v>
      </c>
      <c r="T140" s="199">
        <f t="shared" ca="1" si="46"/>
        <v>2.5880402359413641</v>
      </c>
      <c r="U140" s="199">
        <f t="shared" ca="1" si="46"/>
        <v>2.6821427572775365</v>
      </c>
      <c r="V140" s="199">
        <f t="shared" ca="1" si="46"/>
        <v>2.7908245424877478</v>
      </c>
      <c r="W140" s="199">
        <f t="shared" ca="1" si="46"/>
        <v>2.910109428696499</v>
      </c>
      <c r="X140" s="199">
        <f t="shared" ca="1" si="46"/>
        <v>3.0373466406535132</v>
      </c>
      <c r="Y140" s="199">
        <f t="shared" ca="1" si="46"/>
        <v>3.1738615659836293</v>
      </c>
      <c r="Z140" s="199">
        <f t="shared" ca="1" si="46"/>
        <v>3.321863184061626</v>
      </c>
      <c r="AA140" s="199">
        <f t="shared" ca="1" si="45"/>
        <v>3.4888620247620392</v>
      </c>
      <c r="AB140" s="199">
        <f t="shared" ca="1" si="45"/>
        <v>3.6655803747098998</v>
      </c>
      <c r="AC140" s="199">
        <f t="shared" ca="1" si="45"/>
        <v>3.8369971741559326</v>
      </c>
      <c r="AD140" s="199">
        <f t="shared" ca="1" si="45"/>
        <v>4.0185752787242954</v>
      </c>
      <c r="AE140" s="199">
        <f t="shared" ca="1" si="45"/>
        <v>4.2072221172901001</v>
      </c>
      <c r="AF140" s="199">
        <f t="shared" ca="1" si="45"/>
        <v>4.4073556486028878</v>
      </c>
      <c r="AG140" s="199">
        <f t="shared" ca="1" si="45"/>
        <v>4.6021876294142006</v>
      </c>
      <c r="AH140" s="199">
        <f t="shared" ca="1" si="45"/>
        <v>4.803646548347916</v>
      </c>
      <c r="AI140" s="199">
        <f t="shared" ca="1" si="45"/>
        <v>5.0285206486519929</v>
      </c>
      <c r="AJ140" s="199">
        <f t="shared" ca="1" si="45"/>
        <v>5.2679740128272332</v>
      </c>
      <c r="AK140" s="199">
        <f t="shared" ca="1" si="45"/>
        <v>5.5224484367484212</v>
      </c>
      <c r="AL140" s="199">
        <f t="shared" ca="1" si="45"/>
        <v>5.7892931451657894</v>
      </c>
      <c r="AM140" s="199">
        <f t="shared" ca="1" si="45"/>
        <v>7.4336573914212352</v>
      </c>
      <c r="AN140" s="199">
        <f t="shared" ca="1" si="45"/>
        <v>9.5538357949096167</v>
      </c>
      <c r="AO140" s="199">
        <f t="shared" ca="1" si="45"/>
        <v>13.239076085114736</v>
      </c>
      <c r="AP140" s="199">
        <f t="shared" ca="1" si="45"/>
        <v>17.003618734858531</v>
      </c>
    </row>
    <row r="141" spans="1:42">
      <c r="A141" s="61" t="str">
        <f>'[4]TS BYDem'!A80</f>
        <v/>
      </c>
      <c r="B141" s="199" t="s">
        <v>288</v>
      </c>
      <c r="C141" s="199" t="s">
        <v>137</v>
      </c>
      <c r="D141" s="199" t="str">
        <f>'[4]TS BYDem'!D80</f>
        <v>ICPO</v>
      </c>
      <c r="E141" s="199" t="s">
        <v>137</v>
      </c>
      <c r="F141" s="199" t="s">
        <v>137</v>
      </c>
      <c r="G141" s="199" t="s">
        <v>137</v>
      </c>
      <c r="H141" s="199" t="s">
        <v>137</v>
      </c>
      <c r="I141" s="199">
        <v>0</v>
      </c>
      <c r="J141" s="199">
        <f>INDEX('[4]TS BYDem'!$J$10:$J$203,MATCH(D141,'[4]TS BYDem'!$D$10:$D$203,0))</f>
        <v>4.4518130555969435</v>
      </c>
      <c r="K141" s="199">
        <f t="shared" ca="1" si="47"/>
        <v>4.5782610689163041</v>
      </c>
      <c r="L141" s="199">
        <f t="shared" ca="1" si="46"/>
        <v>4.6583448106852314</v>
      </c>
      <c r="M141" s="206">
        <f t="shared" si="43"/>
        <v>6.473440000000001</v>
      </c>
      <c r="N141" s="206">
        <f t="shared" si="44"/>
        <v>6.473440000000001</v>
      </c>
      <c r="O141" s="206">
        <f>INDEX('[4]TS BYDem'!$O$10:$O$203,MATCH(D141,'[4]TS BYDem'!$D$10:$D$203,0))</f>
        <v>6.473440000000001</v>
      </c>
      <c r="P141" s="199">
        <f t="shared" ca="1" si="46"/>
        <v>6.5294821484098948</v>
      </c>
      <c r="Q141" s="199">
        <f t="shared" ca="1" si="46"/>
        <v>6.5146138233215556</v>
      </c>
      <c r="R141" s="199">
        <f t="shared" ca="1" si="46"/>
        <v>5.9896475759717314</v>
      </c>
      <c r="S141" s="199">
        <f t="shared" ca="1" si="46"/>
        <v>6.2469936730723612</v>
      </c>
      <c r="T141" s="199">
        <f t="shared" ca="1" si="46"/>
        <v>6.4701005898534092</v>
      </c>
      <c r="U141" s="199">
        <f t="shared" ca="1" si="46"/>
        <v>6.7053568931938399</v>
      </c>
      <c r="V141" s="199">
        <f t="shared" ca="1" si="46"/>
        <v>6.9770613562193686</v>
      </c>
      <c r="W141" s="199">
        <f t="shared" ca="1" si="46"/>
        <v>7.2752735717412476</v>
      </c>
      <c r="X141" s="199">
        <f t="shared" ca="1" si="46"/>
        <v>7.5933666016337833</v>
      </c>
      <c r="Y141" s="199">
        <f t="shared" ca="1" si="46"/>
        <v>7.9346539149590729</v>
      </c>
      <c r="Z141" s="199">
        <f t="shared" ca="1" si="46"/>
        <v>8.3046579601540653</v>
      </c>
      <c r="AA141" s="199">
        <f t="shared" ca="1" si="45"/>
        <v>8.7221550619050987</v>
      </c>
      <c r="AB141" s="199">
        <f t="shared" ca="1" si="45"/>
        <v>9.16395093677475</v>
      </c>
      <c r="AC141" s="199">
        <f t="shared" ca="1" si="45"/>
        <v>9.5924929353898332</v>
      </c>
      <c r="AD141" s="199">
        <f t="shared" ca="1" si="45"/>
        <v>10.04643819681074</v>
      </c>
      <c r="AE141" s="199">
        <f t="shared" ca="1" si="45"/>
        <v>10.518055293225252</v>
      </c>
      <c r="AF141" s="199">
        <f t="shared" ca="1" si="45"/>
        <v>11.018389121507221</v>
      </c>
      <c r="AG141" s="199">
        <f t="shared" ca="1" si="45"/>
        <v>11.505469073535503</v>
      </c>
      <c r="AH141" s="199">
        <f t="shared" ca="1" si="45"/>
        <v>12.009116370869792</v>
      </c>
      <c r="AI141" s="199">
        <f t="shared" ca="1" si="45"/>
        <v>12.571301621629985</v>
      </c>
      <c r="AJ141" s="199">
        <f t="shared" ca="1" si="45"/>
        <v>13.169935032068086</v>
      </c>
      <c r="AK141" s="199">
        <f t="shared" ca="1" si="45"/>
        <v>13.806121091871056</v>
      </c>
      <c r="AL141" s="199">
        <f t="shared" ca="1" si="45"/>
        <v>14.473232862914477</v>
      </c>
      <c r="AM141" s="199">
        <f t="shared" ca="1" si="45"/>
        <v>18.584143478553095</v>
      </c>
      <c r="AN141" s="199">
        <f t="shared" ca="1" si="45"/>
        <v>23.884589487274052</v>
      </c>
      <c r="AO141" s="199">
        <f t="shared" ca="1" si="45"/>
        <v>33.097690212786851</v>
      </c>
      <c r="AP141" s="199">
        <f t="shared" ca="1" si="45"/>
        <v>42.509046837146343</v>
      </c>
    </row>
    <row r="142" spans="1:42">
      <c r="A142" s="61" t="str">
        <f>'[4]TS BYDem'!A81</f>
        <v/>
      </c>
      <c r="B142" s="199" t="s">
        <v>288</v>
      </c>
      <c r="C142" s="199" t="s">
        <v>137</v>
      </c>
      <c r="D142" s="199" t="str">
        <f>'[4]TS BYDem'!D81</f>
        <v>ICPE</v>
      </c>
      <c r="E142" s="199" t="s">
        <v>137</v>
      </c>
      <c r="F142" s="199" t="s">
        <v>137</v>
      </c>
      <c r="G142" s="199" t="s">
        <v>137</v>
      </c>
      <c r="H142" s="199" t="s">
        <v>137</v>
      </c>
      <c r="I142" s="199">
        <v>0</v>
      </c>
      <c r="J142" s="199">
        <f>INDEX('[4]TS BYDem'!$J$10:$J$203,MATCH(D142,'[4]TS BYDem'!$D$10:$D$203,0))</f>
        <v>1.6916889611268384</v>
      </c>
      <c r="K142" s="199">
        <f t="shared" ca="1" si="47"/>
        <v>1.7397392061881953</v>
      </c>
      <c r="L142" s="199">
        <f t="shared" ca="1" si="46"/>
        <v>1.7701710280603877</v>
      </c>
      <c r="M142" s="206">
        <f t="shared" si="43"/>
        <v>2.4599072000000004</v>
      </c>
      <c r="N142" s="206">
        <f t="shared" si="44"/>
        <v>2.4599072000000004</v>
      </c>
      <c r="O142" s="206">
        <f>INDEX('[4]TS BYDem'!$O$10:$O$203,MATCH(D142,'[4]TS BYDem'!$D$10:$D$203,0))</f>
        <v>2.4599072000000004</v>
      </c>
      <c r="P142" s="199">
        <f t="shared" ca="1" si="46"/>
        <v>2.4812032163957602</v>
      </c>
      <c r="Q142" s="199">
        <f t="shared" ca="1" si="46"/>
        <v>2.4755532528621913</v>
      </c>
      <c r="R142" s="199">
        <f t="shared" ca="1" si="46"/>
        <v>2.2760660788692584</v>
      </c>
      <c r="S142" s="199">
        <f t="shared" ca="1" si="46"/>
        <v>2.3738575957674977</v>
      </c>
      <c r="T142" s="199">
        <f t="shared" ca="1" si="46"/>
        <v>2.4586382241442961</v>
      </c>
      <c r="U142" s="199">
        <f t="shared" ca="1" si="46"/>
        <v>2.54803561941366</v>
      </c>
      <c r="V142" s="199">
        <f t="shared" ca="1" si="46"/>
        <v>2.651283315363361</v>
      </c>
      <c r="W142" s="199">
        <f t="shared" ca="1" si="46"/>
        <v>2.764603957261675</v>
      </c>
      <c r="X142" s="199">
        <f t="shared" ca="1" si="46"/>
        <v>2.8854793086208388</v>
      </c>
      <c r="Y142" s="199">
        <f t="shared" ca="1" si="46"/>
        <v>3.0151684876844489</v>
      </c>
      <c r="Z142" s="199">
        <f t="shared" ca="1" si="46"/>
        <v>3.1557700248585459</v>
      </c>
      <c r="AA142" s="199">
        <f t="shared" ca="1" si="45"/>
        <v>3.3144189235239385</v>
      </c>
      <c r="AB142" s="199">
        <f t="shared" ca="1" si="45"/>
        <v>3.482301355974406</v>
      </c>
      <c r="AC142" s="199">
        <f t="shared" ca="1" si="45"/>
        <v>3.6451473154481375</v>
      </c>
      <c r="AD142" s="199">
        <f t="shared" ca="1" si="45"/>
        <v>3.8176465147880818</v>
      </c>
      <c r="AE142" s="199">
        <f t="shared" ca="1" si="45"/>
        <v>3.996861011425596</v>
      </c>
      <c r="AF142" s="199">
        <f t="shared" ca="1" si="45"/>
        <v>4.1869878661727444</v>
      </c>
      <c r="AG142" s="199">
        <f t="shared" ca="1" si="45"/>
        <v>4.3720782479434916</v>
      </c>
      <c r="AH142" s="199">
        <f t="shared" ca="1" si="45"/>
        <v>4.5634642209305216</v>
      </c>
      <c r="AI142" s="199">
        <f t="shared" ca="1" si="45"/>
        <v>4.7770946162193946</v>
      </c>
      <c r="AJ142" s="199">
        <f t="shared" ca="1" si="45"/>
        <v>5.0045753121858727</v>
      </c>
      <c r="AK142" s="199">
        <f t="shared" ca="1" si="45"/>
        <v>5.2463260149110011</v>
      </c>
      <c r="AL142" s="199">
        <f t="shared" ca="1" si="45"/>
        <v>5.499828487907501</v>
      </c>
      <c r="AM142" s="199">
        <f t="shared" ca="1" si="45"/>
        <v>7.0619745218501748</v>
      </c>
      <c r="AN142" s="199">
        <f t="shared" ca="1" si="45"/>
        <v>9.0761440051641387</v>
      </c>
      <c r="AO142" s="199">
        <f t="shared" ca="1" si="45"/>
        <v>12.577122280859003</v>
      </c>
      <c r="AP142" s="199">
        <f t="shared" ca="1" si="45"/>
        <v>16.153437798115608</v>
      </c>
    </row>
    <row r="143" spans="1:42">
      <c r="A143" s="61" t="str">
        <f>'[4]TS BYDem'!A82</f>
        <v>*</v>
      </c>
      <c r="B143" s="199" t="s">
        <v>288</v>
      </c>
      <c r="C143" s="199" t="s">
        <v>137</v>
      </c>
      <c r="D143" s="199" t="str">
        <f>'[4]TS BYDem'!D82</f>
        <v xml:space="preserve"> </v>
      </c>
      <c r="E143" s="199" t="s">
        <v>137</v>
      </c>
      <c r="F143" s="199" t="s">
        <v>137</v>
      </c>
      <c r="G143" s="199" t="s">
        <v>137</v>
      </c>
      <c r="H143" s="199" t="s">
        <v>137</v>
      </c>
      <c r="I143" s="199">
        <v>0</v>
      </c>
      <c r="J143" s="199" t="str">
        <f>INDEX('[4]TS BYDem'!$J$10:$J$203,MATCH(D143,'[4]TS BYDem'!$D$10:$D$203,0))</f>
        <v/>
      </c>
      <c r="K143" s="199" t="e">
        <f t="shared" ca="1" si="47"/>
        <v>#VALUE!</v>
      </c>
      <c r="L143" s="199" t="e">
        <f t="shared" ca="1" si="46"/>
        <v>#VALUE!</v>
      </c>
      <c r="M143" s="199" t="e">
        <f t="shared" ca="1" si="46"/>
        <v>#VALUE!</v>
      </c>
      <c r="N143" s="199" t="e">
        <f t="shared" ca="1" si="46"/>
        <v>#VALUE!</v>
      </c>
      <c r="O143" s="199" t="e">
        <f t="shared" ca="1" si="46"/>
        <v>#VALUE!</v>
      </c>
      <c r="P143" s="199" t="e">
        <f t="shared" ca="1" si="46"/>
        <v>#VALUE!</v>
      </c>
      <c r="Q143" s="199" t="e">
        <f t="shared" ca="1" si="46"/>
        <v>#VALUE!</v>
      </c>
      <c r="R143" s="199" t="e">
        <f t="shared" ca="1" si="46"/>
        <v>#VALUE!</v>
      </c>
      <c r="S143" s="199" t="e">
        <f t="shared" ca="1" si="46"/>
        <v>#VALUE!</v>
      </c>
      <c r="T143" s="199" t="e">
        <f t="shared" ca="1" si="46"/>
        <v>#VALUE!</v>
      </c>
      <c r="U143" s="199" t="e">
        <f t="shared" ca="1" si="46"/>
        <v>#VALUE!</v>
      </c>
      <c r="V143" s="199" t="e">
        <f t="shared" ca="1" si="46"/>
        <v>#VALUE!</v>
      </c>
      <c r="W143" s="199" t="e">
        <f t="shared" ca="1" si="46"/>
        <v>#VALUE!</v>
      </c>
      <c r="X143" s="199" t="e">
        <f t="shared" ca="1" si="46"/>
        <v>#VALUE!</v>
      </c>
      <c r="Y143" s="199" t="e">
        <f t="shared" ca="1" si="46"/>
        <v>#VALUE!</v>
      </c>
      <c r="Z143" s="199" t="e">
        <f t="shared" ca="1" si="46"/>
        <v>#VALUE!</v>
      </c>
      <c r="AA143" s="199" t="e">
        <f t="shared" ca="1" si="45"/>
        <v>#VALUE!</v>
      </c>
      <c r="AB143" s="199" t="e">
        <f t="shared" ca="1" si="45"/>
        <v>#VALUE!</v>
      </c>
      <c r="AC143" s="199" t="e">
        <f t="shared" ca="1" si="45"/>
        <v>#VALUE!</v>
      </c>
      <c r="AD143" s="199" t="e">
        <f t="shared" ca="1" si="45"/>
        <v>#VALUE!</v>
      </c>
      <c r="AE143" s="199" t="e">
        <f t="shared" ca="1" si="45"/>
        <v>#VALUE!</v>
      </c>
      <c r="AF143" s="199" t="e">
        <f t="shared" ca="1" si="45"/>
        <v>#VALUE!</v>
      </c>
      <c r="AG143" s="199" t="e">
        <f t="shared" ca="1" si="45"/>
        <v>#VALUE!</v>
      </c>
      <c r="AH143" s="199" t="e">
        <f t="shared" ca="1" si="45"/>
        <v>#VALUE!</v>
      </c>
      <c r="AI143" s="199" t="e">
        <f t="shared" ca="1" si="45"/>
        <v>#VALUE!</v>
      </c>
      <c r="AJ143" s="199" t="e">
        <f t="shared" ca="1" si="45"/>
        <v>#VALUE!</v>
      </c>
      <c r="AK143" s="199" t="e">
        <f t="shared" ca="1" si="45"/>
        <v>#VALUE!</v>
      </c>
      <c r="AL143" s="199" t="e">
        <f t="shared" ca="1" si="45"/>
        <v>#VALUE!</v>
      </c>
      <c r="AM143" s="199" t="e">
        <f t="shared" ca="1" si="45"/>
        <v>#VALUE!</v>
      </c>
      <c r="AN143" s="199" t="e">
        <f t="shared" ca="1" si="45"/>
        <v>#VALUE!</v>
      </c>
      <c r="AO143" s="199" t="e">
        <f t="shared" ca="1" si="45"/>
        <v>#VALUE!</v>
      </c>
      <c r="AP143" s="199" t="e">
        <f t="shared" ca="1" si="45"/>
        <v>#VALUE!</v>
      </c>
    </row>
    <row r="144" spans="1:42">
      <c r="A144" s="61" t="str">
        <f>'[4]TS BYDem'!A83</f>
        <v/>
      </c>
      <c r="B144" s="199" t="s">
        <v>288</v>
      </c>
      <c r="C144" s="199" t="s">
        <v>137</v>
      </c>
      <c r="D144" s="199" t="str">
        <f>'[4]TS BYDem'!D83</f>
        <v>ICPS</v>
      </c>
      <c r="E144" s="199" t="s">
        <v>137</v>
      </c>
      <c r="F144" s="199" t="s">
        <v>137</v>
      </c>
      <c r="G144" s="199" t="s">
        <v>137</v>
      </c>
      <c r="H144" s="199" t="s">
        <v>137</v>
      </c>
      <c r="I144" s="199">
        <v>0</v>
      </c>
      <c r="J144" s="199">
        <f>INDEX('[4]TS BYDem'!$J$10:$J$203,MATCH(D144,'[4]TS BYDem'!$D$10:$D$203,0))</f>
        <v>27.288197120140854</v>
      </c>
      <c r="K144" s="199">
        <f t="shared" ca="1" si="47"/>
        <v>28.063283196266802</v>
      </c>
      <c r="L144" s="199">
        <f t="shared" ca="1" si="46"/>
        <v>28.554171044479897</v>
      </c>
      <c r="M144" s="206">
        <f t="shared" ref="M144" si="48">O144</f>
        <v>16.650368400000001</v>
      </c>
      <c r="N144" s="206">
        <f t="shared" ref="N144" si="49">O144</f>
        <v>16.650368400000001</v>
      </c>
      <c r="O144" s="206">
        <f>INDEX('[4]TS BYDem'!$O$10:$O$203,MATCH(D144,'[4]TS BYDem'!$D$10:$D$203,0))</f>
        <v>16.650368400000001</v>
      </c>
      <c r="P144" s="199">
        <f t="shared" ca="1" si="46"/>
        <v>16.794514698869261</v>
      </c>
      <c r="Q144" s="199">
        <f t="shared" ca="1" si="46"/>
        <v>16.756271803250886</v>
      </c>
      <c r="R144" s="199">
        <f t="shared" ca="1" si="46"/>
        <v>15.406003411802121</v>
      </c>
      <c r="S144" s="199">
        <f t="shared" ca="1" si="46"/>
        <v>16.067924634989122</v>
      </c>
      <c r="T144" s="199">
        <f t="shared" ca="1" si="46"/>
        <v>16.641779085944503</v>
      </c>
      <c r="U144" s="199">
        <f t="shared" ca="1" si="46"/>
        <v>17.246883036709523</v>
      </c>
      <c r="V144" s="199">
        <f t="shared" ca="1" si="46"/>
        <v>17.945735486921347</v>
      </c>
      <c r="W144" s="199">
        <f t="shared" ca="1" si="46"/>
        <v>18.712768663998677</v>
      </c>
      <c r="X144" s="199">
        <f t="shared" ca="1" si="46"/>
        <v>19.530937386221009</v>
      </c>
      <c r="Y144" s="199">
        <f t="shared" ca="1" si="46"/>
        <v>20.408764244446665</v>
      </c>
      <c r="Z144" s="199">
        <f t="shared" ca="1" si="46"/>
        <v>21.360453556773166</v>
      </c>
      <c r="AA144" s="199">
        <f t="shared" ca="1" si="45"/>
        <v>22.434300004733906</v>
      </c>
      <c r="AB144" s="199">
        <f t="shared" ca="1" si="45"/>
        <v>23.570645452313553</v>
      </c>
      <c r="AC144" s="199">
        <f t="shared" ca="1" si="45"/>
        <v>24.672900536444001</v>
      </c>
      <c r="AD144" s="199">
        <f t="shared" ca="1" si="45"/>
        <v>25.840495483812386</v>
      </c>
      <c r="AE144" s="199">
        <f t="shared" ca="1" si="45"/>
        <v>27.053544249080918</v>
      </c>
      <c r="AF144" s="199">
        <f t="shared" ca="1" si="45"/>
        <v>28.340455468444521</v>
      </c>
      <c r="AG144" s="199">
        <f t="shared" ca="1" si="45"/>
        <v>29.593276324361192</v>
      </c>
      <c r="AH144" s="199">
        <f t="shared" ca="1" si="45"/>
        <v>30.888710134557972</v>
      </c>
      <c r="AI144" s="199">
        <f t="shared" ca="1" si="45"/>
        <v>32.334709716573649</v>
      </c>
      <c r="AJ144" s="199">
        <f t="shared" ca="1" si="45"/>
        <v>33.874457798017637</v>
      </c>
      <c r="AK144" s="199">
        <f t="shared" ca="1" si="45"/>
        <v>35.510795242508337</v>
      </c>
      <c r="AL144" s="199">
        <f t="shared" ca="1" si="45"/>
        <v>37.226676868328518</v>
      </c>
      <c r="AM144" s="199">
        <f t="shared" ca="1" si="45"/>
        <v>47.800371257996716</v>
      </c>
      <c r="AN144" s="199">
        <f t="shared" ca="1" si="45"/>
        <v>61.433675765262322</v>
      </c>
      <c r="AO144" s="199">
        <f t="shared" ca="1" si="45"/>
        <v>85.130739642597291</v>
      </c>
      <c r="AP144" s="199">
        <f t="shared" ca="1" si="45"/>
        <v>109.33773853953089</v>
      </c>
    </row>
    <row r="145" spans="1:42">
      <c r="A145" s="61" t="str">
        <f>'[4]TS BYDem'!A84</f>
        <v>*</v>
      </c>
      <c r="B145" s="199" t="s">
        <v>288</v>
      </c>
      <c r="C145" s="199" t="s">
        <v>137</v>
      </c>
      <c r="D145" s="199" t="str">
        <f>'[4]TS BYDem'!D84</f>
        <v>ICPS</v>
      </c>
      <c r="E145" s="199" t="s">
        <v>137</v>
      </c>
      <c r="F145" s="199" t="s">
        <v>137</v>
      </c>
      <c r="G145" s="199" t="s">
        <v>137</v>
      </c>
      <c r="H145" s="199" t="s">
        <v>137</v>
      </c>
      <c r="I145" s="199">
        <v>0</v>
      </c>
      <c r="J145" s="199">
        <f>INDEX('[4]TS BYDem'!$J$10:$J$203,MATCH(D145,'[4]TS BYDem'!$D$10:$D$203,0))</f>
        <v>27.288197120140854</v>
      </c>
      <c r="K145" s="199">
        <f t="shared" ca="1" si="47"/>
        <v>28.063283196266802</v>
      </c>
      <c r="L145" s="199">
        <f t="shared" ca="1" si="46"/>
        <v>28.554171044479897</v>
      </c>
      <c r="M145" s="199">
        <f t="shared" ca="1" si="46"/>
        <v>28.797031348332695</v>
      </c>
      <c r="N145" s="199">
        <f t="shared" ca="1" si="46"/>
        <v>29.091564057260552</v>
      </c>
      <c r="O145" s="199">
        <f t="shared" ca="1" si="46"/>
        <v>29.246581272485745</v>
      </c>
      <c r="P145" s="199">
        <f t="shared" ca="1" si="46"/>
        <v>29.499776057353554</v>
      </c>
      <c r="Q145" s="199">
        <f t="shared" ca="1" si="46"/>
        <v>29.432601930755972</v>
      </c>
      <c r="R145" s="199">
        <f t="shared" ca="1" si="46"/>
        <v>27.060838537810572</v>
      </c>
      <c r="S145" s="199">
        <f t="shared" ca="1" si="46"/>
        <v>28.223511482027337</v>
      </c>
      <c r="T145" s="199">
        <f t="shared" ca="1" si="46"/>
        <v>29.231494034440065</v>
      </c>
      <c r="U145" s="199">
        <f t="shared" ca="1" si="46"/>
        <v>30.294366725854594</v>
      </c>
      <c r="V145" s="199">
        <f t="shared" ca="1" si="46"/>
        <v>31.52190983430593</v>
      </c>
      <c r="W145" s="199">
        <f t="shared" ca="1" si="46"/>
        <v>32.869213246048169</v>
      </c>
      <c r="X145" s="199">
        <f t="shared" ca="1" si="46"/>
        <v>34.306336885251326</v>
      </c>
      <c r="Y145" s="199">
        <f t="shared" ca="1" si="46"/>
        <v>35.848250789827006</v>
      </c>
      <c r="Z145" s="199">
        <f t="shared" ca="1" si="46"/>
        <v>37.519905022961758</v>
      </c>
      <c r="AA145" s="199">
        <f t="shared" ca="1" si="45"/>
        <v>39.406129799493065</v>
      </c>
      <c r="AB145" s="199">
        <f t="shared" ca="1" si="45"/>
        <v>41.402134854027317</v>
      </c>
      <c r="AC145" s="199">
        <f t="shared" ca="1" si="45"/>
        <v>43.338259756887233</v>
      </c>
      <c r="AD145" s="199">
        <f t="shared" ca="1" si="45"/>
        <v>45.389154950386569</v>
      </c>
      <c r="AE145" s="199">
        <f t="shared" ca="1" si="45"/>
        <v>47.519890346061935</v>
      </c>
      <c r="AF145" s="199">
        <f t="shared" ca="1" si="45"/>
        <v>49.780366070286235</v>
      </c>
      <c r="AG145" s="199">
        <f t="shared" ca="1" si="45"/>
        <v>51.980961642840178</v>
      </c>
      <c r="AH145" s="199">
        <f t="shared" ca="1" si="45"/>
        <v>54.256407404931906</v>
      </c>
      <c r="AI145" s="199">
        <f t="shared" ca="1" si="45"/>
        <v>56.796323836775059</v>
      </c>
      <c r="AJ145" s="199">
        <f t="shared" ca="1" si="45"/>
        <v>59.500910685622536</v>
      </c>
      <c r="AK145" s="199">
        <f t="shared" ca="1" si="45"/>
        <v>62.375157964109711</v>
      </c>
      <c r="AL145" s="199">
        <f t="shared" ca="1" si="45"/>
        <v>65.38912559641237</v>
      </c>
      <c r="AM145" s="199">
        <f t="shared" ca="1" si="45"/>
        <v>83.96195262874744</v>
      </c>
      <c r="AN145" s="199">
        <f t="shared" ca="1" si="45"/>
        <v>107.90902327039703</v>
      </c>
      <c r="AO145" s="199">
        <f t="shared" ca="1" si="45"/>
        <v>149.53321367616388</v>
      </c>
      <c r="AP145" s="199">
        <f t="shared" ca="1" si="45"/>
        <v>192.05311135014816</v>
      </c>
    </row>
    <row r="146" spans="1:42">
      <c r="A146" s="61" t="str">
        <f>'[4]TS BYDem'!A85</f>
        <v>*</v>
      </c>
      <c r="B146" s="199" t="s">
        <v>288</v>
      </c>
      <c r="C146" s="199" t="s">
        <v>137</v>
      </c>
      <c r="D146" s="199" t="str">
        <f>'[4]TS BYDem'!D85</f>
        <v>ICPS</v>
      </c>
      <c r="E146" s="199" t="s">
        <v>137</v>
      </c>
      <c r="F146" s="199" t="s">
        <v>137</v>
      </c>
      <c r="G146" s="199" t="s">
        <v>137</v>
      </c>
      <c r="H146" s="199" t="s">
        <v>137</v>
      </c>
      <c r="I146" s="199">
        <v>0</v>
      </c>
      <c r="J146" s="199">
        <f>INDEX('[4]TS BYDem'!$J$10:$J$203,MATCH(D146,'[4]TS BYDem'!$D$10:$D$203,0))</f>
        <v>27.288197120140854</v>
      </c>
      <c r="K146" s="199">
        <f t="shared" ca="1" si="47"/>
        <v>28.063283196266802</v>
      </c>
      <c r="L146" s="199">
        <f t="shared" ca="1" si="46"/>
        <v>28.554171044479897</v>
      </c>
      <c r="M146" s="199">
        <f t="shared" ca="1" si="46"/>
        <v>28.797031348332695</v>
      </c>
      <c r="N146" s="199">
        <f t="shared" ca="1" si="46"/>
        <v>29.091564057260552</v>
      </c>
      <c r="O146" s="199">
        <f t="shared" ca="1" si="46"/>
        <v>29.246581272485745</v>
      </c>
      <c r="P146" s="199">
        <f t="shared" ca="1" si="46"/>
        <v>29.499776057353554</v>
      </c>
      <c r="Q146" s="199">
        <f t="shared" ca="1" si="46"/>
        <v>29.432601930755972</v>
      </c>
      <c r="R146" s="199">
        <f t="shared" ca="1" si="46"/>
        <v>27.060838537810572</v>
      </c>
      <c r="S146" s="199">
        <f t="shared" ca="1" si="46"/>
        <v>28.223511482027337</v>
      </c>
      <c r="T146" s="199">
        <f t="shared" ca="1" si="46"/>
        <v>29.231494034440065</v>
      </c>
      <c r="U146" s="199">
        <f t="shared" ca="1" si="46"/>
        <v>30.294366725854594</v>
      </c>
      <c r="V146" s="199">
        <f t="shared" ca="1" si="46"/>
        <v>31.52190983430593</v>
      </c>
      <c r="W146" s="199">
        <f t="shared" ca="1" si="46"/>
        <v>32.869213246048169</v>
      </c>
      <c r="X146" s="199">
        <f t="shared" ca="1" si="46"/>
        <v>34.306336885251326</v>
      </c>
      <c r="Y146" s="199">
        <f t="shared" ca="1" si="46"/>
        <v>35.848250789827006</v>
      </c>
      <c r="Z146" s="199">
        <f t="shared" ca="1" si="46"/>
        <v>37.519905022961758</v>
      </c>
      <c r="AA146" s="199">
        <f t="shared" ca="1" si="45"/>
        <v>39.406129799493065</v>
      </c>
      <c r="AB146" s="199">
        <f t="shared" ca="1" si="45"/>
        <v>41.402134854027317</v>
      </c>
      <c r="AC146" s="199">
        <f t="shared" ca="1" si="45"/>
        <v>43.338259756887233</v>
      </c>
      <c r="AD146" s="199">
        <f t="shared" ca="1" si="45"/>
        <v>45.389154950386569</v>
      </c>
      <c r="AE146" s="199">
        <f t="shared" ca="1" si="45"/>
        <v>47.519890346061935</v>
      </c>
      <c r="AF146" s="199">
        <f t="shared" ca="1" si="45"/>
        <v>49.780366070286235</v>
      </c>
      <c r="AG146" s="199">
        <f t="shared" ca="1" si="45"/>
        <v>51.980961642840178</v>
      </c>
      <c r="AH146" s="199">
        <f t="shared" ca="1" si="45"/>
        <v>54.256407404931906</v>
      </c>
      <c r="AI146" s="199">
        <f t="shared" ca="1" si="45"/>
        <v>56.796323836775059</v>
      </c>
      <c r="AJ146" s="199">
        <f t="shared" ca="1" si="45"/>
        <v>59.500910685622536</v>
      </c>
      <c r="AK146" s="199">
        <f t="shared" ca="1" si="45"/>
        <v>62.375157964109711</v>
      </c>
      <c r="AL146" s="199">
        <f t="shared" ca="1" si="45"/>
        <v>65.38912559641237</v>
      </c>
      <c r="AM146" s="199">
        <f t="shared" ca="1" si="45"/>
        <v>83.96195262874744</v>
      </c>
      <c r="AN146" s="199">
        <f t="shared" ca="1" si="45"/>
        <v>107.90902327039703</v>
      </c>
      <c r="AO146" s="199">
        <f t="shared" ca="1" si="45"/>
        <v>149.53321367616388</v>
      </c>
      <c r="AP146" s="199">
        <f t="shared" ca="1" si="45"/>
        <v>192.05311135014816</v>
      </c>
    </row>
    <row r="147" spans="1:42">
      <c r="A147" s="61" t="str">
        <f>'[4]TS BYDem'!A86</f>
        <v>*</v>
      </c>
      <c r="B147" s="199" t="s">
        <v>288</v>
      </c>
      <c r="C147" s="199" t="s">
        <v>137</v>
      </c>
      <c r="D147" s="199" t="str">
        <f>'[4]TS BYDem'!D86</f>
        <v>ICPS</v>
      </c>
      <c r="E147" s="199" t="s">
        <v>137</v>
      </c>
      <c r="F147" s="199" t="s">
        <v>137</v>
      </c>
      <c r="G147" s="199" t="s">
        <v>137</v>
      </c>
      <c r="H147" s="199" t="s">
        <v>137</v>
      </c>
      <c r="I147" s="199">
        <v>0</v>
      </c>
      <c r="J147" s="199">
        <f>INDEX('[4]TS BYDem'!$J$10:$J$203,MATCH(D147,'[4]TS BYDem'!$D$10:$D$203,0))</f>
        <v>27.288197120140854</v>
      </c>
      <c r="K147" s="199">
        <f t="shared" ca="1" si="47"/>
        <v>28.063283196266802</v>
      </c>
      <c r="L147" s="199">
        <f t="shared" ca="1" si="46"/>
        <v>28.554171044479897</v>
      </c>
      <c r="M147" s="199">
        <f t="shared" ca="1" si="46"/>
        <v>28.797031348332695</v>
      </c>
      <c r="N147" s="199">
        <f t="shared" ca="1" si="46"/>
        <v>29.091564057260552</v>
      </c>
      <c r="O147" s="199">
        <f t="shared" ca="1" si="46"/>
        <v>29.246581272485745</v>
      </c>
      <c r="P147" s="199">
        <f t="shared" ca="1" si="46"/>
        <v>29.499776057353554</v>
      </c>
      <c r="Q147" s="199">
        <f t="shared" ca="1" si="46"/>
        <v>29.432601930755972</v>
      </c>
      <c r="R147" s="199">
        <f t="shared" ca="1" si="46"/>
        <v>27.060838537810572</v>
      </c>
      <c r="S147" s="199">
        <f t="shared" ca="1" si="46"/>
        <v>28.223511482027337</v>
      </c>
      <c r="T147" s="199">
        <f t="shared" ca="1" si="46"/>
        <v>29.231494034440065</v>
      </c>
      <c r="U147" s="199">
        <f t="shared" ca="1" si="46"/>
        <v>30.294366725854594</v>
      </c>
      <c r="V147" s="199">
        <f t="shared" ca="1" si="46"/>
        <v>31.52190983430593</v>
      </c>
      <c r="W147" s="199">
        <f t="shared" ca="1" si="46"/>
        <v>32.869213246048169</v>
      </c>
      <c r="X147" s="199">
        <f t="shared" ca="1" si="46"/>
        <v>34.306336885251326</v>
      </c>
      <c r="Y147" s="199">
        <f t="shared" ca="1" si="46"/>
        <v>35.848250789827006</v>
      </c>
      <c r="Z147" s="199">
        <f t="shared" ca="1" si="46"/>
        <v>37.519905022961758</v>
      </c>
      <c r="AA147" s="199">
        <f t="shared" ca="1" si="45"/>
        <v>39.406129799493065</v>
      </c>
      <c r="AB147" s="199">
        <f t="shared" ca="1" si="45"/>
        <v>41.402134854027317</v>
      </c>
      <c r="AC147" s="199">
        <f t="shared" ca="1" si="45"/>
        <v>43.338259756887233</v>
      </c>
      <c r="AD147" s="199">
        <f t="shared" ca="1" si="45"/>
        <v>45.389154950386569</v>
      </c>
      <c r="AE147" s="199">
        <f t="shared" ca="1" si="45"/>
        <v>47.519890346061935</v>
      </c>
      <c r="AF147" s="199">
        <f t="shared" ca="1" si="45"/>
        <v>49.780366070286235</v>
      </c>
      <c r="AG147" s="199">
        <f t="shared" ca="1" si="45"/>
        <v>51.980961642840178</v>
      </c>
      <c r="AH147" s="199">
        <f t="shared" ca="1" si="45"/>
        <v>54.256407404931906</v>
      </c>
      <c r="AI147" s="199">
        <f t="shared" ca="1" si="45"/>
        <v>56.796323836775059</v>
      </c>
      <c r="AJ147" s="199">
        <f t="shared" ca="1" si="45"/>
        <v>59.500910685622536</v>
      </c>
      <c r="AK147" s="199">
        <f t="shared" ca="1" si="45"/>
        <v>62.375157964109711</v>
      </c>
      <c r="AL147" s="199">
        <f t="shared" ca="1" si="45"/>
        <v>65.38912559641237</v>
      </c>
      <c r="AM147" s="199">
        <f t="shared" ca="1" si="45"/>
        <v>83.96195262874744</v>
      </c>
      <c r="AN147" s="199">
        <f t="shared" ca="1" si="45"/>
        <v>107.90902327039703</v>
      </c>
      <c r="AO147" s="199">
        <f t="shared" ca="1" si="45"/>
        <v>149.53321367616388</v>
      </c>
      <c r="AP147" s="199">
        <f t="shared" ca="1" si="45"/>
        <v>192.05311135014816</v>
      </c>
    </row>
    <row r="148" spans="1:42">
      <c r="A148" s="61" t="str">
        <f>'[4]TS BYDem'!A87</f>
        <v>*</v>
      </c>
      <c r="B148" s="199" t="s">
        <v>288</v>
      </c>
      <c r="C148" s="199" t="s">
        <v>137</v>
      </c>
      <c r="D148" s="199" t="str">
        <f>'[4]TS BYDem'!D87</f>
        <v>ICPS</v>
      </c>
      <c r="E148" s="199" t="s">
        <v>137</v>
      </c>
      <c r="F148" s="199" t="s">
        <v>137</v>
      </c>
      <c r="G148" s="199" t="s">
        <v>137</v>
      </c>
      <c r="H148" s="199" t="s">
        <v>137</v>
      </c>
      <c r="I148" s="199">
        <v>0</v>
      </c>
      <c r="J148" s="199">
        <f>INDEX('[4]TS BYDem'!$J$10:$J$203,MATCH(D148,'[4]TS BYDem'!$D$10:$D$203,0))</f>
        <v>27.288197120140854</v>
      </c>
      <c r="K148" s="199">
        <f t="shared" ca="1" si="47"/>
        <v>28.063283196266802</v>
      </c>
      <c r="L148" s="199">
        <f t="shared" ca="1" si="46"/>
        <v>28.554171044479897</v>
      </c>
      <c r="M148" s="199">
        <f t="shared" ca="1" si="46"/>
        <v>28.797031348332695</v>
      </c>
      <c r="N148" s="199">
        <f t="shared" ca="1" si="46"/>
        <v>29.091564057260552</v>
      </c>
      <c r="O148" s="199">
        <f t="shared" ca="1" si="46"/>
        <v>29.246581272485745</v>
      </c>
      <c r="P148" s="199">
        <f t="shared" ca="1" si="46"/>
        <v>29.499776057353554</v>
      </c>
      <c r="Q148" s="199">
        <f t="shared" ca="1" si="46"/>
        <v>29.432601930755972</v>
      </c>
      <c r="R148" s="199">
        <f t="shared" ca="1" si="46"/>
        <v>27.060838537810572</v>
      </c>
      <c r="S148" s="199">
        <f t="shared" ca="1" si="46"/>
        <v>28.223511482027337</v>
      </c>
      <c r="T148" s="199">
        <f t="shared" ca="1" si="46"/>
        <v>29.231494034440065</v>
      </c>
      <c r="U148" s="199">
        <f t="shared" ca="1" si="46"/>
        <v>30.294366725854594</v>
      </c>
      <c r="V148" s="199">
        <f t="shared" ca="1" si="46"/>
        <v>31.52190983430593</v>
      </c>
      <c r="W148" s="199">
        <f t="shared" ca="1" si="46"/>
        <v>32.869213246048169</v>
      </c>
      <c r="X148" s="199">
        <f t="shared" ca="1" si="46"/>
        <v>34.306336885251326</v>
      </c>
      <c r="Y148" s="199">
        <f t="shared" ca="1" si="46"/>
        <v>35.848250789827006</v>
      </c>
      <c r="Z148" s="199">
        <f t="shared" ca="1" si="46"/>
        <v>37.519905022961758</v>
      </c>
      <c r="AA148" s="199">
        <f t="shared" ca="1" si="45"/>
        <v>39.406129799493065</v>
      </c>
      <c r="AB148" s="199">
        <f t="shared" ca="1" si="45"/>
        <v>41.402134854027317</v>
      </c>
      <c r="AC148" s="199">
        <f t="shared" ca="1" si="45"/>
        <v>43.338259756887233</v>
      </c>
      <c r="AD148" s="199">
        <f t="shared" ca="1" si="45"/>
        <v>45.389154950386569</v>
      </c>
      <c r="AE148" s="199">
        <f t="shared" ca="1" si="45"/>
        <v>47.519890346061935</v>
      </c>
      <c r="AF148" s="199">
        <f t="shared" ca="1" si="45"/>
        <v>49.780366070286235</v>
      </c>
      <c r="AG148" s="199">
        <f t="shared" ca="1" si="45"/>
        <v>51.980961642840178</v>
      </c>
      <c r="AH148" s="199">
        <f t="shared" ca="1" si="45"/>
        <v>54.256407404931906</v>
      </c>
      <c r="AI148" s="199">
        <f t="shared" ca="1" si="45"/>
        <v>56.796323836775059</v>
      </c>
      <c r="AJ148" s="199">
        <f t="shared" ca="1" si="45"/>
        <v>59.500910685622536</v>
      </c>
      <c r="AK148" s="199">
        <f t="shared" ca="1" si="45"/>
        <v>62.375157964109711</v>
      </c>
      <c r="AL148" s="199">
        <f t="shared" ca="1" si="45"/>
        <v>65.38912559641237</v>
      </c>
      <c r="AM148" s="199">
        <f t="shared" ca="1" si="45"/>
        <v>83.96195262874744</v>
      </c>
      <c r="AN148" s="199">
        <f t="shared" ca="1" si="45"/>
        <v>107.90902327039703</v>
      </c>
      <c r="AO148" s="199">
        <f t="shared" ca="1" si="45"/>
        <v>149.53321367616388</v>
      </c>
      <c r="AP148" s="199">
        <f t="shared" ca="1" si="45"/>
        <v>192.05311135014816</v>
      </c>
    </row>
    <row r="149" spans="1:42">
      <c r="A149" s="61" t="str">
        <f>'[4]TS BYDem'!A88</f>
        <v>*</v>
      </c>
      <c r="B149" s="199" t="s">
        <v>288</v>
      </c>
      <c r="C149" s="199" t="s">
        <v>137</v>
      </c>
      <c r="D149" s="199" t="str">
        <f>'[4]TS BYDem'!D88</f>
        <v>ICPS</v>
      </c>
      <c r="E149" s="199" t="s">
        <v>137</v>
      </c>
      <c r="F149" s="199" t="s">
        <v>137</v>
      </c>
      <c r="G149" s="199" t="s">
        <v>137</v>
      </c>
      <c r="H149" s="199" t="s">
        <v>137</v>
      </c>
      <c r="I149" s="199">
        <v>0</v>
      </c>
      <c r="J149" s="199">
        <f>INDEX('[4]TS BYDem'!$J$10:$J$203,MATCH(D149,'[4]TS BYDem'!$D$10:$D$203,0))</f>
        <v>27.288197120140854</v>
      </c>
      <c r="K149" s="199">
        <f t="shared" ca="1" si="47"/>
        <v>28.063283196266802</v>
      </c>
      <c r="L149" s="199">
        <f t="shared" ca="1" si="46"/>
        <v>28.554171044479897</v>
      </c>
      <c r="M149" s="199">
        <f t="shared" ca="1" si="46"/>
        <v>28.797031348332695</v>
      </c>
      <c r="N149" s="199">
        <f t="shared" ca="1" si="46"/>
        <v>29.091564057260552</v>
      </c>
      <c r="O149" s="199">
        <f t="shared" ca="1" si="46"/>
        <v>29.246581272485745</v>
      </c>
      <c r="P149" s="199">
        <f t="shared" ca="1" si="46"/>
        <v>29.499776057353554</v>
      </c>
      <c r="Q149" s="199">
        <f t="shared" ca="1" si="46"/>
        <v>29.432601930755972</v>
      </c>
      <c r="R149" s="199">
        <f t="shared" ca="1" si="46"/>
        <v>27.060838537810572</v>
      </c>
      <c r="S149" s="199">
        <f t="shared" ca="1" si="46"/>
        <v>28.223511482027337</v>
      </c>
      <c r="T149" s="199">
        <f t="shared" ca="1" si="46"/>
        <v>29.231494034440065</v>
      </c>
      <c r="U149" s="199">
        <f t="shared" ca="1" si="46"/>
        <v>30.294366725854594</v>
      </c>
      <c r="V149" s="199">
        <f t="shared" ca="1" si="46"/>
        <v>31.52190983430593</v>
      </c>
      <c r="W149" s="199">
        <f t="shared" ca="1" si="46"/>
        <v>32.869213246048169</v>
      </c>
      <c r="X149" s="199">
        <f t="shared" ca="1" si="46"/>
        <v>34.306336885251326</v>
      </c>
      <c r="Y149" s="199">
        <f t="shared" ca="1" si="46"/>
        <v>35.848250789827006</v>
      </c>
      <c r="Z149" s="199">
        <f t="shared" ca="1" si="46"/>
        <v>37.519905022961758</v>
      </c>
      <c r="AA149" s="199">
        <f t="shared" ca="1" si="45"/>
        <v>39.406129799493065</v>
      </c>
      <c r="AB149" s="199">
        <f t="shared" ca="1" si="45"/>
        <v>41.402134854027317</v>
      </c>
      <c r="AC149" s="199">
        <f t="shared" ca="1" si="45"/>
        <v>43.338259756887233</v>
      </c>
      <c r="AD149" s="199">
        <f t="shared" ca="1" si="45"/>
        <v>45.389154950386569</v>
      </c>
      <c r="AE149" s="199">
        <f t="shared" ca="1" si="45"/>
        <v>47.519890346061935</v>
      </c>
      <c r="AF149" s="199">
        <f t="shared" ca="1" si="45"/>
        <v>49.780366070286235</v>
      </c>
      <c r="AG149" s="199">
        <f t="shared" ca="1" si="45"/>
        <v>51.980961642840178</v>
      </c>
      <c r="AH149" s="199">
        <f t="shared" ca="1" si="45"/>
        <v>54.256407404931906</v>
      </c>
      <c r="AI149" s="199">
        <f t="shared" ca="1" si="45"/>
        <v>56.796323836775059</v>
      </c>
      <c r="AJ149" s="199">
        <f t="shared" ca="1" si="45"/>
        <v>59.500910685622536</v>
      </c>
      <c r="AK149" s="199">
        <f t="shared" ca="1" si="45"/>
        <v>62.375157964109711</v>
      </c>
      <c r="AL149" s="199">
        <f t="shared" ca="1" si="45"/>
        <v>65.38912559641237</v>
      </c>
      <c r="AM149" s="199">
        <f t="shared" ca="1" si="45"/>
        <v>83.96195262874744</v>
      </c>
      <c r="AN149" s="199">
        <f t="shared" ca="1" si="45"/>
        <v>107.90902327039703</v>
      </c>
      <c r="AO149" s="199">
        <f t="shared" ca="1" si="45"/>
        <v>149.53321367616388</v>
      </c>
      <c r="AP149" s="199">
        <f t="shared" ca="1" si="45"/>
        <v>192.05311135014816</v>
      </c>
    </row>
    <row r="150" spans="1:42">
      <c r="A150" s="61" t="str">
        <f>'[4]TS BYDem'!A89</f>
        <v>*</v>
      </c>
      <c r="B150" s="199" t="s">
        <v>288</v>
      </c>
      <c r="C150" s="199" t="s">
        <v>137</v>
      </c>
      <c r="D150" s="199">
        <f>'[4]TS BYDem'!D89</f>
        <v>0</v>
      </c>
      <c r="E150" s="199" t="s">
        <v>137</v>
      </c>
      <c r="F150" s="199" t="s">
        <v>137</v>
      </c>
      <c r="G150" s="199" t="s">
        <v>137</v>
      </c>
      <c r="H150" s="199" t="s">
        <v>137</v>
      </c>
      <c r="I150" s="199">
        <v>0</v>
      </c>
      <c r="J150" s="199" t="str">
        <f>INDEX('[4]TS BYDem'!$J$10:$J$203,MATCH(D150,'[4]TS BYDem'!$D$10:$D$203,0))</f>
        <v/>
      </c>
      <c r="K150" s="199" t="e">
        <f t="shared" ca="1" si="47"/>
        <v>#VALUE!</v>
      </c>
      <c r="L150" s="199" t="e">
        <f t="shared" ca="1" si="46"/>
        <v>#VALUE!</v>
      </c>
      <c r="M150" s="199" t="e">
        <f t="shared" ca="1" si="46"/>
        <v>#VALUE!</v>
      </c>
      <c r="N150" s="199" t="e">
        <f t="shared" ca="1" si="46"/>
        <v>#VALUE!</v>
      </c>
      <c r="O150" s="199" t="e">
        <f t="shared" ca="1" si="46"/>
        <v>#VALUE!</v>
      </c>
      <c r="P150" s="199" t="e">
        <f t="shared" ca="1" si="46"/>
        <v>#VALUE!</v>
      </c>
      <c r="Q150" s="199" t="e">
        <f t="shared" ca="1" si="46"/>
        <v>#VALUE!</v>
      </c>
      <c r="R150" s="199" t="e">
        <f t="shared" ca="1" si="46"/>
        <v>#VALUE!</v>
      </c>
      <c r="S150" s="199" t="e">
        <f t="shared" ca="1" si="46"/>
        <v>#VALUE!</v>
      </c>
      <c r="T150" s="199" t="e">
        <f t="shared" ca="1" si="46"/>
        <v>#VALUE!</v>
      </c>
      <c r="U150" s="199" t="e">
        <f t="shared" ca="1" si="46"/>
        <v>#VALUE!</v>
      </c>
      <c r="V150" s="199" t="e">
        <f t="shared" ca="1" si="46"/>
        <v>#VALUE!</v>
      </c>
      <c r="W150" s="199" t="e">
        <f t="shared" ca="1" si="46"/>
        <v>#VALUE!</v>
      </c>
      <c r="X150" s="199" t="e">
        <f t="shared" ca="1" si="46"/>
        <v>#VALUE!</v>
      </c>
      <c r="Y150" s="199" t="e">
        <f t="shared" ca="1" si="46"/>
        <v>#VALUE!</v>
      </c>
      <c r="Z150" s="199" t="e">
        <f t="shared" ca="1" si="46"/>
        <v>#VALUE!</v>
      </c>
      <c r="AA150" s="199" t="e">
        <f t="shared" ref="AA150:AP153" ca="1" si="50">AA$133/Z$133*Z150</f>
        <v>#VALUE!</v>
      </c>
      <c r="AB150" s="199" t="e">
        <f t="shared" ca="1" si="50"/>
        <v>#VALUE!</v>
      </c>
      <c r="AC150" s="199" t="e">
        <f t="shared" ca="1" si="50"/>
        <v>#VALUE!</v>
      </c>
      <c r="AD150" s="199" t="e">
        <f t="shared" ca="1" si="50"/>
        <v>#VALUE!</v>
      </c>
      <c r="AE150" s="199" t="e">
        <f t="shared" ca="1" si="50"/>
        <v>#VALUE!</v>
      </c>
      <c r="AF150" s="199" t="e">
        <f t="shared" ca="1" si="50"/>
        <v>#VALUE!</v>
      </c>
      <c r="AG150" s="199" t="e">
        <f t="shared" ca="1" si="50"/>
        <v>#VALUE!</v>
      </c>
      <c r="AH150" s="199" t="e">
        <f t="shared" ca="1" si="50"/>
        <v>#VALUE!</v>
      </c>
      <c r="AI150" s="199" t="e">
        <f t="shared" ca="1" si="50"/>
        <v>#VALUE!</v>
      </c>
      <c r="AJ150" s="199" t="e">
        <f t="shared" ca="1" si="50"/>
        <v>#VALUE!</v>
      </c>
      <c r="AK150" s="199" t="e">
        <f t="shared" ca="1" si="50"/>
        <v>#VALUE!</v>
      </c>
      <c r="AL150" s="199" t="e">
        <f t="shared" ca="1" si="50"/>
        <v>#VALUE!</v>
      </c>
      <c r="AM150" s="199" t="e">
        <f t="shared" ca="1" si="50"/>
        <v>#VALUE!</v>
      </c>
      <c r="AN150" s="199" t="e">
        <f t="shared" ca="1" si="50"/>
        <v>#VALUE!</v>
      </c>
      <c r="AO150" s="199" t="e">
        <f t="shared" ca="1" si="50"/>
        <v>#VALUE!</v>
      </c>
      <c r="AP150" s="199" t="e">
        <f t="shared" ca="1" si="50"/>
        <v>#VALUE!</v>
      </c>
    </row>
    <row r="151" spans="1:42">
      <c r="A151" s="61" t="str">
        <f>'[4]TS BYDem'!A90</f>
        <v/>
      </c>
      <c r="B151" s="199" t="s">
        <v>288</v>
      </c>
      <c r="C151" s="199" t="s">
        <v>137</v>
      </c>
      <c r="D151" s="199" t="str">
        <f>'[4]TS BYDem'!D90</f>
        <v>ICPT</v>
      </c>
      <c r="E151" s="199" t="s">
        <v>137</v>
      </c>
      <c r="F151" s="199" t="s">
        <v>137</v>
      </c>
      <c r="G151" s="199" t="s">
        <v>137</v>
      </c>
      <c r="H151" s="199" t="s">
        <v>137</v>
      </c>
      <c r="I151" s="199">
        <v>0</v>
      </c>
      <c r="J151" s="199">
        <f>INDEX('[4]TS BYDem'!$J$10:$J$203,MATCH(D151,'[4]TS BYDem'!$D$10:$D$203,0))</f>
        <v>39.004000030517574</v>
      </c>
      <c r="K151" s="199">
        <f t="shared" ca="1" si="47"/>
        <v>40.11185839154345</v>
      </c>
      <c r="L151" s="199">
        <f t="shared" ca="1" si="47"/>
        <v>40.813502020193162</v>
      </c>
      <c r="M151" s="206">
        <f t="shared" ref="M151" si="51">O151</f>
        <v>28.64</v>
      </c>
      <c r="N151" s="206">
        <f t="shared" ref="N151" si="52">O151</f>
        <v>28.64</v>
      </c>
      <c r="O151" s="206">
        <f>INDEX('[4]TS BYDem'!$O$10:$O$203,MATCH(D151,'[4]TS BYDem'!$D$10:$D$203,0))</f>
        <v>28.64</v>
      </c>
      <c r="P151" s="199">
        <f t="shared" ref="P151:Z153" ca="1" si="53">P$133/O$133*O151</f>
        <v>28.887943462897528</v>
      </c>
      <c r="Q151" s="199">
        <f t="shared" ca="1" si="53"/>
        <v>28.822162544169615</v>
      </c>
      <c r="R151" s="199">
        <f t="shared" ca="1" si="53"/>
        <v>26.499590106007069</v>
      </c>
      <c r="S151" s="199">
        <f t="shared" ca="1" si="53"/>
        <v>27.638148928049453</v>
      </c>
      <c r="T151" s="199">
        <f t="shared" ca="1" si="53"/>
        <v>28.625225674973688</v>
      </c>
      <c r="U151" s="199">
        <f t="shared" ca="1" si="53"/>
        <v>29.666054125947195</v>
      </c>
      <c r="V151" s="199">
        <f t="shared" ca="1" si="53"/>
        <v>30.868137689099264</v>
      </c>
      <c r="W151" s="199">
        <f t="shared" ca="1" si="53"/>
        <v>32.187497697463691</v>
      </c>
      <c r="X151" s="199">
        <f t="shared" ca="1" si="53"/>
        <v>33.594815039730278</v>
      </c>
      <c r="Y151" s="199">
        <f t="shared" ca="1" si="53"/>
        <v>35.104749271550808</v>
      </c>
      <c r="Z151" s="199">
        <f t="shared" ca="1" si="53"/>
        <v>36.74173298567878</v>
      </c>
      <c r="AA151" s="199">
        <f t="shared" ca="1" si="50"/>
        <v>38.588836997479241</v>
      </c>
      <c r="AB151" s="199">
        <f t="shared" ca="1" si="50"/>
        <v>40.5434444173776</v>
      </c>
      <c r="AC151" s="199">
        <f t="shared" ca="1" si="50"/>
        <v>42.439413614641488</v>
      </c>
      <c r="AD151" s="199">
        <f t="shared" ca="1" si="50"/>
        <v>44.447772738553155</v>
      </c>
      <c r="AE151" s="199">
        <f t="shared" ca="1" si="50"/>
        <v>46.534316159255532</v>
      </c>
      <c r="AF151" s="199">
        <f t="shared" ca="1" si="50"/>
        <v>48.747909062255417</v>
      </c>
      <c r="AG151" s="199">
        <f t="shared" ca="1" si="50"/>
        <v>50.902863742624739</v>
      </c>
      <c r="AH151" s="199">
        <f t="shared" ca="1" si="50"/>
        <v>53.131116201233148</v>
      </c>
      <c r="AI151" s="199">
        <f t="shared" ca="1" si="50"/>
        <v>55.618354143003195</v>
      </c>
      <c r="AJ151" s="199">
        <f t="shared" ca="1" si="50"/>
        <v>58.266847196919997</v>
      </c>
      <c r="AK151" s="199">
        <f t="shared" ca="1" si="50"/>
        <v>61.081481881532362</v>
      </c>
      <c r="AL151" s="199">
        <f t="shared" ca="1" si="50"/>
        <v>64.03293908553573</v>
      </c>
      <c r="AM151" s="199">
        <f t="shared" ca="1" si="50"/>
        <v>82.220561127585995</v>
      </c>
      <c r="AN151" s="199">
        <f t="shared" ca="1" si="50"/>
        <v>105.67096364769402</v>
      </c>
      <c r="AO151" s="199">
        <f t="shared" ca="1" si="50"/>
        <v>146.43185813017729</v>
      </c>
      <c r="AP151" s="199">
        <f t="shared" ca="1" si="50"/>
        <v>188.06988269233523</v>
      </c>
    </row>
    <row r="152" spans="1:42">
      <c r="A152" s="61" t="str">
        <f>'[4]TS BYDem'!A91</f>
        <v>*</v>
      </c>
      <c r="B152" s="199" t="s">
        <v>288</v>
      </c>
      <c r="C152" s="199" t="s">
        <v>137</v>
      </c>
      <c r="D152" s="199" t="str">
        <f>'[4]TS BYDem'!D91</f>
        <v>Useful Energy Service</v>
      </c>
      <c r="E152" s="199" t="s">
        <v>137</v>
      </c>
      <c r="F152" s="199" t="s">
        <v>137</v>
      </c>
      <c r="G152" s="199" t="s">
        <v>137</v>
      </c>
      <c r="H152" s="199" t="s">
        <v>137</v>
      </c>
      <c r="I152" s="199">
        <v>0</v>
      </c>
      <c r="J152" s="199" t="str">
        <f>INDEX('[4]TS BYDem'!$J$10:$J$203,MATCH(D152,'[4]TS BYDem'!$D$10:$D$203,0))</f>
        <v/>
      </c>
      <c r="K152" s="199" t="e">
        <f t="shared" ca="1" si="47"/>
        <v>#VALUE!</v>
      </c>
      <c r="L152" s="199" t="e">
        <f t="shared" ca="1" si="47"/>
        <v>#VALUE!</v>
      </c>
      <c r="M152" s="199" t="e">
        <f t="shared" ca="1" si="47"/>
        <v>#VALUE!</v>
      </c>
      <c r="N152" s="199" t="e">
        <f t="shared" ca="1" si="47"/>
        <v>#VALUE!</v>
      </c>
      <c r="O152" s="199" t="e">
        <f t="shared" ca="1" si="47"/>
        <v>#VALUE!</v>
      </c>
      <c r="P152" s="199" t="e">
        <f t="shared" ca="1" si="53"/>
        <v>#VALUE!</v>
      </c>
      <c r="Q152" s="199" t="e">
        <f t="shared" ca="1" si="53"/>
        <v>#VALUE!</v>
      </c>
      <c r="R152" s="199" t="e">
        <f t="shared" ca="1" si="53"/>
        <v>#VALUE!</v>
      </c>
      <c r="S152" s="199" t="e">
        <f t="shared" ca="1" si="53"/>
        <v>#VALUE!</v>
      </c>
      <c r="T152" s="199" t="e">
        <f t="shared" ca="1" si="53"/>
        <v>#VALUE!</v>
      </c>
      <c r="U152" s="199" t="e">
        <f t="shared" ca="1" si="53"/>
        <v>#VALUE!</v>
      </c>
      <c r="V152" s="199" t="e">
        <f t="shared" ca="1" si="53"/>
        <v>#VALUE!</v>
      </c>
      <c r="W152" s="199" t="e">
        <f t="shared" ca="1" si="53"/>
        <v>#VALUE!</v>
      </c>
      <c r="X152" s="199" t="e">
        <f t="shared" ca="1" si="53"/>
        <v>#VALUE!</v>
      </c>
      <c r="Y152" s="199" t="e">
        <f t="shared" ca="1" si="53"/>
        <v>#VALUE!</v>
      </c>
      <c r="Z152" s="199" t="e">
        <f t="shared" ca="1" si="53"/>
        <v>#VALUE!</v>
      </c>
      <c r="AA152" s="199" t="e">
        <f t="shared" ca="1" si="50"/>
        <v>#VALUE!</v>
      </c>
      <c r="AB152" s="199" t="e">
        <f t="shared" ca="1" si="50"/>
        <v>#VALUE!</v>
      </c>
      <c r="AC152" s="199" t="e">
        <f t="shared" ca="1" si="50"/>
        <v>#VALUE!</v>
      </c>
      <c r="AD152" s="199" t="e">
        <f t="shared" ca="1" si="50"/>
        <v>#VALUE!</v>
      </c>
      <c r="AE152" s="199" t="e">
        <f t="shared" ca="1" si="50"/>
        <v>#VALUE!</v>
      </c>
      <c r="AF152" s="199" t="e">
        <f t="shared" ca="1" si="50"/>
        <v>#VALUE!</v>
      </c>
      <c r="AG152" s="199" t="e">
        <f t="shared" ca="1" si="50"/>
        <v>#VALUE!</v>
      </c>
      <c r="AH152" s="199" t="e">
        <f t="shared" ca="1" si="50"/>
        <v>#VALUE!</v>
      </c>
      <c r="AI152" s="199" t="e">
        <f t="shared" ca="1" si="50"/>
        <v>#VALUE!</v>
      </c>
      <c r="AJ152" s="199" t="e">
        <f t="shared" ca="1" si="50"/>
        <v>#VALUE!</v>
      </c>
      <c r="AK152" s="199" t="e">
        <f t="shared" ca="1" si="50"/>
        <v>#VALUE!</v>
      </c>
      <c r="AL152" s="199" t="e">
        <f t="shared" ca="1" si="50"/>
        <v>#VALUE!</v>
      </c>
      <c r="AM152" s="199" t="e">
        <f t="shared" ca="1" si="50"/>
        <v>#VALUE!</v>
      </c>
      <c r="AN152" s="199" t="e">
        <f t="shared" ca="1" si="50"/>
        <v>#VALUE!</v>
      </c>
      <c r="AO152" s="199" t="e">
        <f t="shared" ca="1" si="50"/>
        <v>#VALUE!</v>
      </c>
      <c r="AP152" s="199" t="e">
        <f t="shared" ca="1" si="50"/>
        <v>#VALUE!</v>
      </c>
    </row>
    <row r="153" spans="1:42">
      <c r="A153" s="61" t="str">
        <f>'[4]TS BYDem'!A92</f>
        <v>*</v>
      </c>
      <c r="B153" s="199" t="s">
        <v>288</v>
      </c>
      <c r="C153" s="199" t="s">
        <v>137</v>
      </c>
      <c r="D153" s="199">
        <f>'[4]TS BYDem'!D92</f>
        <v>0</v>
      </c>
      <c r="E153" s="199" t="s">
        <v>137</v>
      </c>
      <c r="F153" s="199" t="s">
        <v>137</v>
      </c>
      <c r="G153" s="199" t="s">
        <v>137</v>
      </c>
      <c r="H153" s="199" t="s">
        <v>137</v>
      </c>
      <c r="I153" s="199">
        <v>0</v>
      </c>
      <c r="J153" s="199" t="str">
        <f>INDEX('[4]TS BYDem'!$J$10:$J$203,MATCH(D153,'[4]TS BYDem'!$D$10:$D$203,0))</f>
        <v/>
      </c>
      <c r="K153" s="199" t="e">
        <f t="shared" ca="1" si="47"/>
        <v>#VALUE!</v>
      </c>
      <c r="L153" s="199" t="e">
        <f t="shared" ca="1" si="47"/>
        <v>#VALUE!</v>
      </c>
      <c r="M153" s="199" t="e">
        <f t="shared" ca="1" si="47"/>
        <v>#VALUE!</v>
      </c>
      <c r="N153" s="199" t="e">
        <f t="shared" ca="1" si="47"/>
        <v>#VALUE!</v>
      </c>
      <c r="O153" s="199" t="e">
        <f t="shared" ca="1" si="47"/>
        <v>#VALUE!</v>
      </c>
      <c r="P153" s="199" t="e">
        <f t="shared" ca="1" si="53"/>
        <v>#VALUE!</v>
      </c>
      <c r="Q153" s="199" t="e">
        <f t="shared" ca="1" si="53"/>
        <v>#VALUE!</v>
      </c>
      <c r="R153" s="199" t="e">
        <f t="shared" ca="1" si="53"/>
        <v>#VALUE!</v>
      </c>
      <c r="S153" s="199" t="e">
        <f t="shared" ca="1" si="53"/>
        <v>#VALUE!</v>
      </c>
      <c r="T153" s="199" t="e">
        <f t="shared" ca="1" si="53"/>
        <v>#VALUE!</v>
      </c>
      <c r="U153" s="199" t="e">
        <f t="shared" ca="1" si="53"/>
        <v>#VALUE!</v>
      </c>
      <c r="V153" s="199" t="e">
        <f t="shared" ca="1" si="53"/>
        <v>#VALUE!</v>
      </c>
      <c r="W153" s="199" t="e">
        <f t="shared" ca="1" si="53"/>
        <v>#VALUE!</v>
      </c>
      <c r="X153" s="199" t="e">
        <f t="shared" ca="1" si="53"/>
        <v>#VALUE!</v>
      </c>
      <c r="Y153" s="199" t="e">
        <f t="shared" ca="1" si="53"/>
        <v>#VALUE!</v>
      </c>
      <c r="Z153" s="199" t="e">
        <f t="shared" ca="1" si="53"/>
        <v>#VALUE!</v>
      </c>
      <c r="AA153" s="199" t="e">
        <f t="shared" ca="1" si="50"/>
        <v>#VALUE!</v>
      </c>
      <c r="AB153" s="199" t="e">
        <f t="shared" ca="1" si="50"/>
        <v>#VALUE!</v>
      </c>
      <c r="AC153" s="199" t="e">
        <f t="shared" ca="1" si="50"/>
        <v>#VALUE!</v>
      </c>
      <c r="AD153" s="199" t="e">
        <f t="shared" ca="1" si="50"/>
        <v>#VALUE!</v>
      </c>
      <c r="AE153" s="199" t="e">
        <f t="shared" ca="1" si="50"/>
        <v>#VALUE!</v>
      </c>
      <c r="AF153" s="199" t="e">
        <f t="shared" ca="1" si="50"/>
        <v>#VALUE!</v>
      </c>
      <c r="AG153" s="199" t="e">
        <f t="shared" ca="1" si="50"/>
        <v>#VALUE!</v>
      </c>
      <c r="AH153" s="199" t="e">
        <f t="shared" ca="1" si="50"/>
        <v>#VALUE!</v>
      </c>
      <c r="AI153" s="199" t="e">
        <f t="shared" ca="1" si="50"/>
        <v>#VALUE!</v>
      </c>
      <c r="AJ153" s="199" t="e">
        <f t="shared" ca="1" si="50"/>
        <v>#VALUE!</v>
      </c>
      <c r="AK153" s="199" t="e">
        <f t="shared" ca="1" si="50"/>
        <v>#VALUE!</v>
      </c>
      <c r="AL153" s="199" t="e">
        <f t="shared" ca="1" si="50"/>
        <v>#VALUE!</v>
      </c>
      <c r="AM153" s="199" t="e">
        <f t="shared" ca="1" si="50"/>
        <v>#VALUE!</v>
      </c>
      <c r="AN153" s="199" t="e">
        <f t="shared" ca="1" si="50"/>
        <v>#VALUE!</v>
      </c>
      <c r="AO153" s="199" t="e">
        <f t="shared" ca="1" si="50"/>
        <v>#VALUE!</v>
      </c>
      <c r="AP153" s="199" t="e">
        <f t="shared" ca="1" si="50"/>
        <v>#VALUE!</v>
      </c>
    </row>
    <row r="154" spans="1:42" s="5" customFormat="1">
      <c r="A154" s="61"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4.7307978715016317</v>
      </c>
      <c r="T154" s="5">
        <f t="shared" ca="1" si="54"/>
        <v>4.8191489344975622</v>
      </c>
      <c r="U154" s="5">
        <f t="shared" ca="1" si="54"/>
        <v>4.9074999974787676</v>
      </c>
      <c r="V154" s="5">
        <f t="shared" ca="1" si="54"/>
        <v>5.0520744646627449</v>
      </c>
      <c r="W154" s="5">
        <f t="shared" ca="1" si="54"/>
        <v>5.228776591371334</v>
      </c>
      <c r="X154" s="5">
        <f t="shared" ca="1" si="54"/>
        <v>5.421542547824111</v>
      </c>
      <c r="Y154" s="5">
        <f t="shared" ca="1" si="54"/>
        <v>5.6384042489017565</v>
      </c>
      <c r="Z154" s="5">
        <f t="shared" ca="1" si="54"/>
        <v>5.863297864831841</v>
      </c>
      <c r="AA154" s="5">
        <f t="shared" ca="1" si="54"/>
        <v>6.1363829700245045</v>
      </c>
      <c r="AB154" s="5">
        <f t="shared" ca="1" si="54"/>
        <v>6.4415957347061434</v>
      </c>
      <c r="AC154" s="5">
        <f t="shared" ca="1" si="54"/>
        <v>6.7146808398290121</v>
      </c>
      <c r="AD154" s="5">
        <f t="shared" ca="1" si="54"/>
        <v>6.9797340300399977</v>
      </c>
      <c r="AE154" s="5">
        <f t="shared" ca="1" si="54"/>
        <v>7.2046276458290173</v>
      </c>
      <c r="AF154" s="5">
        <f t="shared" ca="1" si="54"/>
        <v>7.4054255169607703</v>
      </c>
      <c r="AG154" s="5">
        <f t="shared" ca="1" si="54"/>
        <v>7.5740957285646378</v>
      </c>
      <c r="AH154" s="5">
        <f t="shared" ca="1" si="54"/>
        <v>7.7026063657722439</v>
      </c>
      <c r="AI154" s="5">
        <f t="shared" ca="1" si="54"/>
        <v>7.8070212583419396</v>
      </c>
      <c r="AJ154" s="5">
        <f t="shared" ca="1" si="54"/>
        <v>7.8873404062788577</v>
      </c>
      <c r="AK154" s="5">
        <f t="shared" ca="1" si="54"/>
        <v>7.9756914690807896</v>
      </c>
      <c r="AL154" s="5">
        <f t="shared" ca="1" si="54"/>
        <v>8.0640425318738256</v>
      </c>
      <c r="AM154" s="5">
        <f t="shared" ca="1" si="54"/>
        <v>9.3652127367630946</v>
      </c>
      <c r="AN154" s="5">
        <f t="shared" ca="1" si="54"/>
        <v>11.927393575148884</v>
      </c>
      <c r="AO154" s="5">
        <f t="shared" ca="1" si="54"/>
        <v>15.580576179507943</v>
      </c>
      <c r="AP154" s="5">
        <f t="shared" ca="1" si="54"/>
        <v>19.443927222783032</v>
      </c>
    </row>
    <row r="155" spans="1:42">
      <c r="A155" s="61" t="str">
        <f>'[4]TS BYDem'!A94</f>
        <v/>
      </c>
      <c r="B155" s="199" t="s">
        <v>288</v>
      </c>
      <c r="C155" s="199" t="s">
        <v>137</v>
      </c>
      <c r="D155" s="199" t="str">
        <f>'[4]TS BYDem'!D94</f>
        <v>INFK</v>
      </c>
      <c r="E155" s="199" t="s">
        <v>137</v>
      </c>
      <c r="F155" s="199" t="s">
        <v>137</v>
      </c>
      <c r="G155" s="199" t="s">
        <v>137</v>
      </c>
      <c r="H155" s="199" t="s">
        <v>137</v>
      </c>
      <c r="I155" s="199">
        <v>0</v>
      </c>
      <c r="J155" s="199">
        <f>INDEX('[4]TS BYDem'!$J$10:$J$203,MATCH(D155,'[4]TS BYDem'!$D$10:$D$203,0))</f>
        <v>0.66789588210349726</v>
      </c>
      <c r="K155" s="199">
        <f ca="1">K$154/J$154*J155</f>
        <v>0.55691021623466685</v>
      </c>
      <c r="L155" s="199">
        <f t="shared" ref="L155:AP164" ca="1" si="55">L$154/K$154*K155</f>
        <v>0.47961662750458856</v>
      </c>
      <c r="M155" s="206">
        <f t="shared" ref="M155:M163" si="56">O155</f>
        <v>0.16707000000000002</v>
      </c>
      <c r="N155" s="206">
        <f t="shared" ref="N155:N163" si="57">O155</f>
        <v>0.16707000000000002</v>
      </c>
      <c r="O155" s="206">
        <f>INDEX('[4]TS BYDem'!$O$10:$O$203,MATCH(D155,'[4]TS BYDem'!$D$10:$D$203,0))</f>
        <v>0.16707000000000002</v>
      </c>
      <c r="P155" s="199">
        <f t="shared" ca="1" si="55"/>
        <v>0.16370617449664432</v>
      </c>
      <c r="Q155" s="199">
        <f t="shared" ca="1" si="55"/>
        <v>0.15473597315436244</v>
      </c>
      <c r="R155" s="199">
        <f t="shared" ca="1" si="55"/>
        <v>0.12698441275167788</v>
      </c>
      <c r="S155" s="199">
        <f t="shared" ca="1" si="55"/>
        <v>0.13261315442815061</v>
      </c>
      <c r="T155" s="199">
        <f t="shared" ca="1" si="55"/>
        <v>0.13508980075276975</v>
      </c>
      <c r="U155" s="199">
        <f t="shared" ca="1" si="55"/>
        <v>0.1375664470769761</v>
      </c>
      <c r="V155" s="199">
        <f t="shared" ca="1" si="55"/>
        <v>0.14161914107570547</v>
      </c>
      <c r="W155" s="199">
        <f t="shared" ca="1" si="55"/>
        <v>0.14657243374503501</v>
      </c>
      <c r="X155" s="199">
        <f t="shared" ca="1" si="55"/>
        <v>0.15197602574915675</v>
      </c>
      <c r="Y155" s="199">
        <f t="shared" ca="1" si="55"/>
        <v>0.15805506675570746</v>
      </c>
      <c r="Z155" s="199">
        <f t="shared" ca="1" si="55"/>
        <v>0.16435925742910329</v>
      </c>
      <c r="AA155" s="199">
        <f t="shared" ca="1" si="55"/>
        <v>0.1720143461077171</v>
      </c>
      <c r="AB155" s="199">
        <f t="shared" ca="1" si="55"/>
        <v>0.18057003345593209</v>
      </c>
      <c r="AC155" s="199">
        <f t="shared" ca="1" si="55"/>
        <v>0.18822512213258941</v>
      </c>
      <c r="AD155" s="199">
        <f t="shared" ca="1" si="55"/>
        <v>0.19565506114073528</v>
      </c>
      <c r="AE155" s="199">
        <f t="shared" ca="1" si="55"/>
        <v>0.20195925181017679</v>
      </c>
      <c r="AF155" s="199">
        <f t="shared" ca="1" si="55"/>
        <v>0.20758799347628115</v>
      </c>
      <c r="AG155" s="199">
        <f t="shared" ca="1" si="55"/>
        <v>0.21231613647169359</v>
      </c>
      <c r="AH155" s="199">
        <f t="shared" ca="1" si="55"/>
        <v>0.21591853112912224</v>
      </c>
      <c r="AI155" s="199">
        <f t="shared" ca="1" si="55"/>
        <v>0.21884547678375629</v>
      </c>
      <c r="AJ155" s="199">
        <f t="shared" ca="1" si="55"/>
        <v>0.22109697343573967</v>
      </c>
      <c r="AK155" s="199">
        <f t="shared" ca="1" si="55"/>
        <v>0.22357361975492065</v>
      </c>
      <c r="AL155" s="199">
        <f t="shared" ca="1" si="55"/>
        <v>0.22605026607385229</v>
      </c>
      <c r="AM155" s="199">
        <f t="shared" ca="1" si="55"/>
        <v>0.26252451206896138</v>
      </c>
      <c r="AN155" s="199">
        <f t="shared" ca="1" si="55"/>
        <v>0.33434725580538982</v>
      </c>
      <c r="AO155" s="199">
        <f t="shared" ca="1" si="55"/>
        <v>0.43675282924670999</v>
      </c>
      <c r="AP155" s="199">
        <f t="shared" ca="1" si="55"/>
        <v>0.54504981897824845</v>
      </c>
    </row>
    <row r="156" spans="1:42">
      <c r="A156" s="61" t="str">
        <f>'[4]TS BYDem'!A95</f>
        <v/>
      </c>
      <c r="B156" s="199" t="s">
        <v>288</v>
      </c>
      <c r="C156" s="199" t="s">
        <v>137</v>
      </c>
      <c r="D156" s="199" t="str">
        <f>'[4]TS BYDem'!D95</f>
        <v>INFA</v>
      </c>
      <c r="E156" s="199" t="s">
        <v>137</v>
      </c>
      <c r="F156" s="199" t="s">
        <v>137</v>
      </c>
      <c r="G156" s="199" t="s">
        <v>137</v>
      </c>
      <c r="H156" s="199" t="s">
        <v>137</v>
      </c>
      <c r="I156" s="199">
        <v>0</v>
      </c>
      <c r="J156" s="199">
        <f>INDEX('[4]TS BYDem'!$J$10:$J$203,MATCH(D156,'[4]TS BYDem'!$D$10:$D$203,0))</f>
        <v>0</v>
      </c>
      <c r="K156" s="199">
        <f t="shared" ref="K156:N172" ca="1" si="58">K$154/J$154*J156</f>
        <v>0</v>
      </c>
      <c r="L156" s="199">
        <f t="shared" ca="1" si="55"/>
        <v>0</v>
      </c>
      <c r="M156" s="206">
        <f t="shared" si="56"/>
        <v>0</v>
      </c>
      <c r="N156" s="206">
        <f t="shared" si="57"/>
        <v>0</v>
      </c>
      <c r="O156" s="206">
        <f>INDEX('[4]TS BYDem'!$O$10:$O$203,MATCH(D156,'[4]TS BYDem'!$D$10:$D$203,0))</f>
        <v>0</v>
      </c>
      <c r="P156" s="199">
        <f t="shared" ca="1" si="55"/>
        <v>0</v>
      </c>
      <c r="Q156" s="199">
        <f t="shared" ca="1" si="55"/>
        <v>0</v>
      </c>
      <c r="R156" s="199">
        <f t="shared" ca="1" si="55"/>
        <v>0</v>
      </c>
      <c r="S156" s="199">
        <f t="shared" ca="1" si="55"/>
        <v>0</v>
      </c>
      <c r="T156" s="199">
        <f t="shared" ca="1" si="55"/>
        <v>0</v>
      </c>
      <c r="U156" s="199">
        <f t="shared" ca="1" si="55"/>
        <v>0</v>
      </c>
      <c r="V156" s="199">
        <f t="shared" ca="1" si="55"/>
        <v>0</v>
      </c>
      <c r="W156" s="199">
        <f t="shared" ca="1" si="55"/>
        <v>0</v>
      </c>
      <c r="X156" s="199">
        <f t="shared" ca="1" si="55"/>
        <v>0</v>
      </c>
      <c r="Y156" s="199">
        <f t="shared" ca="1" si="55"/>
        <v>0</v>
      </c>
      <c r="Z156" s="199">
        <f t="shared" ca="1" si="55"/>
        <v>0</v>
      </c>
      <c r="AA156" s="199">
        <f t="shared" ca="1" si="55"/>
        <v>0</v>
      </c>
      <c r="AB156" s="199">
        <f t="shared" ca="1" si="55"/>
        <v>0</v>
      </c>
      <c r="AC156" s="199">
        <f t="shared" ca="1" si="55"/>
        <v>0</v>
      </c>
      <c r="AD156" s="199">
        <f t="shared" ca="1" si="55"/>
        <v>0</v>
      </c>
      <c r="AE156" s="199">
        <f t="shared" ca="1" si="55"/>
        <v>0</v>
      </c>
      <c r="AF156" s="199">
        <f t="shared" ca="1" si="55"/>
        <v>0</v>
      </c>
      <c r="AG156" s="199">
        <f t="shared" ca="1" si="55"/>
        <v>0</v>
      </c>
      <c r="AH156" s="199">
        <f t="shared" ca="1" si="55"/>
        <v>0</v>
      </c>
      <c r="AI156" s="199">
        <f t="shared" ca="1" si="55"/>
        <v>0</v>
      </c>
      <c r="AJ156" s="199">
        <f t="shared" ca="1" si="55"/>
        <v>0</v>
      </c>
      <c r="AK156" s="199">
        <f t="shared" ca="1" si="55"/>
        <v>0</v>
      </c>
      <c r="AL156" s="199">
        <f t="shared" ca="1" si="55"/>
        <v>0</v>
      </c>
      <c r="AM156" s="199">
        <f t="shared" ca="1" si="55"/>
        <v>0</v>
      </c>
      <c r="AN156" s="199">
        <f t="shared" ca="1" si="55"/>
        <v>0</v>
      </c>
      <c r="AO156" s="199">
        <f t="shared" ca="1" si="55"/>
        <v>0</v>
      </c>
      <c r="AP156" s="199">
        <f t="shared" ca="1" si="55"/>
        <v>0</v>
      </c>
    </row>
    <row r="157" spans="1:42">
      <c r="A157" s="61" t="str">
        <f>'[4]TS BYDem'!A96</f>
        <v/>
      </c>
      <c r="B157" s="199" t="s">
        <v>288</v>
      </c>
      <c r="C157" s="199" t="s">
        <v>137</v>
      </c>
      <c r="D157" s="199" t="str">
        <f>'[4]TS BYDem'!D96</f>
        <v>INFL</v>
      </c>
      <c r="E157" s="199" t="s">
        <v>137</v>
      </c>
      <c r="F157" s="199" t="s">
        <v>137</v>
      </c>
      <c r="G157" s="199" t="s">
        <v>137</v>
      </c>
      <c r="H157" s="199" t="s">
        <v>137</v>
      </c>
      <c r="I157" s="199">
        <v>0</v>
      </c>
      <c r="J157" s="199">
        <f>INDEX('[4]TS BYDem'!$J$10:$J$203,MATCH(D157,'[4]TS BYDem'!$D$10:$D$203,0))</f>
        <v>0.20036876463104916</v>
      </c>
      <c r="K157" s="199">
        <f t="shared" ca="1" si="58"/>
        <v>0.16707306487040005</v>
      </c>
      <c r="L157" s="199">
        <f t="shared" ca="1" si="55"/>
        <v>0.14388498825137655</v>
      </c>
      <c r="M157" s="206">
        <f t="shared" si="56"/>
        <v>5.0121000000000006E-2</v>
      </c>
      <c r="N157" s="206">
        <f t="shared" si="57"/>
        <v>5.0121000000000006E-2</v>
      </c>
      <c r="O157" s="206">
        <f>INDEX('[4]TS BYDem'!$O$10:$O$203,MATCH(D157,'[4]TS BYDem'!$D$10:$D$203,0))</f>
        <v>5.0121000000000006E-2</v>
      </c>
      <c r="P157" s="199">
        <f t="shared" ca="1" si="55"/>
        <v>4.9111852348993297E-2</v>
      </c>
      <c r="Q157" s="199">
        <f t="shared" ca="1" si="55"/>
        <v>4.6420791946308736E-2</v>
      </c>
      <c r="R157" s="199">
        <f t="shared" ca="1" si="55"/>
        <v>3.8095323825503367E-2</v>
      </c>
      <c r="S157" s="199">
        <f t="shared" ca="1" si="55"/>
        <v>3.9783946328445188E-2</v>
      </c>
      <c r="T157" s="199">
        <f t="shared" ca="1" si="55"/>
        <v>4.0526940225830935E-2</v>
      </c>
      <c r="U157" s="199">
        <f t="shared" ca="1" si="55"/>
        <v>4.1269934123092843E-2</v>
      </c>
      <c r="V157" s="199">
        <f t="shared" ca="1" si="55"/>
        <v>4.2485742322711656E-2</v>
      </c>
      <c r="W157" s="199">
        <f t="shared" ca="1" si="55"/>
        <v>4.3971730123510515E-2</v>
      </c>
      <c r="X157" s="199">
        <f t="shared" ca="1" si="55"/>
        <v>4.5592807724747032E-2</v>
      </c>
      <c r="Y157" s="199">
        <f t="shared" ca="1" si="55"/>
        <v>4.7416520026712247E-2</v>
      </c>
      <c r="Z157" s="199">
        <f t="shared" ca="1" si="55"/>
        <v>4.9307777228730996E-2</v>
      </c>
      <c r="AA157" s="199">
        <f t="shared" ca="1" si="55"/>
        <v>5.1604303832315138E-2</v>
      </c>
      <c r="AB157" s="199">
        <f t="shared" ca="1" si="55"/>
        <v>5.4171010036779634E-2</v>
      </c>
      <c r="AC157" s="199">
        <f t="shared" ca="1" si="55"/>
        <v>5.6467536639776834E-2</v>
      </c>
      <c r="AD157" s="199">
        <f t="shared" ca="1" si="55"/>
        <v>5.8696518342220595E-2</v>
      </c>
      <c r="AE157" s="199">
        <f t="shared" ca="1" si="55"/>
        <v>6.058777554305305E-2</v>
      </c>
      <c r="AF157" s="199">
        <f t="shared" ca="1" si="55"/>
        <v>6.2276398042884359E-2</v>
      </c>
      <c r="AG157" s="199">
        <f t="shared" ca="1" si="55"/>
        <v>6.3694840941508096E-2</v>
      </c>
      <c r="AH157" s="199">
        <f t="shared" ca="1" si="55"/>
        <v>6.4775559338736688E-2</v>
      </c>
      <c r="AI157" s="199">
        <f t="shared" ca="1" si="55"/>
        <v>6.5653643035126913E-2</v>
      </c>
      <c r="AJ157" s="199">
        <f t="shared" ca="1" si="55"/>
        <v>6.6329092030721931E-2</v>
      </c>
      <c r="AK157" s="199">
        <f t="shared" ca="1" si="55"/>
        <v>6.7072085926476233E-2</v>
      </c>
      <c r="AL157" s="199">
        <f t="shared" ca="1" si="55"/>
        <v>6.7815079822155719E-2</v>
      </c>
      <c r="AM157" s="199">
        <f t="shared" ca="1" si="55"/>
        <v>7.8757353620688447E-2</v>
      </c>
      <c r="AN157" s="199">
        <f t="shared" ca="1" si="55"/>
        <v>0.10030417674161698</v>
      </c>
      <c r="AO157" s="199">
        <f t="shared" ca="1" si="55"/>
        <v>0.13102584877401305</v>
      </c>
      <c r="AP157" s="199">
        <f t="shared" ca="1" si="55"/>
        <v>0.16351494569347458</v>
      </c>
    </row>
    <row r="158" spans="1:42">
      <c r="A158" s="61" t="str">
        <f>'[4]TS BYDem'!A97</f>
        <v/>
      </c>
      <c r="B158" s="199" t="s">
        <v>288</v>
      </c>
      <c r="C158" s="199" t="s">
        <v>137</v>
      </c>
      <c r="D158" s="199" t="str">
        <f>'[4]TS BYDem'!D97</f>
        <v>INFC</v>
      </c>
      <c r="E158" s="199" t="s">
        <v>137</v>
      </c>
      <c r="F158" s="199" t="s">
        <v>137</v>
      </c>
      <c r="G158" s="199" t="s">
        <v>137</v>
      </c>
      <c r="H158" s="199" t="s">
        <v>137</v>
      </c>
      <c r="I158" s="199">
        <v>0</v>
      </c>
      <c r="J158" s="199">
        <f>INDEX('[4]TS BYDem'!$J$10:$J$203,MATCH(D158,'[4]TS BYDem'!$D$10:$D$203,0))</f>
        <v>0</v>
      </c>
      <c r="K158" s="199">
        <f t="shared" ca="1" si="58"/>
        <v>0</v>
      </c>
      <c r="L158" s="199">
        <f t="shared" ca="1" si="55"/>
        <v>0</v>
      </c>
      <c r="M158" s="206">
        <f t="shared" si="56"/>
        <v>0</v>
      </c>
      <c r="N158" s="206">
        <f t="shared" si="57"/>
        <v>0</v>
      </c>
      <c r="O158" s="206">
        <f>INDEX('[4]TS BYDem'!$O$10:$O$203,MATCH(D158,'[4]TS BYDem'!$D$10:$D$203,0))</f>
        <v>0</v>
      </c>
      <c r="P158" s="199">
        <f t="shared" ca="1" si="55"/>
        <v>0</v>
      </c>
      <c r="Q158" s="199">
        <f t="shared" ca="1" si="55"/>
        <v>0</v>
      </c>
      <c r="R158" s="199">
        <f t="shared" ca="1" si="55"/>
        <v>0</v>
      </c>
      <c r="S158" s="199">
        <f t="shared" ca="1" si="55"/>
        <v>0</v>
      </c>
      <c r="T158" s="199">
        <f t="shared" ca="1" si="55"/>
        <v>0</v>
      </c>
      <c r="U158" s="199">
        <f t="shared" ca="1" si="55"/>
        <v>0</v>
      </c>
      <c r="V158" s="199">
        <f t="shared" ca="1" si="55"/>
        <v>0</v>
      </c>
      <c r="W158" s="199">
        <f t="shared" ca="1" si="55"/>
        <v>0</v>
      </c>
      <c r="X158" s="199">
        <f t="shared" ca="1" si="55"/>
        <v>0</v>
      </c>
      <c r="Y158" s="199">
        <f t="shared" ca="1" si="55"/>
        <v>0</v>
      </c>
      <c r="Z158" s="199">
        <f t="shared" ca="1" si="55"/>
        <v>0</v>
      </c>
      <c r="AA158" s="199">
        <f t="shared" ca="1" si="55"/>
        <v>0</v>
      </c>
      <c r="AB158" s="199">
        <f t="shared" ca="1" si="55"/>
        <v>0</v>
      </c>
      <c r="AC158" s="199">
        <f t="shared" ca="1" si="55"/>
        <v>0</v>
      </c>
      <c r="AD158" s="199">
        <f t="shared" ca="1" si="55"/>
        <v>0</v>
      </c>
      <c r="AE158" s="199">
        <f t="shared" ca="1" si="55"/>
        <v>0</v>
      </c>
      <c r="AF158" s="199">
        <f t="shared" ca="1" si="55"/>
        <v>0</v>
      </c>
      <c r="AG158" s="199">
        <f t="shared" ca="1" si="55"/>
        <v>0</v>
      </c>
      <c r="AH158" s="199">
        <f t="shared" ca="1" si="55"/>
        <v>0</v>
      </c>
      <c r="AI158" s="199">
        <f t="shared" ca="1" si="55"/>
        <v>0</v>
      </c>
      <c r="AJ158" s="199">
        <f t="shared" ca="1" si="55"/>
        <v>0</v>
      </c>
      <c r="AK158" s="199">
        <f t="shared" ca="1" si="55"/>
        <v>0</v>
      </c>
      <c r="AL158" s="199">
        <f t="shared" ca="1" si="55"/>
        <v>0</v>
      </c>
      <c r="AM158" s="199">
        <f t="shared" ca="1" si="55"/>
        <v>0</v>
      </c>
      <c r="AN158" s="199">
        <f t="shared" ca="1" si="55"/>
        <v>0</v>
      </c>
      <c r="AO158" s="199">
        <f t="shared" ca="1" si="55"/>
        <v>0</v>
      </c>
      <c r="AP158" s="199">
        <f t="shared" ca="1" si="55"/>
        <v>0</v>
      </c>
    </row>
    <row r="159" spans="1:42">
      <c r="A159" s="61" t="str">
        <f>'[4]TS BYDem'!A98</f>
        <v/>
      </c>
      <c r="B159" s="199" t="s">
        <v>288</v>
      </c>
      <c r="C159" s="199" t="s">
        <v>137</v>
      </c>
      <c r="D159" s="199" t="str">
        <f>'[4]TS BYDem'!D98</f>
        <v>INFH</v>
      </c>
      <c r="E159" s="199" t="s">
        <v>137</v>
      </c>
      <c r="F159" s="199" t="s">
        <v>137</v>
      </c>
      <c r="G159" s="199" t="s">
        <v>137</v>
      </c>
      <c r="H159" s="199" t="s">
        <v>137</v>
      </c>
      <c r="I159" s="199">
        <v>0</v>
      </c>
      <c r="J159" s="199">
        <f>INDEX('[4]TS BYDem'!$J$10:$J$203,MATCH(D159,'[4]TS BYDem'!$D$10:$D$203,0))</f>
        <v>0.60110629389314751</v>
      </c>
      <c r="K159" s="199">
        <f t="shared" ca="1" si="58"/>
        <v>0.50121919461120013</v>
      </c>
      <c r="L159" s="199">
        <f t="shared" ca="1" si="55"/>
        <v>0.43165496475412962</v>
      </c>
      <c r="M159" s="206">
        <f t="shared" si="56"/>
        <v>0.15036300000000002</v>
      </c>
      <c r="N159" s="206">
        <f t="shared" si="57"/>
        <v>0.15036300000000002</v>
      </c>
      <c r="O159" s="206">
        <f>INDEX('[4]TS BYDem'!$O$10:$O$203,MATCH(D159,'[4]TS BYDem'!$D$10:$D$203,0))</f>
        <v>0.15036300000000002</v>
      </c>
      <c r="P159" s="199">
        <f t="shared" ca="1" si="55"/>
        <v>0.1473355570469799</v>
      </c>
      <c r="Q159" s="199">
        <f t="shared" ca="1" si="55"/>
        <v>0.1392623758389262</v>
      </c>
      <c r="R159" s="199">
        <f t="shared" ca="1" si="55"/>
        <v>0.1142859714765101</v>
      </c>
      <c r="S159" s="199">
        <f t="shared" ca="1" si="55"/>
        <v>0.11935183898533556</v>
      </c>
      <c r="T159" s="199">
        <f t="shared" ca="1" si="55"/>
        <v>0.12158082067749279</v>
      </c>
      <c r="U159" s="199">
        <f t="shared" ca="1" si="55"/>
        <v>0.12380980236927852</v>
      </c>
      <c r="V159" s="199">
        <f t="shared" ca="1" si="55"/>
        <v>0.12745722696813497</v>
      </c>
      <c r="W159" s="199">
        <f t="shared" ca="1" si="55"/>
        <v>0.13191519037053154</v>
      </c>
      <c r="X159" s="199">
        <f t="shared" ca="1" si="55"/>
        <v>0.1367784231742411</v>
      </c>
      <c r="Y159" s="199">
        <f t="shared" ca="1" si="55"/>
        <v>0.14224956008013676</v>
      </c>
      <c r="Z159" s="199">
        <f t="shared" ca="1" si="55"/>
        <v>0.14792333168619301</v>
      </c>
      <c r="AA159" s="199">
        <f t="shared" ca="1" si="55"/>
        <v>0.15481291149694543</v>
      </c>
      <c r="AB159" s="199">
        <f t="shared" ca="1" si="55"/>
        <v>0.16251303011033894</v>
      </c>
      <c r="AC159" s="199">
        <f t="shared" ca="1" si="55"/>
        <v>0.16940260991933054</v>
      </c>
      <c r="AD159" s="199">
        <f t="shared" ca="1" si="55"/>
        <v>0.17608955502666182</v>
      </c>
      <c r="AE159" s="199">
        <f t="shared" ca="1" si="55"/>
        <v>0.1817633266291592</v>
      </c>
      <c r="AF159" s="199">
        <f t="shared" ca="1" si="55"/>
        <v>0.18682919412865312</v>
      </c>
      <c r="AG159" s="199">
        <f t="shared" ca="1" si="55"/>
        <v>0.19108452282452432</v>
      </c>
      <c r="AH159" s="199">
        <f t="shared" ca="1" si="55"/>
        <v>0.19432667801621012</v>
      </c>
      <c r="AI159" s="199">
        <f t="shared" ca="1" si="55"/>
        <v>0.19696092910538077</v>
      </c>
      <c r="AJ159" s="199">
        <f t="shared" ca="1" si="55"/>
        <v>0.19898727609216582</v>
      </c>
      <c r="AK159" s="199">
        <f t="shared" ca="1" si="55"/>
        <v>0.20121625777942873</v>
      </c>
      <c r="AL159" s="199">
        <f t="shared" ca="1" si="55"/>
        <v>0.2034452394664672</v>
      </c>
      <c r="AM159" s="199">
        <f t="shared" ca="1" si="55"/>
        <v>0.2362720608620654</v>
      </c>
      <c r="AN159" s="199">
        <f t="shared" ca="1" si="55"/>
        <v>0.30091253022485104</v>
      </c>
      <c r="AO159" s="199">
        <f t="shared" ca="1" si="55"/>
        <v>0.39307754632203923</v>
      </c>
      <c r="AP159" s="199">
        <f t="shared" ca="1" si="55"/>
        <v>0.49054483708042385</v>
      </c>
    </row>
    <row r="160" spans="1:42">
      <c r="A160" s="61" t="str">
        <f>'[4]TS BYDem'!A99</f>
        <v/>
      </c>
      <c r="B160" s="199" t="s">
        <v>288</v>
      </c>
      <c r="C160" s="199" t="s">
        <v>137</v>
      </c>
      <c r="D160" s="199" t="str">
        <f>'[4]TS BYDem'!D99</f>
        <v>INFP</v>
      </c>
      <c r="E160" s="199" t="s">
        <v>137</v>
      </c>
      <c r="F160" s="199" t="s">
        <v>137</v>
      </c>
      <c r="G160" s="199" t="s">
        <v>137</v>
      </c>
      <c r="H160" s="199" t="s">
        <v>137</v>
      </c>
      <c r="I160" s="199">
        <v>0</v>
      </c>
      <c r="J160" s="199">
        <f>INDEX('[4]TS BYDem'!$J$10:$J$203,MATCH(D160,'[4]TS BYDem'!$D$10:$D$203,0))</f>
        <v>0</v>
      </c>
      <c r="K160" s="199">
        <f t="shared" ca="1" si="58"/>
        <v>0</v>
      </c>
      <c r="L160" s="199">
        <f t="shared" ca="1" si="55"/>
        <v>0</v>
      </c>
      <c r="M160" s="206">
        <f t="shared" si="56"/>
        <v>0</v>
      </c>
      <c r="N160" s="206">
        <f t="shared" si="57"/>
        <v>0</v>
      </c>
      <c r="O160" s="206">
        <f>INDEX('[4]TS BYDem'!$O$10:$O$203,MATCH(D160,'[4]TS BYDem'!$D$10:$D$203,0))</f>
        <v>0</v>
      </c>
      <c r="P160" s="199">
        <f t="shared" ca="1" si="55"/>
        <v>0</v>
      </c>
      <c r="Q160" s="199">
        <f t="shared" ca="1" si="55"/>
        <v>0</v>
      </c>
      <c r="R160" s="199">
        <f t="shared" ca="1" si="55"/>
        <v>0</v>
      </c>
      <c r="S160" s="199">
        <f t="shared" ca="1" si="55"/>
        <v>0</v>
      </c>
      <c r="T160" s="199">
        <f t="shared" ca="1" si="55"/>
        <v>0</v>
      </c>
      <c r="U160" s="199">
        <f t="shared" ca="1" si="55"/>
        <v>0</v>
      </c>
      <c r="V160" s="199">
        <f t="shared" ca="1" si="55"/>
        <v>0</v>
      </c>
      <c r="W160" s="199">
        <f t="shared" ca="1" si="55"/>
        <v>0</v>
      </c>
      <c r="X160" s="199">
        <f t="shared" ca="1" si="55"/>
        <v>0</v>
      </c>
      <c r="Y160" s="199">
        <f t="shared" ca="1" si="55"/>
        <v>0</v>
      </c>
      <c r="Z160" s="199">
        <f t="shared" ca="1" si="55"/>
        <v>0</v>
      </c>
      <c r="AA160" s="199">
        <f t="shared" ca="1" si="55"/>
        <v>0</v>
      </c>
      <c r="AB160" s="199">
        <f t="shared" ca="1" si="55"/>
        <v>0</v>
      </c>
      <c r="AC160" s="199">
        <f t="shared" ca="1" si="55"/>
        <v>0</v>
      </c>
      <c r="AD160" s="199">
        <f t="shared" ca="1" si="55"/>
        <v>0</v>
      </c>
      <c r="AE160" s="199">
        <f t="shared" ca="1" si="55"/>
        <v>0</v>
      </c>
      <c r="AF160" s="199">
        <f t="shared" ca="1" si="55"/>
        <v>0</v>
      </c>
      <c r="AG160" s="199">
        <f t="shared" ca="1" si="55"/>
        <v>0</v>
      </c>
      <c r="AH160" s="199">
        <f t="shared" ca="1" si="55"/>
        <v>0</v>
      </c>
      <c r="AI160" s="199">
        <f t="shared" ca="1" si="55"/>
        <v>0</v>
      </c>
      <c r="AJ160" s="199">
        <f t="shared" ca="1" si="55"/>
        <v>0</v>
      </c>
      <c r="AK160" s="199">
        <f t="shared" ca="1" si="55"/>
        <v>0</v>
      </c>
      <c r="AL160" s="199">
        <f t="shared" ca="1" si="55"/>
        <v>0</v>
      </c>
      <c r="AM160" s="199">
        <f t="shared" ca="1" si="55"/>
        <v>0</v>
      </c>
      <c r="AN160" s="199">
        <f t="shared" ca="1" si="55"/>
        <v>0</v>
      </c>
      <c r="AO160" s="199">
        <f t="shared" ca="1" si="55"/>
        <v>0</v>
      </c>
      <c r="AP160" s="199">
        <f t="shared" ca="1" si="55"/>
        <v>0</v>
      </c>
    </row>
    <row r="161" spans="1:42">
      <c r="A161" s="61" t="str">
        <f>'[4]TS BYDem'!A100</f>
        <v/>
      </c>
      <c r="B161" s="199" t="s">
        <v>288</v>
      </c>
      <c r="C161" s="199" t="s">
        <v>137</v>
      </c>
      <c r="D161" s="199" t="str">
        <f>'[4]TS BYDem'!D100</f>
        <v>INFF</v>
      </c>
      <c r="E161" s="199" t="s">
        <v>137</v>
      </c>
      <c r="F161" s="199" t="s">
        <v>137</v>
      </c>
      <c r="G161" s="199" t="s">
        <v>137</v>
      </c>
      <c r="H161" s="199" t="s">
        <v>137</v>
      </c>
      <c r="I161" s="199">
        <v>0</v>
      </c>
      <c r="J161" s="199">
        <f>INDEX('[4]TS BYDem'!$J$10:$J$203,MATCH(D161,'[4]TS BYDem'!$D$10:$D$203,0))</f>
        <v>0</v>
      </c>
      <c r="K161" s="199">
        <f t="shared" ca="1" si="58"/>
        <v>0</v>
      </c>
      <c r="L161" s="199">
        <f t="shared" ca="1" si="55"/>
        <v>0</v>
      </c>
      <c r="M161" s="206">
        <f t="shared" si="56"/>
        <v>0</v>
      </c>
      <c r="N161" s="206">
        <f t="shared" si="57"/>
        <v>0</v>
      </c>
      <c r="O161" s="206">
        <f>INDEX('[4]TS BYDem'!$O$10:$O$203,MATCH(D161,'[4]TS BYDem'!$D$10:$D$203,0))</f>
        <v>0</v>
      </c>
      <c r="P161" s="199">
        <f t="shared" ca="1" si="55"/>
        <v>0</v>
      </c>
      <c r="Q161" s="199">
        <f t="shared" ca="1" si="55"/>
        <v>0</v>
      </c>
      <c r="R161" s="199">
        <f t="shared" ca="1" si="55"/>
        <v>0</v>
      </c>
      <c r="S161" s="199">
        <f t="shared" ca="1" si="55"/>
        <v>0</v>
      </c>
      <c r="T161" s="199">
        <f t="shared" ca="1" si="55"/>
        <v>0</v>
      </c>
      <c r="U161" s="199">
        <f t="shared" ca="1" si="55"/>
        <v>0</v>
      </c>
      <c r="V161" s="199">
        <f t="shared" ca="1" si="55"/>
        <v>0</v>
      </c>
      <c r="W161" s="199">
        <f t="shared" ca="1" si="55"/>
        <v>0</v>
      </c>
      <c r="X161" s="199">
        <f t="shared" ca="1" si="55"/>
        <v>0</v>
      </c>
      <c r="Y161" s="199">
        <f t="shared" ca="1" si="55"/>
        <v>0</v>
      </c>
      <c r="Z161" s="199">
        <f t="shared" ca="1" si="55"/>
        <v>0</v>
      </c>
      <c r="AA161" s="199">
        <f t="shared" ca="1" si="55"/>
        <v>0</v>
      </c>
      <c r="AB161" s="199">
        <f t="shared" ca="1" si="55"/>
        <v>0</v>
      </c>
      <c r="AC161" s="199">
        <f t="shared" ca="1" si="55"/>
        <v>0</v>
      </c>
      <c r="AD161" s="199">
        <f t="shared" ca="1" si="55"/>
        <v>0</v>
      </c>
      <c r="AE161" s="199">
        <f t="shared" ca="1" si="55"/>
        <v>0</v>
      </c>
      <c r="AF161" s="199">
        <f t="shared" ca="1" si="55"/>
        <v>0</v>
      </c>
      <c r="AG161" s="199">
        <f t="shared" ca="1" si="55"/>
        <v>0</v>
      </c>
      <c r="AH161" s="199">
        <f t="shared" ca="1" si="55"/>
        <v>0</v>
      </c>
      <c r="AI161" s="199">
        <f t="shared" ca="1" si="55"/>
        <v>0</v>
      </c>
      <c r="AJ161" s="199">
        <f t="shared" ca="1" si="55"/>
        <v>0</v>
      </c>
      <c r="AK161" s="199">
        <f t="shared" ca="1" si="55"/>
        <v>0</v>
      </c>
      <c r="AL161" s="199">
        <f t="shared" ca="1" si="55"/>
        <v>0</v>
      </c>
      <c r="AM161" s="199">
        <f t="shared" ca="1" si="55"/>
        <v>0</v>
      </c>
      <c r="AN161" s="199">
        <f t="shared" ca="1" si="55"/>
        <v>0</v>
      </c>
      <c r="AO161" s="199">
        <f t="shared" ca="1" si="55"/>
        <v>0</v>
      </c>
      <c r="AP161" s="199">
        <f t="shared" ca="1" si="55"/>
        <v>0</v>
      </c>
    </row>
    <row r="162" spans="1:42">
      <c r="A162" s="61" t="str">
        <f>'[4]TS BYDem'!A101</f>
        <v/>
      </c>
      <c r="B162" s="199" t="s">
        <v>288</v>
      </c>
      <c r="C162" s="199" t="s">
        <v>137</v>
      </c>
      <c r="D162" s="199" t="str">
        <f>'[4]TS BYDem'!D101</f>
        <v>INFO</v>
      </c>
      <c r="E162" s="199" t="s">
        <v>137</v>
      </c>
      <c r="F162" s="199" t="s">
        <v>137</v>
      </c>
      <c r="G162" s="199" t="s">
        <v>137</v>
      </c>
      <c r="H162" s="199" t="s">
        <v>137</v>
      </c>
      <c r="I162" s="199">
        <v>0</v>
      </c>
      <c r="J162" s="199">
        <f>INDEX('[4]TS BYDem'!$J$10:$J$203,MATCH(D162,'[4]TS BYDem'!$D$10:$D$203,0))</f>
        <v>3.7402169397795855</v>
      </c>
      <c r="K162" s="199">
        <f t="shared" ca="1" si="58"/>
        <v>3.1186972109141351</v>
      </c>
      <c r="L162" s="199">
        <f t="shared" ca="1" si="55"/>
        <v>2.6858531140256963</v>
      </c>
      <c r="M162" s="206">
        <f t="shared" si="56"/>
        <v>0.9355920000000002</v>
      </c>
      <c r="N162" s="206">
        <f t="shared" si="57"/>
        <v>0.9355920000000002</v>
      </c>
      <c r="O162" s="206">
        <f>INDEX('[4]TS BYDem'!$O$10:$O$203,MATCH(D162,'[4]TS BYDem'!$D$10:$D$203,0))</f>
        <v>0.9355920000000002</v>
      </c>
      <c r="P162" s="199">
        <f t="shared" ca="1" si="55"/>
        <v>0.91675457718120823</v>
      </c>
      <c r="Q162" s="199">
        <f t="shared" ca="1" si="55"/>
        <v>0.86652144966442968</v>
      </c>
      <c r="R162" s="199">
        <f t="shared" ca="1" si="55"/>
        <v>0.71111271140939614</v>
      </c>
      <c r="S162" s="199">
        <f t="shared" ca="1" si="55"/>
        <v>0.74263366479764348</v>
      </c>
      <c r="T162" s="199">
        <f t="shared" ca="1" si="55"/>
        <v>0.75650288421551071</v>
      </c>
      <c r="U162" s="199">
        <f t="shared" ca="1" si="55"/>
        <v>0.77037210363106634</v>
      </c>
      <c r="V162" s="199">
        <f t="shared" ca="1" si="55"/>
        <v>0.79306719002395087</v>
      </c>
      <c r="W162" s="199">
        <f t="shared" ca="1" si="55"/>
        <v>0.82080562897219622</v>
      </c>
      <c r="X162" s="199">
        <f t="shared" ca="1" si="55"/>
        <v>0.85106574419527792</v>
      </c>
      <c r="Y162" s="199">
        <f t="shared" ca="1" si="55"/>
        <v>0.88510837383196184</v>
      </c>
      <c r="Z162" s="199">
        <f t="shared" ca="1" si="55"/>
        <v>0.92041184160297851</v>
      </c>
      <c r="AA162" s="199">
        <f t="shared" ca="1" si="55"/>
        <v>0.96328033820321579</v>
      </c>
      <c r="AB162" s="199">
        <f t="shared" ca="1" si="55"/>
        <v>1.0111921873532197</v>
      </c>
      <c r="AC162" s="199">
        <f t="shared" ca="1" si="55"/>
        <v>1.0540606839425006</v>
      </c>
      <c r="AD162" s="199">
        <f t="shared" ca="1" si="55"/>
        <v>1.0956683423881175</v>
      </c>
      <c r="AE162" s="199">
        <f t="shared" ca="1" si="55"/>
        <v>1.1309718101369901</v>
      </c>
      <c r="AF162" s="199">
        <f t="shared" ca="1" si="55"/>
        <v>1.1624927634671747</v>
      </c>
      <c r="AG162" s="199">
        <f t="shared" ca="1" si="55"/>
        <v>1.1889703642414844</v>
      </c>
      <c r="AH162" s="199">
        <f t="shared" ca="1" si="55"/>
        <v>1.2091437743230848</v>
      </c>
      <c r="AI162" s="199">
        <f t="shared" ca="1" si="55"/>
        <v>1.2255346699890357</v>
      </c>
      <c r="AJ162" s="199">
        <f t="shared" ca="1" si="55"/>
        <v>1.2381430512401426</v>
      </c>
      <c r="AK162" s="199">
        <f t="shared" ca="1" si="55"/>
        <v>1.2520122706275563</v>
      </c>
      <c r="AL162" s="199">
        <f t="shared" ca="1" si="55"/>
        <v>1.2658814900135733</v>
      </c>
      <c r="AM162" s="199">
        <f t="shared" ca="1" si="55"/>
        <v>1.4701372675861843</v>
      </c>
      <c r="AN162" s="199">
        <f t="shared" ca="1" si="55"/>
        <v>1.8723446325101838</v>
      </c>
      <c r="AO162" s="199">
        <f t="shared" ca="1" si="55"/>
        <v>2.4458158437815767</v>
      </c>
      <c r="AP162" s="199">
        <f t="shared" ca="1" si="55"/>
        <v>3.0522789862781918</v>
      </c>
    </row>
    <row r="163" spans="1:42">
      <c r="A163" s="61" t="str">
        <f>'[4]TS BYDem'!A102</f>
        <v/>
      </c>
      <c r="B163" s="199" t="s">
        <v>288</v>
      </c>
      <c r="C163" s="199" t="s">
        <v>137</v>
      </c>
      <c r="D163" s="199" t="str">
        <f>'[4]TS BYDem'!D102</f>
        <v>INFE</v>
      </c>
      <c r="E163" s="199" t="s">
        <v>137</v>
      </c>
      <c r="F163" s="199" t="s">
        <v>137</v>
      </c>
      <c r="G163" s="199" t="s">
        <v>137</v>
      </c>
      <c r="H163" s="199" t="s">
        <v>137</v>
      </c>
      <c r="I163" s="199">
        <v>0</v>
      </c>
      <c r="J163" s="199">
        <f>INDEX('[4]TS BYDem'!$J$10:$J$203,MATCH(D163,'[4]TS BYDem'!$D$10:$D$203,0))</f>
        <v>45.684078335879221</v>
      </c>
      <c r="K163" s="199">
        <f t="shared" ca="1" si="58"/>
        <v>38.092658790451225</v>
      </c>
      <c r="L163" s="199">
        <f t="shared" ca="1" si="55"/>
        <v>32.805777321313869</v>
      </c>
      <c r="M163" s="206">
        <f t="shared" si="56"/>
        <v>11.427588</v>
      </c>
      <c r="N163" s="206">
        <f t="shared" si="57"/>
        <v>11.427588</v>
      </c>
      <c r="O163" s="206">
        <f>INDEX('[4]TS BYDem'!$O$10:$O$203,MATCH(D163,'[4]TS BYDem'!$D$10:$D$203,0))</f>
        <v>11.427588</v>
      </c>
      <c r="P163" s="199">
        <f t="shared" ca="1" si="55"/>
        <v>11.197502335570471</v>
      </c>
      <c r="Q163" s="199">
        <f t="shared" ca="1" si="55"/>
        <v>10.583940563758391</v>
      </c>
      <c r="R163" s="199">
        <f t="shared" ca="1" si="55"/>
        <v>8.6857338322147672</v>
      </c>
      <c r="S163" s="199">
        <f t="shared" ca="1" si="55"/>
        <v>9.070739762885502</v>
      </c>
      <c r="T163" s="199">
        <f t="shared" ca="1" si="55"/>
        <v>9.2401423714894513</v>
      </c>
      <c r="U163" s="199">
        <f t="shared" ca="1" si="55"/>
        <v>9.4095449800651672</v>
      </c>
      <c r="V163" s="199">
        <f t="shared" ca="1" si="55"/>
        <v>9.6867492495782557</v>
      </c>
      <c r="W163" s="199">
        <f t="shared" ca="1" si="55"/>
        <v>10.025554468160395</v>
      </c>
      <c r="X163" s="199">
        <f t="shared" ca="1" si="55"/>
        <v>10.395160161242321</v>
      </c>
      <c r="Y163" s="199">
        <f t="shared" ca="1" si="55"/>
        <v>10.810966566090389</v>
      </c>
      <c r="Z163" s="199">
        <f t="shared" ca="1" si="55"/>
        <v>11.242173208150664</v>
      </c>
      <c r="AA163" s="199">
        <f t="shared" ca="1" si="55"/>
        <v>11.765781273767848</v>
      </c>
      <c r="AB163" s="199">
        <f t="shared" ca="1" si="55"/>
        <v>12.350990288385754</v>
      </c>
      <c r="AC163" s="199">
        <f t="shared" ca="1" si="55"/>
        <v>12.874598353869114</v>
      </c>
      <c r="AD163" s="199">
        <f t="shared" ca="1" si="55"/>
        <v>13.382806182026291</v>
      </c>
      <c r="AE163" s="199">
        <f t="shared" ca="1" si="55"/>
        <v>13.814012823816091</v>
      </c>
      <c r="AF163" s="199">
        <f t="shared" ca="1" si="55"/>
        <v>14.199018753777629</v>
      </c>
      <c r="AG163" s="199">
        <f t="shared" ca="1" si="55"/>
        <v>14.522423734663841</v>
      </c>
      <c r="AH163" s="199">
        <f t="shared" ca="1" si="55"/>
        <v>14.768827529231961</v>
      </c>
      <c r="AI163" s="199">
        <f t="shared" ca="1" si="55"/>
        <v>14.969030612008931</v>
      </c>
      <c r="AJ163" s="199">
        <f t="shared" ca="1" si="55"/>
        <v>15.123032983004594</v>
      </c>
      <c r="AK163" s="199">
        <f t="shared" ca="1" si="55"/>
        <v>15.292435591236574</v>
      </c>
      <c r="AL163" s="199">
        <f t="shared" ca="1" si="55"/>
        <v>15.461838199451497</v>
      </c>
      <c r="AM163" s="199">
        <f t="shared" ca="1" si="55"/>
        <v>17.956676625516959</v>
      </c>
      <c r="AN163" s="199">
        <f t="shared" ca="1" si="55"/>
        <v>22.869352297088664</v>
      </c>
      <c r="AO163" s="199">
        <f t="shared" ca="1" si="55"/>
        <v>29.873893520474962</v>
      </c>
      <c r="AP163" s="199">
        <f t="shared" ca="1" si="55"/>
        <v>37.281407618112191</v>
      </c>
    </row>
    <row r="164" spans="1:42">
      <c r="A164" s="61" t="str">
        <f>'[4]TS BYDem'!A103</f>
        <v>*</v>
      </c>
      <c r="B164" s="199" t="s">
        <v>288</v>
      </c>
      <c r="C164" s="199" t="s">
        <v>137</v>
      </c>
      <c r="D164" s="199" t="str">
        <f>'[4]TS BYDem'!D103</f>
        <v xml:space="preserve"> </v>
      </c>
      <c r="E164" s="199" t="s">
        <v>137</v>
      </c>
      <c r="F164" s="199" t="s">
        <v>137</v>
      </c>
      <c r="G164" s="199" t="s">
        <v>137</v>
      </c>
      <c r="H164" s="199" t="s">
        <v>137</v>
      </c>
      <c r="I164" s="199">
        <v>0</v>
      </c>
      <c r="J164" s="199" t="str">
        <f>INDEX('[4]TS BYDem'!$J$10:$J$203,MATCH(D164,'[4]TS BYDem'!$D$10:$D$203,0))</f>
        <v/>
      </c>
      <c r="K164" s="199" t="e">
        <f t="shared" ca="1" si="58"/>
        <v>#VALUE!</v>
      </c>
      <c r="L164" s="199" t="e">
        <f t="shared" ca="1" si="55"/>
        <v>#VALUE!</v>
      </c>
      <c r="M164" s="199" t="e">
        <f t="shared" ca="1" si="55"/>
        <v>#VALUE!</v>
      </c>
      <c r="N164" s="199" t="e">
        <f t="shared" ca="1" si="55"/>
        <v>#VALUE!</v>
      </c>
      <c r="O164" s="199" t="e">
        <f t="shared" ref="O164:AD172" ca="1" si="59">O$154/N$154*N164</f>
        <v>#VALUE!</v>
      </c>
      <c r="P164" s="199" t="e">
        <f t="shared" ca="1" si="59"/>
        <v>#VALUE!</v>
      </c>
      <c r="Q164" s="199" t="e">
        <f t="shared" ca="1" si="59"/>
        <v>#VALUE!</v>
      </c>
      <c r="R164" s="199" t="e">
        <f t="shared" ca="1" si="59"/>
        <v>#VALUE!</v>
      </c>
      <c r="S164" s="199" t="e">
        <f t="shared" ca="1" si="59"/>
        <v>#VALUE!</v>
      </c>
      <c r="T164" s="199" t="e">
        <f t="shared" ca="1" si="59"/>
        <v>#VALUE!</v>
      </c>
      <c r="U164" s="199" t="e">
        <f t="shared" ca="1" si="59"/>
        <v>#VALUE!</v>
      </c>
      <c r="V164" s="199" t="e">
        <f t="shared" ca="1" si="59"/>
        <v>#VALUE!</v>
      </c>
      <c r="W164" s="199" t="e">
        <f t="shared" ca="1" si="59"/>
        <v>#VALUE!</v>
      </c>
      <c r="X164" s="199" t="e">
        <f t="shared" ca="1" si="59"/>
        <v>#VALUE!</v>
      </c>
      <c r="Y164" s="199" t="e">
        <f t="shared" ca="1" si="59"/>
        <v>#VALUE!</v>
      </c>
      <c r="Z164" s="199" t="e">
        <f t="shared" ca="1" si="59"/>
        <v>#VALUE!</v>
      </c>
      <c r="AA164" s="199" t="e">
        <f t="shared" ca="1" si="59"/>
        <v>#VALUE!</v>
      </c>
      <c r="AB164" s="199" t="e">
        <f t="shared" ca="1" si="59"/>
        <v>#VALUE!</v>
      </c>
      <c r="AC164" s="199" t="e">
        <f t="shared" ca="1" si="59"/>
        <v>#VALUE!</v>
      </c>
      <c r="AD164" s="199" t="e">
        <f t="shared" ca="1" si="59"/>
        <v>#VALUE!</v>
      </c>
      <c r="AE164" s="199" t="e">
        <f t="shared" ref="AE164:AP172" ca="1" si="60">AE$154/AD$154*AD164</f>
        <v>#VALUE!</v>
      </c>
      <c r="AF164" s="199" t="e">
        <f t="shared" ca="1" si="60"/>
        <v>#VALUE!</v>
      </c>
      <c r="AG164" s="199" t="e">
        <f t="shared" ca="1" si="60"/>
        <v>#VALUE!</v>
      </c>
      <c r="AH164" s="199" t="e">
        <f t="shared" ca="1" si="60"/>
        <v>#VALUE!</v>
      </c>
      <c r="AI164" s="199" t="e">
        <f t="shared" ca="1" si="60"/>
        <v>#VALUE!</v>
      </c>
      <c r="AJ164" s="199" t="e">
        <f t="shared" ca="1" si="60"/>
        <v>#VALUE!</v>
      </c>
      <c r="AK164" s="199" t="e">
        <f t="shared" ca="1" si="60"/>
        <v>#VALUE!</v>
      </c>
      <c r="AL164" s="199" t="e">
        <f t="shared" ca="1" si="60"/>
        <v>#VALUE!</v>
      </c>
      <c r="AM164" s="199" t="e">
        <f t="shared" ca="1" si="60"/>
        <v>#VALUE!</v>
      </c>
      <c r="AN164" s="199" t="e">
        <f t="shared" ca="1" si="60"/>
        <v>#VALUE!</v>
      </c>
      <c r="AO164" s="199" t="e">
        <f t="shared" ca="1" si="60"/>
        <v>#VALUE!</v>
      </c>
      <c r="AP164" s="199" t="e">
        <f t="shared" ca="1" si="60"/>
        <v>#VALUE!</v>
      </c>
    </row>
    <row r="165" spans="1:42">
      <c r="A165" s="61" t="str">
        <f>'[4]TS BYDem'!A104</f>
        <v/>
      </c>
      <c r="B165" s="199" t="s">
        <v>288</v>
      </c>
      <c r="C165" s="199" t="s">
        <v>137</v>
      </c>
      <c r="D165" s="199" t="str">
        <f>'[4]TS BYDem'!D104</f>
        <v>INFS</v>
      </c>
      <c r="E165" s="199" t="s">
        <v>137</v>
      </c>
      <c r="F165" s="199" t="s">
        <v>137</v>
      </c>
      <c r="G165" s="199" t="s">
        <v>137</v>
      </c>
      <c r="H165" s="199" t="s">
        <v>137</v>
      </c>
      <c r="I165" s="199">
        <v>0</v>
      </c>
      <c r="J165" s="199">
        <f>INDEX('[4]TS BYDem'!$J$10:$J$203,MATCH(D165,'[4]TS BYDem'!$D$10:$D$203,0))</f>
        <v>2.487856608</v>
      </c>
      <c r="K165" s="199">
        <f t="shared" ca="1" si="58"/>
        <v>2.0744442339703264</v>
      </c>
      <c r="L165" s="199">
        <f t="shared" ca="1" si="58"/>
        <v>1.7865320449139466</v>
      </c>
      <c r="M165" s="206">
        <f t="shared" ref="M165" si="61">O165</f>
        <v>0.65368000000000004</v>
      </c>
      <c r="N165" s="206">
        <f t="shared" ref="N165" si="62">O165</f>
        <v>0.65368000000000004</v>
      </c>
      <c r="O165" s="206">
        <f>INDEX('[4]TS BYDem'!$O$10:$O$203,MATCH(D165,'[4]TS BYDem'!$D$10:$D$203,0))</f>
        <v>0.65368000000000004</v>
      </c>
      <c r="P165" s="199">
        <f t="shared" ca="1" si="59"/>
        <v>0.64051865771812089</v>
      </c>
      <c r="Q165" s="199">
        <f t="shared" ca="1" si="59"/>
        <v>0.60542174496644308</v>
      </c>
      <c r="R165" s="199">
        <f t="shared" ca="1" si="59"/>
        <v>0.49684067114093977</v>
      </c>
      <c r="S165" s="199">
        <f t="shared" ca="1" si="59"/>
        <v>0.51886375044348787</v>
      </c>
      <c r="T165" s="199">
        <f t="shared" ca="1" si="59"/>
        <v>0.52855390528563218</v>
      </c>
      <c r="U165" s="199">
        <f t="shared" ca="1" si="59"/>
        <v>0.53824406012616144</v>
      </c>
      <c r="V165" s="199">
        <f t="shared" ca="1" si="59"/>
        <v>0.5541006771914001</v>
      </c>
      <c r="W165" s="199">
        <f t="shared" ca="1" si="59"/>
        <v>0.57348098695429783</v>
      </c>
      <c r="X165" s="199">
        <f t="shared" ca="1" si="59"/>
        <v>0.59462314306403807</v>
      </c>
      <c r="Y165" s="199">
        <f t="shared" ca="1" si="59"/>
        <v>0.61840806869498355</v>
      </c>
      <c r="Z165" s="199">
        <f t="shared" ca="1" si="59"/>
        <v>0.64307391749719456</v>
      </c>
      <c r="AA165" s="199">
        <f t="shared" ca="1" si="59"/>
        <v>0.6730253053432248</v>
      </c>
      <c r="AB165" s="199">
        <f t="shared" ca="1" si="59"/>
        <v>0.70650038588300557</v>
      </c>
      <c r="AC165" s="199">
        <f t="shared" ca="1" si="59"/>
        <v>0.73645177372138082</v>
      </c>
      <c r="AD165" s="199">
        <f t="shared" ca="1" si="59"/>
        <v>0.76552223838197098</v>
      </c>
      <c r="AE165" s="199">
        <f t="shared" ca="1" si="60"/>
        <v>0.79018808716871025</v>
      </c>
      <c r="AF165" s="199">
        <f t="shared" ca="1" si="60"/>
        <v>0.81221116643069091</v>
      </c>
      <c r="AG165" s="199">
        <f t="shared" ca="1" si="60"/>
        <v>0.83071055299465335</v>
      </c>
      <c r="AH165" s="199">
        <f t="shared" ca="1" si="60"/>
        <v>0.84480532368758421</v>
      </c>
      <c r="AI165" s="199">
        <f t="shared" ca="1" si="60"/>
        <v>0.85625732485787931</v>
      </c>
      <c r="AJ165" s="199">
        <f t="shared" ca="1" si="60"/>
        <v>0.86506655650610165</v>
      </c>
      <c r="AK165" s="199">
        <f t="shared" ca="1" si="60"/>
        <v>0.87475671132696853</v>
      </c>
      <c r="AL165" s="199">
        <f t="shared" ca="1" si="60"/>
        <v>0.88444686614685974</v>
      </c>
      <c r="AM165" s="199">
        <f t="shared" ca="1" si="60"/>
        <v>1.0271564197596144</v>
      </c>
      <c r="AN165" s="199">
        <f t="shared" ca="1" si="60"/>
        <v>1.3081709114435107</v>
      </c>
      <c r="AO165" s="199">
        <f t="shared" ca="1" si="60"/>
        <v>1.7088441337283147</v>
      </c>
      <c r="AP165" s="199">
        <f t="shared" ca="1" si="60"/>
        <v>2.1325681790249691</v>
      </c>
    </row>
    <row r="166" spans="1:42">
      <c r="A166" s="61" t="str">
        <f>'[4]TS BYDem'!A105</f>
        <v>*</v>
      </c>
      <c r="B166" s="199" t="s">
        <v>288</v>
      </c>
      <c r="C166" s="199" t="s">
        <v>137</v>
      </c>
      <c r="D166" s="199" t="str">
        <f>'[4]TS BYDem'!D105</f>
        <v>INFS</v>
      </c>
      <c r="E166" s="199" t="s">
        <v>137</v>
      </c>
      <c r="F166" s="199" t="s">
        <v>137</v>
      </c>
      <c r="G166" s="199" t="s">
        <v>137</v>
      </c>
      <c r="H166" s="199" t="s">
        <v>137</v>
      </c>
      <c r="I166" s="199">
        <v>0</v>
      </c>
      <c r="J166" s="199">
        <f>INDEX('[4]TS BYDem'!$J$10:$J$203,MATCH(D166,'[4]TS BYDem'!$D$10:$D$203,0))</f>
        <v>2.487856608</v>
      </c>
      <c r="K166" s="199">
        <f t="shared" ca="1" si="58"/>
        <v>2.0744442339703264</v>
      </c>
      <c r="L166" s="199">
        <f t="shared" ca="1" si="58"/>
        <v>1.7865320449139466</v>
      </c>
      <c r="M166" s="199">
        <f t="shared" ca="1" si="58"/>
        <v>1.6856397393471809</v>
      </c>
      <c r="N166" s="199">
        <f t="shared" ca="1" si="58"/>
        <v>1.5822866458397624</v>
      </c>
      <c r="O166" s="199">
        <f t="shared" ca="1" si="59"/>
        <v>1.4666296126290801</v>
      </c>
      <c r="P166" s="199">
        <f t="shared" ca="1" si="59"/>
        <v>1.4371001573412463</v>
      </c>
      <c r="Q166" s="199">
        <f t="shared" ca="1" si="59"/>
        <v>1.3583549432403561</v>
      </c>
      <c r="R166" s="199">
        <f t="shared" ca="1" si="59"/>
        <v>1.1147369371157272</v>
      </c>
      <c r="S166" s="199">
        <f t="shared" ca="1" si="59"/>
        <v>1.164149035185724</v>
      </c>
      <c r="T166" s="199">
        <f t="shared" ca="1" si="59"/>
        <v>1.1858903582221483</v>
      </c>
      <c r="U166" s="199">
        <f t="shared" ca="1" si="59"/>
        <v>1.207631681254949</v>
      </c>
      <c r="V166" s="199">
        <f t="shared" ca="1" si="59"/>
        <v>1.2432083917922128</v>
      </c>
      <c r="W166" s="199">
        <f t="shared" ca="1" si="59"/>
        <v>1.2866910380414329</v>
      </c>
      <c r="X166" s="199">
        <f t="shared" ca="1" si="59"/>
        <v>1.3341266521421731</v>
      </c>
      <c r="Y166" s="199">
        <f t="shared" ca="1" si="59"/>
        <v>1.3874917180223056</v>
      </c>
      <c r="Z166" s="199">
        <f t="shared" ca="1" si="59"/>
        <v>1.4428332678233615</v>
      </c>
      <c r="AA166" s="199">
        <f t="shared" ca="1" si="59"/>
        <v>1.5100337211863628</v>
      </c>
      <c r="AB166" s="199">
        <f t="shared" ca="1" si="59"/>
        <v>1.5851401102525511</v>
      </c>
      <c r="AC166" s="199">
        <f t="shared" ca="1" si="59"/>
        <v>1.6523405635983772</v>
      </c>
      <c r="AD166" s="199">
        <f t="shared" ca="1" si="59"/>
        <v>1.7175645330086524</v>
      </c>
      <c r="AE166" s="199">
        <f t="shared" ca="1" si="60"/>
        <v>1.7729060827749952</v>
      </c>
      <c r="AF166" s="199">
        <f t="shared" ca="1" si="60"/>
        <v>1.822318180753973</v>
      </c>
      <c r="AG166" s="199">
        <f t="shared" ca="1" si="60"/>
        <v>1.8638243430201886</v>
      </c>
      <c r="AH166" s="199">
        <f t="shared" ca="1" si="60"/>
        <v>1.8954480856487974</v>
      </c>
      <c r="AI166" s="199">
        <f t="shared" ca="1" si="60"/>
        <v>1.9211423764948041</v>
      </c>
      <c r="AJ166" s="199">
        <f t="shared" ca="1" si="60"/>
        <v>1.940907215559472</v>
      </c>
      <c r="AK166" s="199">
        <f t="shared" ca="1" si="60"/>
        <v>1.9626485385481574</v>
      </c>
      <c r="AL166" s="199">
        <f t="shared" ca="1" si="60"/>
        <v>1.9843898615346536</v>
      </c>
      <c r="AM166" s="199">
        <f t="shared" ca="1" si="60"/>
        <v>2.3045802564274807</v>
      </c>
      <c r="AN166" s="199">
        <f t="shared" ca="1" si="60"/>
        <v>2.9350786273146285</v>
      </c>
      <c r="AO166" s="199">
        <f t="shared" ca="1" si="60"/>
        <v>3.8340493970955722</v>
      </c>
      <c r="AP166" s="199">
        <f t="shared" ca="1" si="60"/>
        <v>4.7847381628755548</v>
      </c>
    </row>
    <row r="167" spans="1:42">
      <c r="A167" s="61" t="str">
        <f>'[4]TS BYDem'!A106</f>
        <v>*</v>
      </c>
      <c r="B167" s="199" t="s">
        <v>288</v>
      </c>
      <c r="C167" s="199" t="s">
        <v>137</v>
      </c>
      <c r="D167" s="199" t="str">
        <f>'[4]TS BYDem'!D106</f>
        <v>INFS</v>
      </c>
      <c r="E167" s="199" t="s">
        <v>137</v>
      </c>
      <c r="F167" s="199" t="s">
        <v>137</v>
      </c>
      <c r="G167" s="199" t="s">
        <v>137</v>
      </c>
      <c r="H167" s="199" t="s">
        <v>137</v>
      </c>
      <c r="I167" s="199">
        <v>0</v>
      </c>
      <c r="J167" s="199">
        <f>INDEX('[4]TS BYDem'!$J$10:$J$203,MATCH(D167,'[4]TS BYDem'!$D$10:$D$203,0))</f>
        <v>2.487856608</v>
      </c>
      <c r="K167" s="199">
        <f t="shared" ca="1" si="58"/>
        <v>2.0744442339703264</v>
      </c>
      <c r="L167" s="199">
        <f t="shared" ca="1" si="58"/>
        <v>1.7865320449139466</v>
      </c>
      <c r="M167" s="199">
        <f t="shared" ca="1" si="58"/>
        <v>1.6856397393471809</v>
      </c>
      <c r="N167" s="199">
        <f t="shared" ca="1" si="58"/>
        <v>1.5822866458397624</v>
      </c>
      <c r="O167" s="199">
        <f t="shared" ca="1" si="59"/>
        <v>1.4666296126290801</v>
      </c>
      <c r="P167" s="199">
        <f t="shared" ca="1" si="59"/>
        <v>1.4371001573412463</v>
      </c>
      <c r="Q167" s="199">
        <f t="shared" ca="1" si="59"/>
        <v>1.3583549432403561</v>
      </c>
      <c r="R167" s="199">
        <f t="shared" ca="1" si="59"/>
        <v>1.1147369371157272</v>
      </c>
      <c r="S167" s="199">
        <f t="shared" ca="1" si="59"/>
        <v>1.164149035185724</v>
      </c>
      <c r="T167" s="199">
        <f t="shared" ca="1" si="59"/>
        <v>1.1858903582221483</v>
      </c>
      <c r="U167" s="199">
        <f t="shared" ca="1" si="59"/>
        <v>1.207631681254949</v>
      </c>
      <c r="V167" s="199">
        <f t="shared" ca="1" si="59"/>
        <v>1.2432083917922128</v>
      </c>
      <c r="W167" s="199">
        <f t="shared" ca="1" si="59"/>
        <v>1.2866910380414329</v>
      </c>
      <c r="X167" s="199">
        <f t="shared" ca="1" si="59"/>
        <v>1.3341266521421731</v>
      </c>
      <c r="Y167" s="199">
        <f t="shared" ca="1" si="59"/>
        <v>1.3874917180223056</v>
      </c>
      <c r="Z167" s="199">
        <f t="shared" ca="1" si="59"/>
        <v>1.4428332678233615</v>
      </c>
      <c r="AA167" s="199">
        <f t="shared" ca="1" si="59"/>
        <v>1.5100337211863628</v>
      </c>
      <c r="AB167" s="199">
        <f t="shared" ca="1" si="59"/>
        <v>1.5851401102525511</v>
      </c>
      <c r="AC167" s="199">
        <f t="shared" ca="1" si="59"/>
        <v>1.6523405635983772</v>
      </c>
      <c r="AD167" s="199">
        <f t="shared" ca="1" si="59"/>
        <v>1.7175645330086524</v>
      </c>
      <c r="AE167" s="199">
        <f t="shared" ca="1" si="60"/>
        <v>1.7729060827749952</v>
      </c>
      <c r="AF167" s="199">
        <f t="shared" ca="1" si="60"/>
        <v>1.822318180753973</v>
      </c>
      <c r="AG167" s="199">
        <f t="shared" ca="1" si="60"/>
        <v>1.8638243430201886</v>
      </c>
      <c r="AH167" s="199">
        <f t="shared" ca="1" si="60"/>
        <v>1.8954480856487974</v>
      </c>
      <c r="AI167" s="199">
        <f t="shared" ca="1" si="60"/>
        <v>1.9211423764948041</v>
      </c>
      <c r="AJ167" s="199">
        <f t="shared" ca="1" si="60"/>
        <v>1.940907215559472</v>
      </c>
      <c r="AK167" s="199">
        <f t="shared" ca="1" si="60"/>
        <v>1.9626485385481574</v>
      </c>
      <c r="AL167" s="199">
        <f t="shared" ca="1" si="60"/>
        <v>1.9843898615346536</v>
      </c>
      <c r="AM167" s="199">
        <f t="shared" ca="1" si="60"/>
        <v>2.3045802564274807</v>
      </c>
      <c r="AN167" s="199">
        <f t="shared" ca="1" si="60"/>
        <v>2.9350786273146285</v>
      </c>
      <c r="AO167" s="199">
        <f t="shared" ca="1" si="60"/>
        <v>3.8340493970955722</v>
      </c>
      <c r="AP167" s="199">
        <f t="shared" ca="1" si="60"/>
        <v>4.7847381628755548</v>
      </c>
    </row>
    <row r="168" spans="1:42">
      <c r="A168" s="61" t="str">
        <f>'[4]TS BYDem'!A107</f>
        <v>*</v>
      </c>
      <c r="B168" s="199" t="s">
        <v>288</v>
      </c>
      <c r="C168" s="199" t="s">
        <v>137</v>
      </c>
      <c r="D168" s="199" t="str">
        <f>'[4]TS BYDem'!D107</f>
        <v>INFS</v>
      </c>
      <c r="E168" s="199" t="s">
        <v>137</v>
      </c>
      <c r="F168" s="199" t="s">
        <v>137</v>
      </c>
      <c r="G168" s="199" t="s">
        <v>137</v>
      </c>
      <c r="H168" s="199" t="s">
        <v>137</v>
      </c>
      <c r="I168" s="199">
        <v>0</v>
      </c>
      <c r="J168" s="199">
        <f>INDEX('[4]TS BYDem'!$J$10:$J$203,MATCH(D168,'[4]TS BYDem'!$D$10:$D$203,0))</f>
        <v>2.487856608</v>
      </c>
      <c r="K168" s="199">
        <f t="shared" ca="1" si="58"/>
        <v>2.0744442339703264</v>
      </c>
      <c r="L168" s="199">
        <f t="shared" ca="1" si="58"/>
        <v>1.7865320449139466</v>
      </c>
      <c r="M168" s="199">
        <f t="shared" ca="1" si="58"/>
        <v>1.6856397393471809</v>
      </c>
      <c r="N168" s="199">
        <f t="shared" ca="1" si="58"/>
        <v>1.5822866458397624</v>
      </c>
      <c r="O168" s="199">
        <f t="shared" ca="1" si="59"/>
        <v>1.4666296126290801</v>
      </c>
      <c r="P168" s="199">
        <f t="shared" ca="1" si="59"/>
        <v>1.4371001573412463</v>
      </c>
      <c r="Q168" s="199">
        <f t="shared" ca="1" si="59"/>
        <v>1.3583549432403561</v>
      </c>
      <c r="R168" s="199">
        <f t="shared" ca="1" si="59"/>
        <v>1.1147369371157272</v>
      </c>
      <c r="S168" s="199">
        <f t="shared" ca="1" si="59"/>
        <v>1.164149035185724</v>
      </c>
      <c r="T168" s="199">
        <f t="shared" ca="1" si="59"/>
        <v>1.1858903582221483</v>
      </c>
      <c r="U168" s="199">
        <f t="shared" ca="1" si="59"/>
        <v>1.207631681254949</v>
      </c>
      <c r="V168" s="199">
        <f t="shared" ca="1" si="59"/>
        <v>1.2432083917922128</v>
      </c>
      <c r="W168" s="199">
        <f t="shared" ca="1" si="59"/>
        <v>1.2866910380414329</v>
      </c>
      <c r="X168" s="199">
        <f t="shared" ca="1" si="59"/>
        <v>1.3341266521421731</v>
      </c>
      <c r="Y168" s="199">
        <f t="shared" ca="1" si="59"/>
        <v>1.3874917180223056</v>
      </c>
      <c r="Z168" s="199">
        <f t="shared" ca="1" si="59"/>
        <v>1.4428332678233615</v>
      </c>
      <c r="AA168" s="199">
        <f t="shared" ca="1" si="59"/>
        <v>1.5100337211863628</v>
      </c>
      <c r="AB168" s="199">
        <f t="shared" ca="1" si="59"/>
        <v>1.5851401102525511</v>
      </c>
      <c r="AC168" s="199">
        <f t="shared" ca="1" si="59"/>
        <v>1.6523405635983772</v>
      </c>
      <c r="AD168" s="199">
        <f t="shared" ca="1" si="59"/>
        <v>1.7175645330086524</v>
      </c>
      <c r="AE168" s="199">
        <f t="shared" ca="1" si="60"/>
        <v>1.7729060827749952</v>
      </c>
      <c r="AF168" s="199">
        <f t="shared" ca="1" si="60"/>
        <v>1.822318180753973</v>
      </c>
      <c r="AG168" s="199">
        <f t="shared" ca="1" si="60"/>
        <v>1.8638243430201886</v>
      </c>
      <c r="AH168" s="199">
        <f t="shared" ca="1" si="60"/>
        <v>1.8954480856487974</v>
      </c>
      <c r="AI168" s="199">
        <f t="shared" ca="1" si="60"/>
        <v>1.9211423764948041</v>
      </c>
      <c r="AJ168" s="199">
        <f t="shared" ca="1" si="60"/>
        <v>1.940907215559472</v>
      </c>
      <c r="AK168" s="199">
        <f t="shared" ca="1" si="60"/>
        <v>1.9626485385481574</v>
      </c>
      <c r="AL168" s="199">
        <f t="shared" ca="1" si="60"/>
        <v>1.9843898615346536</v>
      </c>
      <c r="AM168" s="199">
        <f t="shared" ca="1" si="60"/>
        <v>2.3045802564274807</v>
      </c>
      <c r="AN168" s="199">
        <f t="shared" ca="1" si="60"/>
        <v>2.9350786273146285</v>
      </c>
      <c r="AO168" s="199">
        <f t="shared" ca="1" si="60"/>
        <v>3.8340493970955722</v>
      </c>
      <c r="AP168" s="199">
        <f t="shared" ca="1" si="60"/>
        <v>4.7847381628755548</v>
      </c>
    </row>
    <row r="169" spans="1:42">
      <c r="A169" s="61" t="str">
        <f>'[4]TS BYDem'!A108</f>
        <v>*</v>
      </c>
      <c r="B169" s="199" t="s">
        <v>288</v>
      </c>
      <c r="C169" s="199" t="s">
        <v>137</v>
      </c>
      <c r="D169" s="199" t="str">
        <f>'[4]TS BYDem'!D108</f>
        <v>INFS</v>
      </c>
      <c r="E169" s="199" t="s">
        <v>137</v>
      </c>
      <c r="F169" s="199" t="s">
        <v>137</v>
      </c>
      <c r="G169" s="199" t="s">
        <v>137</v>
      </c>
      <c r="H169" s="199" t="s">
        <v>137</v>
      </c>
      <c r="I169" s="199">
        <v>0</v>
      </c>
      <c r="J169" s="199">
        <f>INDEX('[4]TS BYDem'!$J$10:$J$203,MATCH(D169,'[4]TS BYDem'!$D$10:$D$203,0))</f>
        <v>2.487856608</v>
      </c>
      <c r="K169" s="199">
        <f t="shared" ca="1" si="58"/>
        <v>2.0744442339703264</v>
      </c>
      <c r="L169" s="199">
        <f t="shared" ca="1" si="58"/>
        <v>1.7865320449139466</v>
      </c>
      <c r="M169" s="199">
        <f t="shared" ca="1" si="58"/>
        <v>1.6856397393471809</v>
      </c>
      <c r="N169" s="199">
        <f t="shared" ca="1" si="58"/>
        <v>1.5822866458397624</v>
      </c>
      <c r="O169" s="199">
        <f t="shared" ca="1" si="59"/>
        <v>1.4666296126290801</v>
      </c>
      <c r="P169" s="199">
        <f t="shared" ca="1" si="59"/>
        <v>1.4371001573412463</v>
      </c>
      <c r="Q169" s="199">
        <f t="shared" ca="1" si="59"/>
        <v>1.3583549432403561</v>
      </c>
      <c r="R169" s="199">
        <f t="shared" ca="1" si="59"/>
        <v>1.1147369371157272</v>
      </c>
      <c r="S169" s="199">
        <f t="shared" ca="1" si="59"/>
        <v>1.164149035185724</v>
      </c>
      <c r="T169" s="199">
        <f t="shared" ca="1" si="59"/>
        <v>1.1858903582221483</v>
      </c>
      <c r="U169" s="199">
        <f t="shared" ca="1" si="59"/>
        <v>1.207631681254949</v>
      </c>
      <c r="V169" s="199">
        <f t="shared" ca="1" si="59"/>
        <v>1.2432083917922128</v>
      </c>
      <c r="W169" s="199">
        <f t="shared" ca="1" si="59"/>
        <v>1.2866910380414329</v>
      </c>
      <c r="X169" s="199">
        <f t="shared" ca="1" si="59"/>
        <v>1.3341266521421731</v>
      </c>
      <c r="Y169" s="199">
        <f t="shared" ca="1" si="59"/>
        <v>1.3874917180223056</v>
      </c>
      <c r="Z169" s="199">
        <f t="shared" ca="1" si="59"/>
        <v>1.4428332678233615</v>
      </c>
      <c r="AA169" s="199">
        <f t="shared" ca="1" si="59"/>
        <v>1.5100337211863628</v>
      </c>
      <c r="AB169" s="199">
        <f t="shared" ca="1" si="59"/>
        <v>1.5851401102525511</v>
      </c>
      <c r="AC169" s="199">
        <f t="shared" ca="1" si="59"/>
        <v>1.6523405635983772</v>
      </c>
      <c r="AD169" s="199">
        <f t="shared" ca="1" si="59"/>
        <v>1.7175645330086524</v>
      </c>
      <c r="AE169" s="199">
        <f t="shared" ca="1" si="60"/>
        <v>1.7729060827749952</v>
      </c>
      <c r="AF169" s="199">
        <f t="shared" ca="1" si="60"/>
        <v>1.822318180753973</v>
      </c>
      <c r="AG169" s="199">
        <f t="shared" ca="1" si="60"/>
        <v>1.8638243430201886</v>
      </c>
      <c r="AH169" s="199">
        <f t="shared" ca="1" si="60"/>
        <v>1.8954480856487974</v>
      </c>
      <c r="AI169" s="199">
        <f t="shared" ca="1" si="60"/>
        <v>1.9211423764948041</v>
      </c>
      <c r="AJ169" s="199">
        <f t="shared" ca="1" si="60"/>
        <v>1.940907215559472</v>
      </c>
      <c r="AK169" s="199">
        <f t="shared" ca="1" si="60"/>
        <v>1.9626485385481574</v>
      </c>
      <c r="AL169" s="199">
        <f t="shared" ca="1" si="60"/>
        <v>1.9843898615346536</v>
      </c>
      <c r="AM169" s="199">
        <f t="shared" ca="1" si="60"/>
        <v>2.3045802564274807</v>
      </c>
      <c r="AN169" s="199">
        <f t="shared" ca="1" si="60"/>
        <v>2.9350786273146285</v>
      </c>
      <c r="AO169" s="199">
        <f t="shared" ca="1" si="60"/>
        <v>3.8340493970955722</v>
      </c>
      <c r="AP169" s="199">
        <f t="shared" ca="1" si="60"/>
        <v>4.7847381628755548</v>
      </c>
    </row>
    <row r="170" spans="1:42">
      <c r="A170" s="61" t="str">
        <f>'[4]TS BYDem'!A109</f>
        <v>*</v>
      </c>
      <c r="B170" s="199" t="s">
        <v>288</v>
      </c>
      <c r="C170" s="199" t="s">
        <v>137</v>
      </c>
      <c r="D170" s="199" t="str">
        <f>'[4]TS BYDem'!D109</f>
        <v>INFS</v>
      </c>
      <c r="E170" s="199" t="s">
        <v>137</v>
      </c>
      <c r="F170" s="199" t="s">
        <v>137</v>
      </c>
      <c r="G170" s="199" t="s">
        <v>137</v>
      </c>
      <c r="H170" s="199" t="s">
        <v>137</v>
      </c>
      <c r="I170" s="199">
        <v>0</v>
      </c>
      <c r="J170" s="199">
        <f>INDEX('[4]TS BYDem'!$J$10:$J$203,MATCH(D170,'[4]TS BYDem'!$D$10:$D$203,0))</f>
        <v>2.487856608</v>
      </c>
      <c r="K170" s="199">
        <f t="shared" ca="1" si="58"/>
        <v>2.0744442339703264</v>
      </c>
      <c r="L170" s="199">
        <f t="shared" ca="1" si="58"/>
        <v>1.7865320449139466</v>
      </c>
      <c r="M170" s="199">
        <f t="shared" ca="1" si="58"/>
        <v>1.6856397393471809</v>
      </c>
      <c r="N170" s="199">
        <f t="shared" ca="1" si="58"/>
        <v>1.5822866458397624</v>
      </c>
      <c r="O170" s="199">
        <f t="shared" ca="1" si="59"/>
        <v>1.4666296126290801</v>
      </c>
      <c r="P170" s="199">
        <f t="shared" ca="1" si="59"/>
        <v>1.4371001573412463</v>
      </c>
      <c r="Q170" s="199">
        <f t="shared" ca="1" si="59"/>
        <v>1.3583549432403561</v>
      </c>
      <c r="R170" s="199">
        <f t="shared" ca="1" si="59"/>
        <v>1.1147369371157272</v>
      </c>
      <c r="S170" s="199">
        <f t="shared" ca="1" si="59"/>
        <v>1.164149035185724</v>
      </c>
      <c r="T170" s="199">
        <f t="shared" ca="1" si="59"/>
        <v>1.1858903582221483</v>
      </c>
      <c r="U170" s="199">
        <f t="shared" ca="1" si="59"/>
        <v>1.207631681254949</v>
      </c>
      <c r="V170" s="199">
        <f t="shared" ca="1" si="59"/>
        <v>1.2432083917922128</v>
      </c>
      <c r="W170" s="199">
        <f t="shared" ca="1" si="59"/>
        <v>1.2866910380414329</v>
      </c>
      <c r="X170" s="199">
        <f t="shared" ca="1" si="59"/>
        <v>1.3341266521421731</v>
      </c>
      <c r="Y170" s="199">
        <f t="shared" ca="1" si="59"/>
        <v>1.3874917180223056</v>
      </c>
      <c r="Z170" s="199">
        <f t="shared" ca="1" si="59"/>
        <v>1.4428332678233615</v>
      </c>
      <c r="AA170" s="199">
        <f t="shared" ca="1" si="59"/>
        <v>1.5100337211863628</v>
      </c>
      <c r="AB170" s="199">
        <f t="shared" ca="1" si="59"/>
        <v>1.5851401102525511</v>
      </c>
      <c r="AC170" s="199">
        <f t="shared" ca="1" si="59"/>
        <v>1.6523405635983772</v>
      </c>
      <c r="AD170" s="199">
        <f t="shared" ca="1" si="59"/>
        <v>1.7175645330086524</v>
      </c>
      <c r="AE170" s="199">
        <f t="shared" ca="1" si="60"/>
        <v>1.7729060827749952</v>
      </c>
      <c r="AF170" s="199">
        <f t="shared" ca="1" si="60"/>
        <v>1.822318180753973</v>
      </c>
      <c r="AG170" s="199">
        <f t="shared" ca="1" si="60"/>
        <v>1.8638243430201886</v>
      </c>
      <c r="AH170" s="199">
        <f t="shared" ca="1" si="60"/>
        <v>1.8954480856487974</v>
      </c>
      <c r="AI170" s="199">
        <f t="shared" ca="1" si="60"/>
        <v>1.9211423764948041</v>
      </c>
      <c r="AJ170" s="199">
        <f t="shared" ca="1" si="60"/>
        <v>1.940907215559472</v>
      </c>
      <c r="AK170" s="199">
        <f t="shared" ca="1" si="60"/>
        <v>1.9626485385481574</v>
      </c>
      <c r="AL170" s="199">
        <f t="shared" ca="1" si="60"/>
        <v>1.9843898615346536</v>
      </c>
      <c r="AM170" s="199">
        <f t="shared" ca="1" si="60"/>
        <v>2.3045802564274807</v>
      </c>
      <c r="AN170" s="199">
        <f t="shared" ca="1" si="60"/>
        <v>2.9350786273146285</v>
      </c>
      <c r="AO170" s="199">
        <f t="shared" ca="1" si="60"/>
        <v>3.8340493970955722</v>
      </c>
      <c r="AP170" s="199">
        <f t="shared" ca="1" si="60"/>
        <v>4.7847381628755548</v>
      </c>
    </row>
    <row r="171" spans="1:42">
      <c r="A171" s="61" t="str">
        <f>'[4]TS BYDem'!A110</f>
        <v>*</v>
      </c>
      <c r="B171" s="199" t="s">
        <v>288</v>
      </c>
      <c r="C171" s="199" t="s">
        <v>137</v>
      </c>
      <c r="D171" s="199" t="str">
        <f>'[4]TS BYDem'!D110</f>
        <v>Useful Energy Service</v>
      </c>
      <c r="E171" s="199" t="s">
        <v>137</v>
      </c>
      <c r="F171" s="199" t="s">
        <v>137</v>
      </c>
      <c r="G171" s="199" t="s">
        <v>137</v>
      </c>
      <c r="H171" s="199" t="s">
        <v>137</v>
      </c>
      <c r="I171" s="199">
        <v>0</v>
      </c>
      <c r="J171" s="199" t="str">
        <f>INDEX('[4]TS BYDem'!$J$10:$J$203,MATCH(D171,'[4]TS BYDem'!$D$10:$D$203,0))</f>
        <v/>
      </c>
      <c r="K171" s="199" t="e">
        <f t="shared" ca="1" si="58"/>
        <v>#VALUE!</v>
      </c>
      <c r="L171" s="199" t="e">
        <f t="shared" ca="1" si="58"/>
        <v>#VALUE!</v>
      </c>
      <c r="M171" s="199" t="e">
        <f t="shared" ca="1" si="58"/>
        <v>#VALUE!</v>
      </c>
      <c r="N171" s="199" t="e">
        <f t="shared" ca="1" si="58"/>
        <v>#VALUE!</v>
      </c>
      <c r="O171" s="199" t="e">
        <f t="shared" ca="1" si="59"/>
        <v>#VALUE!</v>
      </c>
      <c r="P171" s="199" t="e">
        <f t="shared" ca="1" si="59"/>
        <v>#VALUE!</v>
      </c>
      <c r="Q171" s="199" t="e">
        <f t="shared" ca="1" si="59"/>
        <v>#VALUE!</v>
      </c>
      <c r="R171" s="199" t="e">
        <f t="shared" ca="1" si="59"/>
        <v>#VALUE!</v>
      </c>
      <c r="S171" s="199" t="e">
        <f t="shared" ca="1" si="59"/>
        <v>#VALUE!</v>
      </c>
      <c r="T171" s="199" t="e">
        <f t="shared" ca="1" si="59"/>
        <v>#VALUE!</v>
      </c>
      <c r="U171" s="199" t="e">
        <f t="shared" ca="1" si="59"/>
        <v>#VALUE!</v>
      </c>
      <c r="V171" s="199" t="e">
        <f t="shared" ca="1" si="59"/>
        <v>#VALUE!</v>
      </c>
      <c r="W171" s="199" t="e">
        <f t="shared" ca="1" si="59"/>
        <v>#VALUE!</v>
      </c>
      <c r="X171" s="199" t="e">
        <f t="shared" ca="1" si="59"/>
        <v>#VALUE!</v>
      </c>
      <c r="Y171" s="199" t="e">
        <f t="shared" ca="1" si="59"/>
        <v>#VALUE!</v>
      </c>
      <c r="Z171" s="199" t="e">
        <f t="shared" ca="1" si="59"/>
        <v>#VALUE!</v>
      </c>
      <c r="AA171" s="199" t="e">
        <f t="shared" ca="1" si="59"/>
        <v>#VALUE!</v>
      </c>
      <c r="AB171" s="199" t="e">
        <f t="shared" ca="1" si="59"/>
        <v>#VALUE!</v>
      </c>
      <c r="AC171" s="199" t="e">
        <f t="shared" ca="1" si="59"/>
        <v>#VALUE!</v>
      </c>
      <c r="AD171" s="199" t="e">
        <f t="shared" ca="1" si="59"/>
        <v>#VALUE!</v>
      </c>
      <c r="AE171" s="199" t="e">
        <f t="shared" ca="1" si="60"/>
        <v>#VALUE!</v>
      </c>
      <c r="AF171" s="199" t="e">
        <f t="shared" ca="1" si="60"/>
        <v>#VALUE!</v>
      </c>
      <c r="AG171" s="199" t="e">
        <f t="shared" ca="1" si="60"/>
        <v>#VALUE!</v>
      </c>
      <c r="AH171" s="199" t="e">
        <f t="shared" ca="1" si="60"/>
        <v>#VALUE!</v>
      </c>
      <c r="AI171" s="199" t="e">
        <f t="shared" ca="1" si="60"/>
        <v>#VALUE!</v>
      </c>
      <c r="AJ171" s="199" t="e">
        <f t="shared" ca="1" si="60"/>
        <v>#VALUE!</v>
      </c>
      <c r="AK171" s="199" t="e">
        <f t="shared" ca="1" si="60"/>
        <v>#VALUE!</v>
      </c>
      <c r="AL171" s="199" t="e">
        <f t="shared" ca="1" si="60"/>
        <v>#VALUE!</v>
      </c>
      <c r="AM171" s="199" t="e">
        <f t="shared" ca="1" si="60"/>
        <v>#VALUE!</v>
      </c>
      <c r="AN171" s="199" t="e">
        <f t="shared" ca="1" si="60"/>
        <v>#VALUE!</v>
      </c>
      <c r="AO171" s="199" t="e">
        <f t="shared" ca="1" si="60"/>
        <v>#VALUE!</v>
      </c>
      <c r="AP171" s="199" t="e">
        <f t="shared" ca="1" si="60"/>
        <v>#VALUE!</v>
      </c>
    </row>
    <row r="172" spans="1:42">
      <c r="A172" s="61" t="str">
        <f>'[4]TS BYDem'!A111</f>
        <v>*</v>
      </c>
      <c r="B172" s="199" t="s">
        <v>288</v>
      </c>
      <c r="C172" s="199" t="s">
        <v>137</v>
      </c>
      <c r="D172" s="199">
        <f>'[4]TS BYDem'!D111</f>
        <v>0</v>
      </c>
      <c r="E172" s="199" t="s">
        <v>137</v>
      </c>
      <c r="F172" s="199" t="s">
        <v>137</v>
      </c>
      <c r="G172" s="199" t="s">
        <v>137</v>
      </c>
      <c r="H172" s="199" t="s">
        <v>137</v>
      </c>
      <c r="I172" s="199">
        <v>0</v>
      </c>
      <c r="J172" s="199" t="str">
        <f>INDEX('[4]TS BYDem'!$J$10:$J$203,MATCH(D172,'[4]TS BYDem'!$D$10:$D$203,0))</f>
        <v/>
      </c>
      <c r="K172" s="199" t="e">
        <f t="shared" ca="1" si="58"/>
        <v>#VALUE!</v>
      </c>
      <c r="L172" s="199" t="e">
        <f t="shared" ca="1" si="58"/>
        <v>#VALUE!</v>
      </c>
      <c r="M172" s="199" t="e">
        <f t="shared" ca="1" si="58"/>
        <v>#VALUE!</v>
      </c>
      <c r="N172" s="199" t="e">
        <f t="shared" ca="1" si="58"/>
        <v>#VALUE!</v>
      </c>
      <c r="O172" s="199" t="e">
        <f t="shared" ca="1" si="59"/>
        <v>#VALUE!</v>
      </c>
      <c r="P172" s="199" t="e">
        <f t="shared" ca="1" si="59"/>
        <v>#VALUE!</v>
      </c>
      <c r="Q172" s="199" t="e">
        <f t="shared" ca="1" si="59"/>
        <v>#VALUE!</v>
      </c>
      <c r="R172" s="199" t="e">
        <f t="shared" ca="1" si="59"/>
        <v>#VALUE!</v>
      </c>
      <c r="S172" s="199" t="e">
        <f t="shared" ca="1" si="59"/>
        <v>#VALUE!</v>
      </c>
      <c r="T172" s="199" t="e">
        <f t="shared" ca="1" si="59"/>
        <v>#VALUE!</v>
      </c>
      <c r="U172" s="199" t="e">
        <f t="shared" ca="1" si="59"/>
        <v>#VALUE!</v>
      </c>
      <c r="V172" s="199" t="e">
        <f t="shared" ca="1" si="59"/>
        <v>#VALUE!</v>
      </c>
      <c r="W172" s="199" t="e">
        <f t="shared" ca="1" si="59"/>
        <v>#VALUE!</v>
      </c>
      <c r="X172" s="199" t="e">
        <f t="shared" ca="1" si="59"/>
        <v>#VALUE!</v>
      </c>
      <c r="Y172" s="199" t="e">
        <f t="shared" ca="1" si="59"/>
        <v>#VALUE!</v>
      </c>
      <c r="Z172" s="199" t="e">
        <f t="shared" ca="1" si="59"/>
        <v>#VALUE!</v>
      </c>
      <c r="AA172" s="199" t="e">
        <f t="shared" ca="1" si="59"/>
        <v>#VALUE!</v>
      </c>
      <c r="AB172" s="199" t="e">
        <f t="shared" ca="1" si="59"/>
        <v>#VALUE!</v>
      </c>
      <c r="AC172" s="199" t="e">
        <f t="shared" ca="1" si="59"/>
        <v>#VALUE!</v>
      </c>
      <c r="AD172" s="199" t="e">
        <f t="shared" ca="1" si="59"/>
        <v>#VALUE!</v>
      </c>
      <c r="AE172" s="199" t="e">
        <f t="shared" ca="1" si="60"/>
        <v>#VALUE!</v>
      </c>
      <c r="AF172" s="199" t="e">
        <f t="shared" ca="1" si="60"/>
        <v>#VALUE!</v>
      </c>
      <c r="AG172" s="199" t="e">
        <f t="shared" ca="1" si="60"/>
        <v>#VALUE!</v>
      </c>
      <c r="AH172" s="199" t="e">
        <f t="shared" ca="1" si="60"/>
        <v>#VALUE!</v>
      </c>
      <c r="AI172" s="199" t="e">
        <f t="shared" ca="1" si="60"/>
        <v>#VALUE!</v>
      </c>
      <c r="AJ172" s="199" t="e">
        <f t="shared" ca="1" si="60"/>
        <v>#VALUE!</v>
      </c>
      <c r="AK172" s="199" t="e">
        <f t="shared" ca="1" si="60"/>
        <v>#VALUE!</v>
      </c>
      <c r="AL172" s="199" t="e">
        <f t="shared" ca="1" si="60"/>
        <v>#VALUE!</v>
      </c>
      <c r="AM172" s="199" t="e">
        <f t="shared" ca="1" si="60"/>
        <v>#VALUE!</v>
      </c>
      <c r="AN172" s="199" t="e">
        <f t="shared" ca="1" si="60"/>
        <v>#VALUE!</v>
      </c>
      <c r="AO172" s="199" t="e">
        <f t="shared" ca="1" si="60"/>
        <v>#VALUE!</v>
      </c>
      <c r="AP172" s="199" t="e">
        <f t="shared" ca="1" si="60"/>
        <v>#VALUE!</v>
      </c>
    </row>
    <row r="173" spans="1:42" s="5" customFormat="1">
      <c r="A173" s="61"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237.18419751459643</v>
      </c>
      <c r="T173" s="5">
        <f t="shared" ca="1" si="63"/>
        <v>245.91681752526421</v>
      </c>
      <c r="U173" s="5">
        <f t="shared" ca="1" si="63"/>
        <v>255.42913575195931</v>
      </c>
      <c r="V173" s="5">
        <f t="shared" ca="1" si="63"/>
        <v>266.18897112452726</v>
      </c>
      <c r="W173" s="5">
        <f t="shared" ca="1" si="63"/>
        <v>277.7285047129526</v>
      </c>
      <c r="X173" s="5">
        <f t="shared" ca="1" si="63"/>
        <v>290.67149509032936</v>
      </c>
      <c r="Y173" s="5">
        <f t="shared" ca="1" si="63"/>
        <v>304.55012332669435</v>
      </c>
      <c r="Z173" s="5">
        <f t="shared" ca="1" si="63"/>
        <v>319.36438942198339</v>
      </c>
      <c r="AA173" s="5">
        <f t="shared" ca="1" si="63"/>
        <v>336.20587087899196</v>
      </c>
      <c r="AB173" s="5">
        <f t="shared" ca="1" si="63"/>
        <v>353.98299019476508</v>
      </c>
      <c r="AC173" s="5">
        <f t="shared" ca="1" si="63"/>
        <v>372.07198879625651</v>
      </c>
      <c r="AD173" s="5">
        <f t="shared" ca="1" si="63"/>
        <v>391.09662525645501</v>
      </c>
      <c r="AE173" s="5">
        <f t="shared" ca="1" si="63"/>
        <v>411.36877886179883</v>
      </c>
      <c r="AF173" s="5">
        <f t="shared" ca="1" si="63"/>
        <v>432.73250996899867</v>
      </c>
      <c r="AG173" s="5">
        <f t="shared" ca="1" si="63"/>
        <v>454.09624107542862</v>
      </c>
      <c r="AH173" s="5">
        <f t="shared" ca="1" si="63"/>
        <v>476.23967039723038</v>
      </c>
      <c r="AI173" s="5">
        <f t="shared" ca="1" si="63"/>
        <v>501.19001329619505</v>
      </c>
      <c r="AJ173" s="5">
        <f t="shared" ca="1" si="63"/>
        <v>527.23193369686135</v>
      </c>
      <c r="AK173" s="5">
        <f t="shared" ca="1" si="63"/>
        <v>554.5213712424096</v>
      </c>
      <c r="AL173" s="5">
        <f t="shared" ca="1" si="63"/>
        <v>582.90238628960549</v>
      </c>
      <c r="AM173" s="5">
        <f t="shared" ca="1" si="63"/>
        <v>751.62908014323898</v>
      </c>
      <c r="AN173" s="5">
        <f t="shared" ca="1" si="63"/>
        <v>961.99165870678507</v>
      </c>
      <c r="AO173" s="5">
        <f t="shared" ca="1" si="63"/>
        <v>1334.1416170056473</v>
      </c>
      <c r="AP173" s="5">
        <f t="shared" ca="1" si="63"/>
        <v>1713.2308894228336</v>
      </c>
    </row>
    <row r="174" spans="1:42">
      <c r="A174" s="61" t="str">
        <f>'[4]TS BYDem'!A113</f>
        <v>*</v>
      </c>
      <c r="B174" s="199" t="s">
        <v>288</v>
      </c>
      <c r="C174" s="199" t="s">
        <v>137</v>
      </c>
      <c r="D174" s="199" t="str">
        <f>'[4]TS BYDem'!D113</f>
        <v>INMK</v>
      </c>
      <c r="E174" s="199" t="s">
        <v>137</v>
      </c>
      <c r="F174" s="199" t="s">
        <v>137</v>
      </c>
      <c r="G174" s="199" t="s">
        <v>137</v>
      </c>
      <c r="H174" s="199" t="s">
        <v>137</v>
      </c>
      <c r="I174" s="199">
        <v>0</v>
      </c>
      <c r="J174" s="199" t="str">
        <f>INDEX('[4]TS BYDem'!$J$10:$J$203,MATCH(D174,'[4]TS BYDem'!$D$10:$D$203,0))</f>
        <v/>
      </c>
      <c r="K174" s="199" t="e">
        <f t="shared" ref="K174:Z189" ca="1" si="64">K$173/J$173*J174</f>
        <v>#VALUE!</v>
      </c>
      <c r="L174" s="199" t="e">
        <f t="shared" ca="1" si="64"/>
        <v>#VALUE!</v>
      </c>
      <c r="M174" s="199" t="e">
        <f t="shared" ca="1" si="64"/>
        <v>#VALUE!</v>
      </c>
      <c r="N174" s="199" t="e">
        <f t="shared" ca="1" si="64"/>
        <v>#VALUE!</v>
      </c>
      <c r="O174" s="199" t="e">
        <f t="shared" ca="1" si="64"/>
        <v>#VALUE!</v>
      </c>
      <c r="P174" s="199" t="e">
        <f t="shared" ca="1" si="64"/>
        <v>#VALUE!</v>
      </c>
      <c r="Q174" s="199" t="e">
        <f t="shared" ca="1" si="64"/>
        <v>#VALUE!</v>
      </c>
      <c r="R174" s="199" t="e">
        <f t="shared" ca="1" si="64"/>
        <v>#VALUE!</v>
      </c>
      <c r="S174" s="199" t="e">
        <f t="shared" ca="1" si="64"/>
        <v>#VALUE!</v>
      </c>
      <c r="T174" s="199" t="e">
        <f t="shared" ca="1" si="64"/>
        <v>#VALUE!</v>
      </c>
      <c r="U174" s="199" t="e">
        <f t="shared" ca="1" si="64"/>
        <v>#VALUE!</v>
      </c>
      <c r="V174" s="199" t="e">
        <f t="shared" ca="1" si="64"/>
        <v>#VALUE!</v>
      </c>
      <c r="W174" s="199" t="e">
        <f t="shared" ca="1" si="64"/>
        <v>#VALUE!</v>
      </c>
      <c r="X174" s="199" t="e">
        <f t="shared" ca="1" si="64"/>
        <v>#VALUE!</v>
      </c>
      <c r="Y174" s="199" t="e">
        <f t="shared" ca="1" si="64"/>
        <v>#VALUE!</v>
      </c>
      <c r="Z174" s="199" t="e">
        <f t="shared" ca="1" si="64"/>
        <v>#VALUE!</v>
      </c>
      <c r="AA174" s="199" t="e">
        <f t="shared" ref="AA174:AP189" ca="1" si="65">AA$173/Z$173*Z174</f>
        <v>#VALUE!</v>
      </c>
      <c r="AB174" s="199" t="e">
        <f t="shared" ca="1" si="65"/>
        <v>#VALUE!</v>
      </c>
      <c r="AC174" s="199" t="e">
        <f t="shared" ca="1" si="65"/>
        <v>#VALUE!</v>
      </c>
      <c r="AD174" s="199" t="e">
        <f t="shared" ca="1" si="65"/>
        <v>#VALUE!</v>
      </c>
      <c r="AE174" s="199" t="e">
        <f t="shared" ca="1" si="65"/>
        <v>#VALUE!</v>
      </c>
      <c r="AF174" s="199" t="e">
        <f t="shared" ca="1" si="65"/>
        <v>#VALUE!</v>
      </c>
      <c r="AG174" s="199" t="e">
        <f t="shared" ca="1" si="65"/>
        <v>#VALUE!</v>
      </c>
      <c r="AH174" s="199" t="e">
        <f t="shared" ca="1" si="65"/>
        <v>#VALUE!</v>
      </c>
      <c r="AI174" s="199" t="e">
        <f t="shared" ca="1" si="65"/>
        <v>#VALUE!</v>
      </c>
      <c r="AJ174" s="199" t="e">
        <f t="shared" ca="1" si="65"/>
        <v>#VALUE!</v>
      </c>
      <c r="AK174" s="199" t="e">
        <f t="shared" ca="1" si="65"/>
        <v>#VALUE!</v>
      </c>
      <c r="AL174" s="199" t="e">
        <f t="shared" ca="1" si="65"/>
        <v>#VALUE!</v>
      </c>
      <c r="AM174" s="199" t="e">
        <f t="shared" ca="1" si="65"/>
        <v>#VALUE!</v>
      </c>
      <c r="AN174" s="199" t="e">
        <f t="shared" ca="1" si="65"/>
        <v>#VALUE!</v>
      </c>
      <c r="AO174" s="199" t="e">
        <f t="shared" ca="1" si="65"/>
        <v>#VALUE!</v>
      </c>
      <c r="AP174" s="199" t="e">
        <f t="shared" ca="1" si="65"/>
        <v>#VALUE!</v>
      </c>
    </row>
    <row r="175" spans="1:42">
      <c r="A175" s="61" t="str">
        <f>'[4]TS BYDem'!A114</f>
        <v>*</v>
      </c>
      <c r="B175" s="199" t="s">
        <v>288</v>
      </c>
      <c r="C175" s="199" t="s">
        <v>137</v>
      </c>
      <c r="D175" s="199" t="str">
        <f>'[4]TS BYDem'!D114</f>
        <v>INMA</v>
      </c>
      <c r="E175" s="199" t="s">
        <v>137</v>
      </c>
      <c r="F175" s="199" t="s">
        <v>137</v>
      </c>
      <c r="G175" s="199" t="s">
        <v>137</v>
      </c>
      <c r="H175" s="199" t="s">
        <v>137</v>
      </c>
      <c r="I175" s="199">
        <v>0</v>
      </c>
      <c r="J175" s="199" t="str">
        <f>INDEX('[4]TS BYDem'!$J$10:$J$203,MATCH(D175,'[4]TS BYDem'!$D$10:$D$203,0))</f>
        <v/>
      </c>
      <c r="K175" s="199" t="e">
        <f t="shared" ca="1" si="64"/>
        <v>#VALUE!</v>
      </c>
      <c r="L175" s="199" t="e">
        <f t="shared" ca="1" si="64"/>
        <v>#VALUE!</v>
      </c>
      <c r="M175" s="199" t="e">
        <f t="shared" ca="1" si="64"/>
        <v>#VALUE!</v>
      </c>
      <c r="N175" s="199" t="e">
        <f t="shared" ca="1" si="64"/>
        <v>#VALUE!</v>
      </c>
      <c r="O175" s="199" t="e">
        <f t="shared" ca="1" si="64"/>
        <v>#VALUE!</v>
      </c>
      <c r="P175" s="199" t="e">
        <f t="shared" ca="1" si="64"/>
        <v>#VALUE!</v>
      </c>
      <c r="Q175" s="199" t="e">
        <f t="shared" ca="1" si="64"/>
        <v>#VALUE!</v>
      </c>
      <c r="R175" s="199" t="e">
        <f t="shared" ca="1" si="64"/>
        <v>#VALUE!</v>
      </c>
      <c r="S175" s="199" t="e">
        <f t="shared" ca="1" si="64"/>
        <v>#VALUE!</v>
      </c>
      <c r="T175" s="199" t="e">
        <f t="shared" ca="1" si="64"/>
        <v>#VALUE!</v>
      </c>
      <c r="U175" s="199" t="e">
        <f t="shared" ca="1" si="64"/>
        <v>#VALUE!</v>
      </c>
      <c r="V175" s="199" t="e">
        <f t="shared" ca="1" si="64"/>
        <v>#VALUE!</v>
      </c>
      <c r="W175" s="199" t="e">
        <f t="shared" ca="1" si="64"/>
        <v>#VALUE!</v>
      </c>
      <c r="X175" s="199" t="e">
        <f t="shared" ca="1" si="64"/>
        <v>#VALUE!</v>
      </c>
      <c r="Y175" s="199" t="e">
        <f t="shared" ca="1" si="64"/>
        <v>#VALUE!</v>
      </c>
      <c r="Z175" s="199" t="e">
        <f t="shared" ca="1" si="64"/>
        <v>#VALUE!</v>
      </c>
      <c r="AA175" s="199" t="e">
        <f t="shared" ca="1" si="65"/>
        <v>#VALUE!</v>
      </c>
      <c r="AB175" s="199" t="e">
        <f t="shared" ca="1" si="65"/>
        <v>#VALUE!</v>
      </c>
      <c r="AC175" s="199" t="e">
        <f t="shared" ca="1" si="65"/>
        <v>#VALUE!</v>
      </c>
      <c r="AD175" s="199" t="e">
        <f t="shared" ca="1" si="65"/>
        <v>#VALUE!</v>
      </c>
      <c r="AE175" s="199" t="e">
        <f t="shared" ca="1" si="65"/>
        <v>#VALUE!</v>
      </c>
      <c r="AF175" s="199" t="e">
        <f t="shared" ca="1" si="65"/>
        <v>#VALUE!</v>
      </c>
      <c r="AG175" s="199" t="e">
        <f t="shared" ca="1" si="65"/>
        <v>#VALUE!</v>
      </c>
      <c r="AH175" s="199" t="e">
        <f t="shared" ca="1" si="65"/>
        <v>#VALUE!</v>
      </c>
      <c r="AI175" s="199" t="e">
        <f t="shared" ca="1" si="65"/>
        <v>#VALUE!</v>
      </c>
      <c r="AJ175" s="199" t="e">
        <f t="shared" ca="1" si="65"/>
        <v>#VALUE!</v>
      </c>
      <c r="AK175" s="199" t="e">
        <f t="shared" ca="1" si="65"/>
        <v>#VALUE!</v>
      </c>
      <c r="AL175" s="199" t="e">
        <f t="shared" ca="1" si="65"/>
        <v>#VALUE!</v>
      </c>
      <c r="AM175" s="199" t="e">
        <f t="shared" ca="1" si="65"/>
        <v>#VALUE!</v>
      </c>
      <c r="AN175" s="199" t="e">
        <f t="shared" ca="1" si="65"/>
        <v>#VALUE!</v>
      </c>
      <c r="AO175" s="199" t="e">
        <f t="shared" ca="1" si="65"/>
        <v>#VALUE!</v>
      </c>
      <c r="AP175" s="199" t="e">
        <f t="shared" ca="1" si="65"/>
        <v>#VALUE!</v>
      </c>
    </row>
    <row r="176" spans="1:42">
      <c r="A176" s="61" t="str">
        <f>'[4]TS BYDem'!A115</f>
        <v>*</v>
      </c>
      <c r="B176" s="199" t="s">
        <v>288</v>
      </c>
      <c r="C176" s="199" t="s">
        <v>137</v>
      </c>
      <c r="D176" s="199" t="str">
        <f>'[4]TS BYDem'!D115</f>
        <v>INML</v>
      </c>
      <c r="E176" s="199" t="s">
        <v>137</v>
      </c>
      <c r="F176" s="199" t="s">
        <v>137</v>
      </c>
      <c r="G176" s="199" t="s">
        <v>137</v>
      </c>
      <c r="H176" s="199" t="s">
        <v>137</v>
      </c>
      <c r="I176" s="199">
        <v>0</v>
      </c>
      <c r="J176" s="199" t="str">
        <f>INDEX('[4]TS BYDem'!$J$10:$J$203,MATCH(D176,'[4]TS BYDem'!$D$10:$D$203,0))</f>
        <v/>
      </c>
      <c r="K176" s="199" t="e">
        <f t="shared" ca="1" si="64"/>
        <v>#VALUE!</v>
      </c>
      <c r="L176" s="199" t="e">
        <f t="shared" ca="1" si="64"/>
        <v>#VALUE!</v>
      </c>
      <c r="M176" s="199" t="e">
        <f t="shared" ca="1" si="64"/>
        <v>#VALUE!</v>
      </c>
      <c r="N176" s="199" t="e">
        <f t="shared" ca="1" si="64"/>
        <v>#VALUE!</v>
      </c>
      <c r="O176" s="199" t="e">
        <f t="shared" ca="1" si="64"/>
        <v>#VALUE!</v>
      </c>
      <c r="P176" s="199" t="e">
        <f t="shared" ca="1" si="64"/>
        <v>#VALUE!</v>
      </c>
      <c r="Q176" s="199" t="e">
        <f t="shared" ca="1" si="64"/>
        <v>#VALUE!</v>
      </c>
      <c r="R176" s="199" t="e">
        <f t="shared" ca="1" si="64"/>
        <v>#VALUE!</v>
      </c>
      <c r="S176" s="199" t="e">
        <f t="shared" ca="1" si="64"/>
        <v>#VALUE!</v>
      </c>
      <c r="T176" s="199" t="e">
        <f t="shared" ca="1" si="64"/>
        <v>#VALUE!</v>
      </c>
      <c r="U176" s="199" t="e">
        <f t="shared" ca="1" si="64"/>
        <v>#VALUE!</v>
      </c>
      <c r="V176" s="199" t="e">
        <f t="shared" ca="1" si="64"/>
        <v>#VALUE!</v>
      </c>
      <c r="W176" s="199" t="e">
        <f t="shared" ca="1" si="64"/>
        <v>#VALUE!</v>
      </c>
      <c r="X176" s="199" t="e">
        <f t="shared" ca="1" si="64"/>
        <v>#VALUE!</v>
      </c>
      <c r="Y176" s="199" t="e">
        <f t="shared" ca="1" si="64"/>
        <v>#VALUE!</v>
      </c>
      <c r="Z176" s="199" t="e">
        <f t="shared" ca="1" si="64"/>
        <v>#VALUE!</v>
      </c>
      <c r="AA176" s="199" t="e">
        <f t="shared" ca="1" si="65"/>
        <v>#VALUE!</v>
      </c>
      <c r="AB176" s="199" t="e">
        <f t="shared" ca="1" si="65"/>
        <v>#VALUE!</v>
      </c>
      <c r="AC176" s="199" t="e">
        <f t="shared" ca="1" si="65"/>
        <v>#VALUE!</v>
      </c>
      <c r="AD176" s="199" t="e">
        <f t="shared" ca="1" si="65"/>
        <v>#VALUE!</v>
      </c>
      <c r="AE176" s="199" t="e">
        <f t="shared" ca="1" si="65"/>
        <v>#VALUE!</v>
      </c>
      <c r="AF176" s="199" t="e">
        <f t="shared" ca="1" si="65"/>
        <v>#VALUE!</v>
      </c>
      <c r="AG176" s="199" t="e">
        <f t="shared" ca="1" si="65"/>
        <v>#VALUE!</v>
      </c>
      <c r="AH176" s="199" t="e">
        <f t="shared" ca="1" si="65"/>
        <v>#VALUE!</v>
      </c>
      <c r="AI176" s="199" t="e">
        <f t="shared" ca="1" si="65"/>
        <v>#VALUE!</v>
      </c>
      <c r="AJ176" s="199" t="e">
        <f t="shared" ca="1" si="65"/>
        <v>#VALUE!</v>
      </c>
      <c r="AK176" s="199" t="e">
        <f t="shared" ca="1" si="65"/>
        <v>#VALUE!</v>
      </c>
      <c r="AL176" s="199" t="e">
        <f t="shared" ca="1" si="65"/>
        <v>#VALUE!</v>
      </c>
      <c r="AM176" s="199" t="e">
        <f t="shared" ca="1" si="65"/>
        <v>#VALUE!</v>
      </c>
      <c r="AN176" s="199" t="e">
        <f t="shared" ca="1" si="65"/>
        <v>#VALUE!</v>
      </c>
      <c r="AO176" s="199" t="e">
        <f t="shared" ca="1" si="65"/>
        <v>#VALUE!</v>
      </c>
      <c r="AP176" s="199" t="e">
        <f t="shared" ca="1" si="65"/>
        <v>#VALUE!</v>
      </c>
    </row>
    <row r="177" spans="1:42">
      <c r="A177" s="61" t="str">
        <f>'[4]TS BYDem'!A116</f>
        <v>*</v>
      </c>
      <c r="B177" s="199" t="s">
        <v>288</v>
      </c>
      <c r="C177" s="199" t="s">
        <v>137</v>
      </c>
      <c r="D177" s="199" t="str">
        <f>'[4]TS BYDem'!D116</f>
        <v>INMC</v>
      </c>
      <c r="E177" s="199" t="s">
        <v>137</v>
      </c>
      <c r="F177" s="199" t="s">
        <v>137</v>
      </c>
      <c r="G177" s="199" t="s">
        <v>137</v>
      </c>
      <c r="H177" s="199" t="s">
        <v>137</v>
      </c>
      <c r="I177" s="199">
        <v>0</v>
      </c>
      <c r="J177" s="199" t="str">
        <f>INDEX('[4]TS BYDem'!$J$10:$J$203,MATCH(D177,'[4]TS BYDem'!$D$10:$D$203,0))</f>
        <v/>
      </c>
      <c r="K177" s="199" t="e">
        <f t="shared" ca="1" si="64"/>
        <v>#VALUE!</v>
      </c>
      <c r="L177" s="199" t="e">
        <f t="shared" ca="1" si="64"/>
        <v>#VALUE!</v>
      </c>
      <c r="M177" s="199" t="e">
        <f t="shared" ca="1" si="64"/>
        <v>#VALUE!</v>
      </c>
      <c r="N177" s="199" t="e">
        <f t="shared" ca="1" si="64"/>
        <v>#VALUE!</v>
      </c>
      <c r="O177" s="199" t="e">
        <f t="shared" ca="1" si="64"/>
        <v>#VALUE!</v>
      </c>
      <c r="P177" s="199" t="e">
        <f t="shared" ca="1" si="64"/>
        <v>#VALUE!</v>
      </c>
      <c r="Q177" s="199" t="e">
        <f t="shared" ca="1" si="64"/>
        <v>#VALUE!</v>
      </c>
      <c r="R177" s="199" t="e">
        <f t="shared" ca="1" si="64"/>
        <v>#VALUE!</v>
      </c>
      <c r="S177" s="199" t="e">
        <f t="shared" ca="1" si="64"/>
        <v>#VALUE!</v>
      </c>
      <c r="T177" s="199" t="e">
        <f t="shared" ca="1" si="64"/>
        <v>#VALUE!</v>
      </c>
      <c r="U177" s="199" t="e">
        <f t="shared" ca="1" si="64"/>
        <v>#VALUE!</v>
      </c>
      <c r="V177" s="199" t="e">
        <f t="shared" ca="1" si="64"/>
        <v>#VALUE!</v>
      </c>
      <c r="W177" s="199" t="e">
        <f t="shared" ca="1" si="64"/>
        <v>#VALUE!</v>
      </c>
      <c r="X177" s="199" t="e">
        <f t="shared" ca="1" si="64"/>
        <v>#VALUE!</v>
      </c>
      <c r="Y177" s="199" t="e">
        <f t="shared" ca="1" si="64"/>
        <v>#VALUE!</v>
      </c>
      <c r="Z177" s="199" t="e">
        <f t="shared" ca="1" si="64"/>
        <v>#VALUE!</v>
      </c>
      <c r="AA177" s="199" t="e">
        <f t="shared" ca="1" si="65"/>
        <v>#VALUE!</v>
      </c>
      <c r="AB177" s="199" t="e">
        <f t="shared" ca="1" si="65"/>
        <v>#VALUE!</v>
      </c>
      <c r="AC177" s="199" t="e">
        <f t="shared" ca="1" si="65"/>
        <v>#VALUE!</v>
      </c>
      <c r="AD177" s="199" t="e">
        <f t="shared" ca="1" si="65"/>
        <v>#VALUE!</v>
      </c>
      <c r="AE177" s="199" t="e">
        <f t="shared" ca="1" si="65"/>
        <v>#VALUE!</v>
      </c>
      <c r="AF177" s="199" t="e">
        <f t="shared" ca="1" si="65"/>
        <v>#VALUE!</v>
      </c>
      <c r="AG177" s="199" t="e">
        <f t="shared" ca="1" si="65"/>
        <v>#VALUE!</v>
      </c>
      <c r="AH177" s="199" t="e">
        <f t="shared" ca="1" si="65"/>
        <v>#VALUE!</v>
      </c>
      <c r="AI177" s="199" t="e">
        <f t="shared" ca="1" si="65"/>
        <v>#VALUE!</v>
      </c>
      <c r="AJ177" s="199" t="e">
        <f t="shared" ca="1" si="65"/>
        <v>#VALUE!</v>
      </c>
      <c r="AK177" s="199" t="e">
        <f t="shared" ca="1" si="65"/>
        <v>#VALUE!</v>
      </c>
      <c r="AL177" s="199" t="e">
        <f t="shared" ca="1" si="65"/>
        <v>#VALUE!</v>
      </c>
      <c r="AM177" s="199" t="e">
        <f t="shared" ca="1" si="65"/>
        <v>#VALUE!</v>
      </c>
      <c r="AN177" s="199" t="e">
        <f t="shared" ca="1" si="65"/>
        <v>#VALUE!</v>
      </c>
      <c r="AO177" s="199" t="e">
        <f t="shared" ca="1" si="65"/>
        <v>#VALUE!</v>
      </c>
      <c r="AP177" s="199" t="e">
        <f t="shared" ca="1" si="65"/>
        <v>#VALUE!</v>
      </c>
    </row>
    <row r="178" spans="1:42">
      <c r="A178" s="61" t="str">
        <f>'[4]TS BYDem'!A117</f>
        <v>*</v>
      </c>
      <c r="B178" s="199" t="s">
        <v>288</v>
      </c>
      <c r="C178" s="199" t="s">
        <v>137</v>
      </c>
      <c r="D178" s="199" t="str">
        <f>'[4]TS BYDem'!D117</f>
        <v>INMH</v>
      </c>
      <c r="E178" s="199" t="s">
        <v>137</v>
      </c>
      <c r="F178" s="199" t="s">
        <v>137</v>
      </c>
      <c r="G178" s="199" t="s">
        <v>137</v>
      </c>
      <c r="H178" s="199" t="s">
        <v>137</v>
      </c>
      <c r="I178" s="199">
        <v>0</v>
      </c>
      <c r="J178" s="199" t="str">
        <f>INDEX('[4]TS BYDem'!$J$10:$J$203,MATCH(D178,'[4]TS BYDem'!$D$10:$D$203,0))</f>
        <v/>
      </c>
      <c r="K178" s="199" t="e">
        <f t="shared" ca="1" si="64"/>
        <v>#VALUE!</v>
      </c>
      <c r="L178" s="199" t="e">
        <f t="shared" ca="1" si="64"/>
        <v>#VALUE!</v>
      </c>
      <c r="M178" s="199" t="e">
        <f t="shared" ca="1" si="64"/>
        <v>#VALUE!</v>
      </c>
      <c r="N178" s="199" t="e">
        <f t="shared" ca="1" si="64"/>
        <v>#VALUE!</v>
      </c>
      <c r="O178" s="199" t="e">
        <f t="shared" ca="1" si="64"/>
        <v>#VALUE!</v>
      </c>
      <c r="P178" s="199" t="e">
        <f t="shared" ca="1" si="64"/>
        <v>#VALUE!</v>
      </c>
      <c r="Q178" s="199" t="e">
        <f t="shared" ca="1" si="64"/>
        <v>#VALUE!</v>
      </c>
      <c r="R178" s="199" t="e">
        <f t="shared" ca="1" si="64"/>
        <v>#VALUE!</v>
      </c>
      <c r="S178" s="199" t="e">
        <f t="shared" ca="1" si="64"/>
        <v>#VALUE!</v>
      </c>
      <c r="T178" s="199" t="e">
        <f t="shared" ca="1" si="64"/>
        <v>#VALUE!</v>
      </c>
      <c r="U178" s="199" t="e">
        <f t="shared" ca="1" si="64"/>
        <v>#VALUE!</v>
      </c>
      <c r="V178" s="199" t="e">
        <f t="shared" ca="1" si="64"/>
        <v>#VALUE!</v>
      </c>
      <c r="W178" s="199" t="e">
        <f t="shared" ca="1" si="64"/>
        <v>#VALUE!</v>
      </c>
      <c r="X178" s="199" t="e">
        <f t="shared" ca="1" si="64"/>
        <v>#VALUE!</v>
      </c>
      <c r="Y178" s="199" t="e">
        <f t="shared" ca="1" si="64"/>
        <v>#VALUE!</v>
      </c>
      <c r="Z178" s="199" t="e">
        <f t="shared" ca="1" si="64"/>
        <v>#VALUE!</v>
      </c>
      <c r="AA178" s="199" t="e">
        <f t="shared" ca="1" si="65"/>
        <v>#VALUE!</v>
      </c>
      <c r="AB178" s="199" t="e">
        <f t="shared" ca="1" si="65"/>
        <v>#VALUE!</v>
      </c>
      <c r="AC178" s="199" t="e">
        <f t="shared" ca="1" si="65"/>
        <v>#VALUE!</v>
      </c>
      <c r="AD178" s="199" t="e">
        <f t="shared" ca="1" si="65"/>
        <v>#VALUE!</v>
      </c>
      <c r="AE178" s="199" t="e">
        <f t="shared" ca="1" si="65"/>
        <v>#VALUE!</v>
      </c>
      <c r="AF178" s="199" t="e">
        <f t="shared" ca="1" si="65"/>
        <v>#VALUE!</v>
      </c>
      <c r="AG178" s="199" t="e">
        <f t="shared" ca="1" si="65"/>
        <v>#VALUE!</v>
      </c>
      <c r="AH178" s="199" t="e">
        <f t="shared" ca="1" si="65"/>
        <v>#VALUE!</v>
      </c>
      <c r="AI178" s="199" t="e">
        <f t="shared" ca="1" si="65"/>
        <v>#VALUE!</v>
      </c>
      <c r="AJ178" s="199" t="e">
        <f t="shared" ca="1" si="65"/>
        <v>#VALUE!</v>
      </c>
      <c r="AK178" s="199" t="e">
        <f t="shared" ca="1" si="65"/>
        <v>#VALUE!</v>
      </c>
      <c r="AL178" s="199" t="e">
        <f t="shared" ca="1" si="65"/>
        <v>#VALUE!</v>
      </c>
      <c r="AM178" s="199" t="e">
        <f t="shared" ca="1" si="65"/>
        <v>#VALUE!</v>
      </c>
      <c r="AN178" s="199" t="e">
        <f t="shared" ca="1" si="65"/>
        <v>#VALUE!</v>
      </c>
      <c r="AO178" s="199" t="e">
        <f t="shared" ca="1" si="65"/>
        <v>#VALUE!</v>
      </c>
      <c r="AP178" s="199" t="e">
        <f t="shared" ca="1" si="65"/>
        <v>#VALUE!</v>
      </c>
    </row>
    <row r="179" spans="1:42">
      <c r="A179" s="61" t="str">
        <f>'[4]TS BYDem'!A118</f>
        <v>*</v>
      </c>
      <c r="B179" s="199" t="s">
        <v>288</v>
      </c>
      <c r="C179" s="199" t="s">
        <v>137</v>
      </c>
      <c r="D179" s="199" t="str">
        <f>'[4]TS BYDem'!D118</f>
        <v>INMP</v>
      </c>
      <c r="E179" s="199" t="s">
        <v>137</v>
      </c>
      <c r="F179" s="199" t="s">
        <v>137</v>
      </c>
      <c r="G179" s="199" t="s">
        <v>137</v>
      </c>
      <c r="H179" s="199" t="s">
        <v>137</v>
      </c>
      <c r="I179" s="199">
        <v>0</v>
      </c>
      <c r="J179" s="199" t="str">
        <f>INDEX('[4]TS BYDem'!$J$10:$J$203,MATCH(D179,'[4]TS BYDem'!$D$10:$D$203,0))</f>
        <v/>
      </c>
      <c r="K179" s="199" t="e">
        <f t="shared" ca="1" si="64"/>
        <v>#VALUE!</v>
      </c>
      <c r="L179" s="199" t="e">
        <f t="shared" ca="1" si="64"/>
        <v>#VALUE!</v>
      </c>
      <c r="M179" s="199" t="e">
        <f t="shared" ca="1" si="64"/>
        <v>#VALUE!</v>
      </c>
      <c r="N179" s="199" t="e">
        <f t="shared" ca="1" si="64"/>
        <v>#VALUE!</v>
      </c>
      <c r="O179" s="199" t="e">
        <f t="shared" ca="1" si="64"/>
        <v>#VALUE!</v>
      </c>
      <c r="P179" s="199" t="e">
        <f t="shared" ca="1" si="64"/>
        <v>#VALUE!</v>
      </c>
      <c r="Q179" s="199" t="e">
        <f t="shared" ca="1" si="64"/>
        <v>#VALUE!</v>
      </c>
      <c r="R179" s="199" t="e">
        <f t="shared" ca="1" si="64"/>
        <v>#VALUE!</v>
      </c>
      <c r="S179" s="199" t="e">
        <f t="shared" ca="1" si="64"/>
        <v>#VALUE!</v>
      </c>
      <c r="T179" s="199" t="e">
        <f t="shared" ca="1" si="64"/>
        <v>#VALUE!</v>
      </c>
      <c r="U179" s="199" t="e">
        <f t="shared" ca="1" si="64"/>
        <v>#VALUE!</v>
      </c>
      <c r="V179" s="199" t="e">
        <f t="shared" ca="1" si="64"/>
        <v>#VALUE!</v>
      </c>
      <c r="W179" s="199" t="e">
        <f t="shared" ca="1" si="64"/>
        <v>#VALUE!</v>
      </c>
      <c r="X179" s="199" t="e">
        <f t="shared" ca="1" si="64"/>
        <v>#VALUE!</v>
      </c>
      <c r="Y179" s="199" t="e">
        <f t="shared" ca="1" si="64"/>
        <v>#VALUE!</v>
      </c>
      <c r="Z179" s="199" t="e">
        <f t="shared" ca="1" si="64"/>
        <v>#VALUE!</v>
      </c>
      <c r="AA179" s="199" t="e">
        <f t="shared" ca="1" si="65"/>
        <v>#VALUE!</v>
      </c>
      <c r="AB179" s="199" t="e">
        <f t="shared" ca="1" si="65"/>
        <v>#VALUE!</v>
      </c>
      <c r="AC179" s="199" t="e">
        <f t="shared" ca="1" si="65"/>
        <v>#VALUE!</v>
      </c>
      <c r="AD179" s="199" t="e">
        <f t="shared" ca="1" si="65"/>
        <v>#VALUE!</v>
      </c>
      <c r="AE179" s="199" t="e">
        <f t="shared" ca="1" si="65"/>
        <v>#VALUE!</v>
      </c>
      <c r="AF179" s="199" t="e">
        <f t="shared" ca="1" si="65"/>
        <v>#VALUE!</v>
      </c>
      <c r="AG179" s="199" t="e">
        <f t="shared" ca="1" si="65"/>
        <v>#VALUE!</v>
      </c>
      <c r="AH179" s="199" t="e">
        <f t="shared" ca="1" si="65"/>
        <v>#VALUE!</v>
      </c>
      <c r="AI179" s="199" t="e">
        <f t="shared" ca="1" si="65"/>
        <v>#VALUE!</v>
      </c>
      <c r="AJ179" s="199" t="e">
        <f t="shared" ca="1" si="65"/>
        <v>#VALUE!</v>
      </c>
      <c r="AK179" s="199" t="e">
        <f t="shared" ca="1" si="65"/>
        <v>#VALUE!</v>
      </c>
      <c r="AL179" s="199" t="e">
        <f t="shared" ca="1" si="65"/>
        <v>#VALUE!</v>
      </c>
      <c r="AM179" s="199" t="e">
        <f t="shared" ca="1" si="65"/>
        <v>#VALUE!</v>
      </c>
      <c r="AN179" s="199" t="e">
        <f t="shared" ca="1" si="65"/>
        <v>#VALUE!</v>
      </c>
      <c r="AO179" s="199" t="e">
        <f t="shared" ca="1" si="65"/>
        <v>#VALUE!</v>
      </c>
      <c r="AP179" s="199" t="e">
        <f t="shared" ca="1" si="65"/>
        <v>#VALUE!</v>
      </c>
    </row>
    <row r="180" spans="1:42">
      <c r="A180" s="61" t="str">
        <f>'[4]TS BYDem'!A119</f>
        <v>*</v>
      </c>
      <c r="B180" s="199" t="s">
        <v>288</v>
      </c>
      <c r="C180" s="199" t="s">
        <v>137</v>
      </c>
      <c r="D180" s="199" t="str">
        <f>'[4]TS BYDem'!D119</f>
        <v>INMF</v>
      </c>
      <c r="E180" s="199" t="s">
        <v>137</v>
      </c>
      <c r="F180" s="199" t="s">
        <v>137</v>
      </c>
      <c r="G180" s="199" t="s">
        <v>137</v>
      </c>
      <c r="H180" s="199" t="s">
        <v>137</v>
      </c>
      <c r="I180" s="199">
        <v>0</v>
      </c>
      <c r="J180" s="199" t="str">
        <f>INDEX('[4]TS BYDem'!$J$10:$J$203,MATCH(D180,'[4]TS BYDem'!$D$10:$D$203,0))</f>
        <v/>
      </c>
      <c r="K180" s="199" t="e">
        <f t="shared" ca="1" si="64"/>
        <v>#VALUE!</v>
      </c>
      <c r="L180" s="199" t="e">
        <f t="shared" ca="1" si="64"/>
        <v>#VALUE!</v>
      </c>
      <c r="M180" s="199" t="e">
        <f t="shared" ca="1" si="64"/>
        <v>#VALUE!</v>
      </c>
      <c r="N180" s="199" t="e">
        <f t="shared" ca="1" si="64"/>
        <v>#VALUE!</v>
      </c>
      <c r="O180" s="199" t="e">
        <f t="shared" ca="1" si="64"/>
        <v>#VALUE!</v>
      </c>
      <c r="P180" s="199" t="e">
        <f t="shared" ca="1" si="64"/>
        <v>#VALUE!</v>
      </c>
      <c r="Q180" s="199" t="e">
        <f t="shared" ca="1" si="64"/>
        <v>#VALUE!</v>
      </c>
      <c r="R180" s="199" t="e">
        <f t="shared" ca="1" si="64"/>
        <v>#VALUE!</v>
      </c>
      <c r="S180" s="199" t="e">
        <f t="shared" ca="1" si="64"/>
        <v>#VALUE!</v>
      </c>
      <c r="T180" s="199" t="e">
        <f t="shared" ca="1" si="64"/>
        <v>#VALUE!</v>
      </c>
      <c r="U180" s="199" t="e">
        <f t="shared" ca="1" si="64"/>
        <v>#VALUE!</v>
      </c>
      <c r="V180" s="199" t="e">
        <f t="shared" ca="1" si="64"/>
        <v>#VALUE!</v>
      </c>
      <c r="W180" s="199" t="e">
        <f t="shared" ca="1" si="64"/>
        <v>#VALUE!</v>
      </c>
      <c r="X180" s="199" t="e">
        <f t="shared" ca="1" si="64"/>
        <v>#VALUE!</v>
      </c>
      <c r="Y180" s="199" t="e">
        <f t="shared" ca="1" si="64"/>
        <v>#VALUE!</v>
      </c>
      <c r="Z180" s="199" t="e">
        <f t="shared" ca="1" si="64"/>
        <v>#VALUE!</v>
      </c>
      <c r="AA180" s="199" t="e">
        <f t="shared" ca="1" si="65"/>
        <v>#VALUE!</v>
      </c>
      <c r="AB180" s="199" t="e">
        <f t="shared" ca="1" si="65"/>
        <v>#VALUE!</v>
      </c>
      <c r="AC180" s="199" t="e">
        <f t="shared" ca="1" si="65"/>
        <v>#VALUE!</v>
      </c>
      <c r="AD180" s="199" t="e">
        <f t="shared" ca="1" si="65"/>
        <v>#VALUE!</v>
      </c>
      <c r="AE180" s="199" t="e">
        <f t="shared" ca="1" si="65"/>
        <v>#VALUE!</v>
      </c>
      <c r="AF180" s="199" t="e">
        <f t="shared" ca="1" si="65"/>
        <v>#VALUE!</v>
      </c>
      <c r="AG180" s="199" t="e">
        <f t="shared" ca="1" si="65"/>
        <v>#VALUE!</v>
      </c>
      <c r="AH180" s="199" t="e">
        <f t="shared" ca="1" si="65"/>
        <v>#VALUE!</v>
      </c>
      <c r="AI180" s="199" t="e">
        <f t="shared" ca="1" si="65"/>
        <v>#VALUE!</v>
      </c>
      <c r="AJ180" s="199" t="e">
        <f t="shared" ca="1" si="65"/>
        <v>#VALUE!</v>
      </c>
      <c r="AK180" s="199" t="e">
        <f t="shared" ca="1" si="65"/>
        <v>#VALUE!</v>
      </c>
      <c r="AL180" s="199" t="e">
        <f t="shared" ca="1" si="65"/>
        <v>#VALUE!</v>
      </c>
      <c r="AM180" s="199" t="e">
        <f t="shared" ca="1" si="65"/>
        <v>#VALUE!</v>
      </c>
      <c r="AN180" s="199" t="e">
        <f t="shared" ca="1" si="65"/>
        <v>#VALUE!</v>
      </c>
      <c r="AO180" s="199" t="e">
        <f t="shared" ca="1" si="65"/>
        <v>#VALUE!</v>
      </c>
      <c r="AP180" s="199" t="e">
        <f t="shared" ca="1" si="65"/>
        <v>#VALUE!</v>
      </c>
    </row>
    <row r="181" spans="1:42">
      <c r="A181" s="61" t="str">
        <f>'[4]TS BYDem'!A120</f>
        <v>*</v>
      </c>
      <c r="B181" s="199" t="s">
        <v>288</v>
      </c>
      <c r="C181" s="199" t="s">
        <v>137</v>
      </c>
      <c r="D181" s="199" t="str">
        <f>'[4]TS BYDem'!D120</f>
        <v>INMO</v>
      </c>
      <c r="E181" s="199" t="s">
        <v>137</v>
      </c>
      <c r="F181" s="199" t="s">
        <v>137</v>
      </c>
      <c r="G181" s="199" t="s">
        <v>137</v>
      </c>
      <c r="H181" s="199" t="s">
        <v>137</v>
      </c>
      <c r="I181" s="199">
        <v>0</v>
      </c>
      <c r="J181" s="199" t="str">
        <f>INDEX('[4]TS BYDem'!$J$10:$J$203,MATCH(D181,'[4]TS BYDem'!$D$10:$D$203,0))</f>
        <v/>
      </c>
      <c r="K181" s="199" t="e">
        <f t="shared" ca="1" si="64"/>
        <v>#VALUE!</v>
      </c>
      <c r="L181" s="199" t="e">
        <f t="shared" ca="1" si="64"/>
        <v>#VALUE!</v>
      </c>
      <c r="M181" s="199" t="e">
        <f t="shared" ca="1" si="64"/>
        <v>#VALUE!</v>
      </c>
      <c r="N181" s="199" t="e">
        <f t="shared" ca="1" si="64"/>
        <v>#VALUE!</v>
      </c>
      <c r="O181" s="199" t="e">
        <f t="shared" ca="1" si="64"/>
        <v>#VALUE!</v>
      </c>
      <c r="P181" s="199" t="e">
        <f t="shared" ca="1" si="64"/>
        <v>#VALUE!</v>
      </c>
      <c r="Q181" s="199" t="e">
        <f t="shared" ca="1" si="64"/>
        <v>#VALUE!</v>
      </c>
      <c r="R181" s="199" t="e">
        <f t="shared" ca="1" si="64"/>
        <v>#VALUE!</v>
      </c>
      <c r="S181" s="199" t="e">
        <f t="shared" ca="1" si="64"/>
        <v>#VALUE!</v>
      </c>
      <c r="T181" s="199" t="e">
        <f t="shared" ca="1" si="64"/>
        <v>#VALUE!</v>
      </c>
      <c r="U181" s="199" t="e">
        <f t="shared" ca="1" si="64"/>
        <v>#VALUE!</v>
      </c>
      <c r="V181" s="199" t="e">
        <f t="shared" ca="1" si="64"/>
        <v>#VALUE!</v>
      </c>
      <c r="W181" s="199" t="e">
        <f t="shared" ca="1" si="64"/>
        <v>#VALUE!</v>
      </c>
      <c r="X181" s="199" t="e">
        <f t="shared" ca="1" si="64"/>
        <v>#VALUE!</v>
      </c>
      <c r="Y181" s="199" t="e">
        <f t="shared" ca="1" si="64"/>
        <v>#VALUE!</v>
      </c>
      <c r="Z181" s="199" t="e">
        <f t="shared" ca="1" si="64"/>
        <v>#VALUE!</v>
      </c>
      <c r="AA181" s="199" t="e">
        <f t="shared" ca="1" si="65"/>
        <v>#VALUE!</v>
      </c>
      <c r="AB181" s="199" t="e">
        <f t="shared" ca="1" si="65"/>
        <v>#VALUE!</v>
      </c>
      <c r="AC181" s="199" t="e">
        <f t="shared" ca="1" si="65"/>
        <v>#VALUE!</v>
      </c>
      <c r="AD181" s="199" t="e">
        <f t="shared" ca="1" si="65"/>
        <v>#VALUE!</v>
      </c>
      <c r="AE181" s="199" t="e">
        <f t="shared" ca="1" si="65"/>
        <v>#VALUE!</v>
      </c>
      <c r="AF181" s="199" t="e">
        <f t="shared" ca="1" si="65"/>
        <v>#VALUE!</v>
      </c>
      <c r="AG181" s="199" t="e">
        <f t="shared" ca="1" si="65"/>
        <v>#VALUE!</v>
      </c>
      <c r="AH181" s="199" t="e">
        <f t="shared" ca="1" si="65"/>
        <v>#VALUE!</v>
      </c>
      <c r="AI181" s="199" t="e">
        <f t="shared" ca="1" si="65"/>
        <v>#VALUE!</v>
      </c>
      <c r="AJ181" s="199" t="e">
        <f t="shared" ca="1" si="65"/>
        <v>#VALUE!</v>
      </c>
      <c r="AK181" s="199" t="e">
        <f t="shared" ca="1" si="65"/>
        <v>#VALUE!</v>
      </c>
      <c r="AL181" s="199" t="e">
        <f t="shared" ca="1" si="65"/>
        <v>#VALUE!</v>
      </c>
      <c r="AM181" s="199" t="e">
        <f t="shared" ca="1" si="65"/>
        <v>#VALUE!</v>
      </c>
      <c r="AN181" s="199" t="e">
        <f t="shared" ca="1" si="65"/>
        <v>#VALUE!</v>
      </c>
      <c r="AO181" s="199" t="e">
        <f t="shared" ca="1" si="65"/>
        <v>#VALUE!</v>
      </c>
      <c r="AP181" s="199" t="e">
        <f t="shared" ca="1" si="65"/>
        <v>#VALUE!</v>
      </c>
    </row>
    <row r="182" spans="1:42">
      <c r="A182" s="61" t="str">
        <f>'[4]TS BYDem'!A121</f>
        <v>*</v>
      </c>
      <c r="B182" s="199" t="s">
        <v>288</v>
      </c>
      <c r="C182" s="199" t="s">
        <v>137</v>
      </c>
      <c r="D182" s="199" t="str">
        <f>'[4]TS BYDem'!D121</f>
        <v>INME</v>
      </c>
      <c r="E182" s="199" t="s">
        <v>137</v>
      </c>
      <c r="F182" s="199" t="s">
        <v>137</v>
      </c>
      <c r="G182" s="199" t="s">
        <v>137</v>
      </c>
      <c r="H182" s="199" t="s">
        <v>137</v>
      </c>
      <c r="I182" s="199">
        <v>0</v>
      </c>
      <c r="J182" s="199" t="str">
        <f>INDEX('[4]TS BYDem'!$J$10:$J$203,MATCH(D182,'[4]TS BYDem'!$D$10:$D$203,0))</f>
        <v/>
      </c>
      <c r="K182" s="199" t="e">
        <f t="shared" ca="1" si="64"/>
        <v>#VALUE!</v>
      </c>
      <c r="L182" s="199" t="e">
        <f t="shared" ca="1" si="64"/>
        <v>#VALUE!</v>
      </c>
      <c r="M182" s="199" t="e">
        <f t="shared" ca="1" si="64"/>
        <v>#VALUE!</v>
      </c>
      <c r="N182" s="199" t="e">
        <f t="shared" ca="1" si="64"/>
        <v>#VALUE!</v>
      </c>
      <c r="O182" s="199" t="e">
        <f t="shared" ca="1" si="64"/>
        <v>#VALUE!</v>
      </c>
      <c r="P182" s="199" t="e">
        <f t="shared" ca="1" si="64"/>
        <v>#VALUE!</v>
      </c>
      <c r="Q182" s="199" t="e">
        <f t="shared" ca="1" si="64"/>
        <v>#VALUE!</v>
      </c>
      <c r="R182" s="199" t="e">
        <f t="shared" ca="1" si="64"/>
        <v>#VALUE!</v>
      </c>
      <c r="S182" s="199" t="e">
        <f t="shared" ca="1" si="64"/>
        <v>#VALUE!</v>
      </c>
      <c r="T182" s="199" t="e">
        <f t="shared" ca="1" si="64"/>
        <v>#VALUE!</v>
      </c>
      <c r="U182" s="199" t="e">
        <f t="shared" ca="1" si="64"/>
        <v>#VALUE!</v>
      </c>
      <c r="V182" s="199" t="e">
        <f t="shared" ca="1" si="64"/>
        <v>#VALUE!</v>
      </c>
      <c r="W182" s="199" t="e">
        <f t="shared" ca="1" si="64"/>
        <v>#VALUE!</v>
      </c>
      <c r="X182" s="199" t="e">
        <f t="shared" ca="1" si="64"/>
        <v>#VALUE!</v>
      </c>
      <c r="Y182" s="199" t="e">
        <f t="shared" ca="1" si="64"/>
        <v>#VALUE!</v>
      </c>
      <c r="Z182" s="199" t="e">
        <f t="shared" ca="1" si="64"/>
        <v>#VALUE!</v>
      </c>
      <c r="AA182" s="199" t="e">
        <f t="shared" ca="1" si="65"/>
        <v>#VALUE!</v>
      </c>
      <c r="AB182" s="199" t="e">
        <f t="shared" ca="1" si="65"/>
        <v>#VALUE!</v>
      </c>
      <c r="AC182" s="199" t="e">
        <f t="shared" ca="1" si="65"/>
        <v>#VALUE!</v>
      </c>
      <c r="AD182" s="199" t="e">
        <f t="shared" ca="1" si="65"/>
        <v>#VALUE!</v>
      </c>
      <c r="AE182" s="199" t="e">
        <f t="shared" ca="1" si="65"/>
        <v>#VALUE!</v>
      </c>
      <c r="AF182" s="199" t="e">
        <f t="shared" ca="1" si="65"/>
        <v>#VALUE!</v>
      </c>
      <c r="AG182" s="199" t="e">
        <f t="shared" ca="1" si="65"/>
        <v>#VALUE!</v>
      </c>
      <c r="AH182" s="199" t="e">
        <f t="shared" ca="1" si="65"/>
        <v>#VALUE!</v>
      </c>
      <c r="AI182" s="199" t="e">
        <f t="shared" ca="1" si="65"/>
        <v>#VALUE!</v>
      </c>
      <c r="AJ182" s="199" t="e">
        <f t="shared" ca="1" si="65"/>
        <v>#VALUE!</v>
      </c>
      <c r="AK182" s="199" t="e">
        <f t="shared" ca="1" si="65"/>
        <v>#VALUE!</v>
      </c>
      <c r="AL182" s="199" t="e">
        <f t="shared" ca="1" si="65"/>
        <v>#VALUE!</v>
      </c>
      <c r="AM182" s="199" t="e">
        <f t="shared" ca="1" si="65"/>
        <v>#VALUE!</v>
      </c>
      <c r="AN182" s="199" t="e">
        <f t="shared" ca="1" si="65"/>
        <v>#VALUE!</v>
      </c>
      <c r="AO182" s="199" t="e">
        <f t="shared" ca="1" si="65"/>
        <v>#VALUE!</v>
      </c>
      <c r="AP182" s="199" t="e">
        <f t="shared" ca="1" si="65"/>
        <v>#VALUE!</v>
      </c>
    </row>
    <row r="183" spans="1:42">
      <c r="A183" s="61" t="str">
        <f>'[4]TS BYDem'!A122</f>
        <v>*</v>
      </c>
      <c r="B183" s="199" t="s">
        <v>288</v>
      </c>
      <c r="C183" s="199" t="s">
        <v>137</v>
      </c>
      <c r="D183" s="199" t="str">
        <f>'[4]TS BYDem'!D122</f>
        <v xml:space="preserve"> </v>
      </c>
      <c r="E183" s="199" t="s">
        <v>137</v>
      </c>
      <c r="F183" s="199" t="s">
        <v>137</v>
      </c>
      <c r="G183" s="199" t="s">
        <v>137</v>
      </c>
      <c r="H183" s="199" t="s">
        <v>137</v>
      </c>
      <c r="I183" s="199">
        <v>0</v>
      </c>
      <c r="J183" s="199" t="str">
        <f>INDEX('[4]TS BYDem'!$J$10:$J$203,MATCH(D183,'[4]TS BYDem'!$D$10:$D$203,0))</f>
        <v/>
      </c>
      <c r="K183" s="199" t="e">
        <f t="shared" ca="1" si="64"/>
        <v>#VALUE!</v>
      </c>
      <c r="L183" s="199" t="e">
        <f t="shared" ca="1" si="64"/>
        <v>#VALUE!</v>
      </c>
      <c r="M183" s="199" t="e">
        <f t="shared" ca="1" si="64"/>
        <v>#VALUE!</v>
      </c>
      <c r="N183" s="199" t="e">
        <f t="shared" ca="1" si="64"/>
        <v>#VALUE!</v>
      </c>
      <c r="O183" s="199" t="e">
        <f t="shared" ca="1" si="64"/>
        <v>#VALUE!</v>
      </c>
      <c r="P183" s="199" t="e">
        <f t="shared" ca="1" si="64"/>
        <v>#VALUE!</v>
      </c>
      <c r="Q183" s="199" t="e">
        <f t="shared" ca="1" si="64"/>
        <v>#VALUE!</v>
      </c>
      <c r="R183" s="199" t="e">
        <f t="shared" ca="1" si="64"/>
        <v>#VALUE!</v>
      </c>
      <c r="S183" s="199" t="e">
        <f t="shared" ca="1" si="64"/>
        <v>#VALUE!</v>
      </c>
      <c r="T183" s="199" t="e">
        <f t="shared" ca="1" si="64"/>
        <v>#VALUE!</v>
      </c>
      <c r="U183" s="199" t="e">
        <f t="shared" ca="1" si="64"/>
        <v>#VALUE!</v>
      </c>
      <c r="V183" s="199" t="e">
        <f t="shared" ca="1" si="64"/>
        <v>#VALUE!</v>
      </c>
      <c r="W183" s="199" t="e">
        <f t="shared" ca="1" si="64"/>
        <v>#VALUE!</v>
      </c>
      <c r="X183" s="199" t="e">
        <f t="shared" ca="1" si="64"/>
        <v>#VALUE!</v>
      </c>
      <c r="Y183" s="199" t="e">
        <f t="shared" ca="1" si="64"/>
        <v>#VALUE!</v>
      </c>
      <c r="Z183" s="199" t="e">
        <f t="shared" ca="1" si="64"/>
        <v>#VALUE!</v>
      </c>
      <c r="AA183" s="199" t="e">
        <f t="shared" ca="1" si="65"/>
        <v>#VALUE!</v>
      </c>
      <c r="AB183" s="199" t="e">
        <f t="shared" ca="1" si="65"/>
        <v>#VALUE!</v>
      </c>
      <c r="AC183" s="199" t="e">
        <f t="shared" ca="1" si="65"/>
        <v>#VALUE!</v>
      </c>
      <c r="AD183" s="199" t="e">
        <f t="shared" ca="1" si="65"/>
        <v>#VALUE!</v>
      </c>
      <c r="AE183" s="199" t="e">
        <f t="shared" ca="1" si="65"/>
        <v>#VALUE!</v>
      </c>
      <c r="AF183" s="199" t="e">
        <f t="shared" ca="1" si="65"/>
        <v>#VALUE!</v>
      </c>
      <c r="AG183" s="199" t="e">
        <f t="shared" ca="1" si="65"/>
        <v>#VALUE!</v>
      </c>
      <c r="AH183" s="199" t="e">
        <f t="shared" ca="1" si="65"/>
        <v>#VALUE!</v>
      </c>
      <c r="AI183" s="199" t="e">
        <f t="shared" ca="1" si="65"/>
        <v>#VALUE!</v>
      </c>
      <c r="AJ183" s="199" t="e">
        <f t="shared" ca="1" si="65"/>
        <v>#VALUE!</v>
      </c>
      <c r="AK183" s="199" t="e">
        <f t="shared" ca="1" si="65"/>
        <v>#VALUE!</v>
      </c>
      <c r="AL183" s="199" t="e">
        <f t="shared" ca="1" si="65"/>
        <v>#VALUE!</v>
      </c>
      <c r="AM183" s="199" t="e">
        <f t="shared" ca="1" si="65"/>
        <v>#VALUE!</v>
      </c>
      <c r="AN183" s="199" t="e">
        <f t="shared" ca="1" si="65"/>
        <v>#VALUE!</v>
      </c>
      <c r="AO183" s="199" t="e">
        <f t="shared" ca="1" si="65"/>
        <v>#VALUE!</v>
      </c>
      <c r="AP183" s="199" t="e">
        <f t="shared" ca="1" si="65"/>
        <v>#VALUE!</v>
      </c>
    </row>
    <row r="184" spans="1:42">
      <c r="A184" s="61" t="str">
        <f>'[4]TS BYDem'!A123</f>
        <v>*</v>
      </c>
      <c r="B184" s="199" t="s">
        <v>288</v>
      </c>
      <c r="C184" s="199" t="s">
        <v>137</v>
      </c>
      <c r="D184" s="199" t="str">
        <f>'[4]TS BYDem'!D123</f>
        <v>INMS</v>
      </c>
      <c r="E184" s="199" t="s">
        <v>137</v>
      </c>
      <c r="F184" s="199" t="s">
        <v>137</v>
      </c>
      <c r="G184" s="199" t="s">
        <v>137</v>
      </c>
      <c r="H184" s="199" t="s">
        <v>137</v>
      </c>
      <c r="I184" s="199">
        <v>0</v>
      </c>
      <c r="J184" s="199" t="str">
        <f>INDEX('[4]TS BYDem'!$J$10:$J$203,MATCH(D184,'[4]TS BYDem'!$D$10:$D$203,0))</f>
        <v/>
      </c>
      <c r="K184" s="199" t="e">
        <f t="shared" ca="1" si="64"/>
        <v>#VALUE!</v>
      </c>
      <c r="L184" s="199" t="e">
        <f t="shared" ca="1" si="64"/>
        <v>#VALUE!</v>
      </c>
      <c r="M184" s="199" t="e">
        <f t="shared" ca="1" si="64"/>
        <v>#VALUE!</v>
      </c>
      <c r="N184" s="199" t="e">
        <f t="shared" ca="1" si="64"/>
        <v>#VALUE!</v>
      </c>
      <c r="O184" s="199" t="e">
        <f t="shared" ca="1" si="64"/>
        <v>#VALUE!</v>
      </c>
      <c r="P184" s="199" t="e">
        <f t="shared" ca="1" si="64"/>
        <v>#VALUE!</v>
      </c>
      <c r="Q184" s="199" t="e">
        <f t="shared" ca="1" si="64"/>
        <v>#VALUE!</v>
      </c>
      <c r="R184" s="199" t="e">
        <f t="shared" ca="1" si="64"/>
        <v>#VALUE!</v>
      </c>
      <c r="S184" s="199" t="e">
        <f t="shared" ca="1" si="64"/>
        <v>#VALUE!</v>
      </c>
      <c r="T184" s="199" t="e">
        <f t="shared" ca="1" si="64"/>
        <v>#VALUE!</v>
      </c>
      <c r="U184" s="199" t="e">
        <f t="shared" ca="1" si="64"/>
        <v>#VALUE!</v>
      </c>
      <c r="V184" s="199" t="e">
        <f t="shared" ca="1" si="64"/>
        <v>#VALUE!</v>
      </c>
      <c r="W184" s="199" t="e">
        <f t="shared" ca="1" si="64"/>
        <v>#VALUE!</v>
      </c>
      <c r="X184" s="199" t="e">
        <f t="shared" ca="1" si="64"/>
        <v>#VALUE!</v>
      </c>
      <c r="Y184" s="199" t="e">
        <f t="shared" ca="1" si="64"/>
        <v>#VALUE!</v>
      </c>
      <c r="Z184" s="199" t="e">
        <f t="shared" ca="1" si="64"/>
        <v>#VALUE!</v>
      </c>
      <c r="AA184" s="199" t="e">
        <f t="shared" ca="1" si="65"/>
        <v>#VALUE!</v>
      </c>
      <c r="AB184" s="199" t="e">
        <f t="shared" ca="1" si="65"/>
        <v>#VALUE!</v>
      </c>
      <c r="AC184" s="199" t="e">
        <f t="shared" ca="1" si="65"/>
        <v>#VALUE!</v>
      </c>
      <c r="AD184" s="199" t="e">
        <f t="shared" ca="1" si="65"/>
        <v>#VALUE!</v>
      </c>
      <c r="AE184" s="199" t="e">
        <f t="shared" ca="1" si="65"/>
        <v>#VALUE!</v>
      </c>
      <c r="AF184" s="199" t="e">
        <f t="shared" ca="1" si="65"/>
        <v>#VALUE!</v>
      </c>
      <c r="AG184" s="199" t="e">
        <f t="shared" ca="1" si="65"/>
        <v>#VALUE!</v>
      </c>
      <c r="AH184" s="199" t="e">
        <f t="shared" ca="1" si="65"/>
        <v>#VALUE!</v>
      </c>
      <c r="AI184" s="199" t="e">
        <f t="shared" ca="1" si="65"/>
        <v>#VALUE!</v>
      </c>
      <c r="AJ184" s="199" t="e">
        <f t="shared" ca="1" si="65"/>
        <v>#VALUE!</v>
      </c>
      <c r="AK184" s="199" t="e">
        <f t="shared" ca="1" si="65"/>
        <v>#VALUE!</v>
      </c>
      <c r="AL184" s="199" t="e">
        <f t="shared" ca="1" si="65"/>
        <v>#VALUE!</v>
      </c>
      <c r="AM184" s="199" t="e">
        <f t="shared" ca="1" si="65"/>
        <v>#VALUE!</v>
      </c>
      <c r="AN184" s="199" t="e">
        <f t="shared" ca="1" si="65"/>
        <v>#VALUE!</v>
      </c>
      <c r="AO184" s="199" t="e">
        <f t="shared" ca="1" si="65"/>
        <v>#VALUE!</v>
      </c>
      <c r="AP184" s="199" t="e">
        <f t="shared" ca="1" si="65"/>
        <v>#VALUE!</v>
      </c>
    </row>
    <row r="185" spans="1:42">
      <c r="A185" s="61" t="str">
        <f>'[4]TS BYDem'!A124</f>
        <v>*</v>
      </c>
      <c r="B185" s="199" t="s">
        <v>288</v>
      </c>
      <c r="C185" s="199" t="s">
        <v>137</v>
      </c>
      <c r="D185" s="199" t="str">
        <f>'[4]TS BYDem'!D124</f>
        <v>INMS</v>
      </c>
      <c r="E185" s="199" t="s">
        <v>137</v>
      </c>
      <c r="F185" s="199" t="s">
        <v>137</v>
      </c>
      <c r="G185" s="199" t="s">
        <v>137</v>
      </c>
      <c r="H185" s="199" t="s">
        <v>137</v>
      </c>
      <c r="I185" s="199">
        <v>0</v>
      </c>
      <c r="J185" s="199" t="str">
        <f>INDEX('[4]TS BYDem'!$J$10:$J$203,MATCH(D185,'[4]TS BYDem'!$D$10:$D$203,0))</f>
        <v/>
      </c>
      <c r="K185" s="199" t="e">
        <f t="shared" ca="1" si="64"/>
        <v>#VALUE!</v>
      </c>
      <c r="L185" s="199" t="e">
        <f t="shared" ca="1" si="64"/>
        <v>#VALUE!</v>
      </c>
      <c r="M185" s="199" t="e">
        <f t="shared" ca="1" si="64"/>
        <v>#VALUE!</v>
      </c>
      <c r="N185" s="199" t="e">
        <f t="shared" ca="1" si="64"/>
        <v>#VALUE!</v>
      </c>
      <c r="O185" s="199" t="e">
        <f t="shared" ca="1" si="64"/>
        <v>#VALUE!</v>
      </c>
      <c r="P185" s="199" t="e">
        <f t="shared" ca="1" si="64"/>
        <v>#VALUE!</v>
      </c>
      <c r="Q185" s="199" t="e">
        <f t="shared" ca="1" si="64"/>
        <v>#VALUE!</v>
      </c>
      <c r="R185" s="199" t="e">
        <f t="shared" ca="1" si="64"/>
        <v>#VALUE!</v>
      </c>
      <c r="S185" s="199" t="e">
        <f t="shared" ca="1" si="64"/>
        <v>#VALUE!</v>
      </c>
      <c r="T185" s="199" t="e">
        <f t="shared" ca="1" si="64"/>
        <v>#VALUE!</v>
      </c>
      <c r="U185" s="199" t="e">
        <f t="shared" ca="1" si="64"/>
        <v>#VALUE!</v>
      </c>
      <c r="V185" s="199" t="e">
        <f t="shared" ca="1" si="64"/>
        <v>#VALUE!</v>
      </c>
      <c r="W185" s="199" t="e">
        <f t="shared" ca="1" si="64"/>
        <v>#VALUE!</v>
      </c>
      <c r="X185" s="199" t="e">
        <f t="shared" ca="1" si="64"/>
        <v>#VALUE!</v>
      </c>
      <c r="Y185" s="199" t="e">
        <f t="shared" ca="1" si="64"/>
        <v>#VALUE!</v>
      </c>
      <c r="Z185" s="199" t="e">
        <f t="shared" ca="1" si="64"/>
        <v>#VALUE!</v>
      </c>
      <c r="AA185" s="199" t="e">
        <f t="shared" ca="1" si="65"/>
        <v>#VALUE!</v>
      </c>
      <c r="AB185" s="199" t="e">
        <f t="shared" ca="1" si="65"/>
        <v>#VALUE!</v>
      </c>
      <c r="AC185" s="199" t="e">
        <f t="shared" ca="1" si="65"/>
        <v>#VALUE!</v>
      </c>
      <c r="AD185" s="199" t="e">
        <f t="shared" ca="1" si="65"/>
        <v>#VALUE!</v>
      </c>
      <c r="AE185" s="199" t="e">
        <f t="shared" ca="1" si="65"/>
        <v>#VALUE!</v>
      </c>
      <c r="AF185" s="199" t="e">
        <f t="shared" ca="1" si="65"/>
        <v>#VALUE!</v>
      </c>
      <c r="AG185" s="199" t="e">
        <f t="shared" ca="1" si="65"/>
        <v>#VALUE!</v>
      </c>
      <c r="AH185" s="199" t="e">
        <f t="shared" ca="1" si="65"/>
        <v>#VALUE!</v>
      </c>
      <c r="AI185" s="199" t="e">
        <f t="shared" ca="1" si="65"/>
        <v>#VALUE!</v>
      </c>
      <c r="AJ185" s="199" t="e">
        <f t="shared" ca="1" si="65"/>
        <v>#VALUE!</v>
      </c>
      <c r="AK185" s="199" t="e">
        <f t="shared" ca="1" si="65"/>
        <v>#VALUE!</v>
      </c>
      <c r="AL185" s="199" t="e">
        <f t="shared" ca="1" si="65"/>
        <v>#VALUE!</v>
      </c>
      <c r="AM185" s="199" t="e">
        <f t="shared" ca="1" si="65"/>
        <v>#VALUE!</v>
      </c>
      <c r="AN185" s="199" t="e">
        <f t="shared" ca="1" si="65"/>
        <v>#VALUE!</v>
      </c>
      <c r="AO185" s="199" t="e">
        <f t="shared" ca="1" si="65"/>
        <v>#VALUE!</v>
      </c>
      <c r="AP185" s="199" t="e">
        <f t="shared" ca="1" si="65"/>
        <v>#VALUE!</v>
      </c>
    </row>
    <row r="186" spans="1:42">
      <c r="A186" s="61" t="str">
        <f>'[4]TS BYDem'!A125</f>
        <v>*</v>
      </c>
      <c r="B186" s="199" t="s">
        <v>288</v>
      </c>
      <c r="C186" s="199" t="s">
        <v>137</v>
      </c>
      <c r="D186" s="199" t="str">
        <f>'[4]TS BYDem'!D125</f>
        <v>INMS</v>
      </c>
      <c r="E186" s="199" t="s">
        <v>137</v>
      </c>
      <c r="F186" s="199" t="s">
        <v>137</v>
      </c>
      <c r="G186" s="199" t="s">
        <v>137</v>
      </c>
      <c r="H186" s="199" t="s">
        <v>137</v>
      </c>
      <c r="I186" s="199">
        <v>0</v>
      </c>
      <c r="J186" s="199" t="str">
        <f>INDEX('[4]TS BYDem'!$J$10:$J$203,MATCH(D186,'[4]TS BYDem'!$D$10:$D$203,0))</f>
        <v/>
      </c>
      <c r="K186" s="199" t="e">
        <f t="shared" ca="1" si="64"/>
        <v>#VALUE!</v>
      </c>
      <c r="L186" s="199" t="e">
        <f t="shared" ca="1" si="64"/>
        <v>#VALUE!</v>
      </c>
      <c r="M186" s="199" t="e">
        <f t="shared" ca="1" si="64"/>
        <v>#VALUE!</v>
      </c>
      <c r="N186" s="199" t="e">
        <f t="shared" ca="1" si="64"/>
        <v>#VALUE!</v>
      </c>
      <c r="O186" s="199" t="e">
        <f t="shared" ca="1" si="64"/>
        <v>#VALUE!</v>
      </c>
      <c r="P186" s="199" t="e">
        <f t="shared" ca="1" si="64"/>
        <v>#VALUE!</v>
      </c>
      <c r="Q186" s="199" t="e">
        <f t="shared" ca="1" si="64"/>
        <v>#VALUE!</v>
      </c>
      <c r="R186" s="199" t="e">
        <f t="shared" ca="1" si="64"/>
        <v>#VALUE!</v>
      </c>
      <c r="S186" s="199" t="e">
        <f t="shared" ca="1" si="64"/>
        <v>#VALUE!</v>
      </c>
      <c r="T186" s="199" t="e">
        <f t="shared" ca="1" si="64"/>
        <v>#VALUE!</v>
      </c>
      <c r="U186" s="199" t="e">
        <f t="shared" ca="1" si="64"/>
        <v>#VALUE!</v>
      </c>
      <c r="V186" s="199" t="e">
        <f t="shared" ca="1" si="64"/>
        <v>#VALUE!</v>
      </c>
      <c r="W186" s="199" t="e">
        <f t="shared" ca="1" si="64"/>
        <v>#VALUE!</v>
      </c>
      <c r="X186" s="199" t="e">
        <f t="shared" ca="1" si="64"/>
        <v>#VALUE!</v>
      </c>
      <c r="Y186" s="199" t="e">
        <f t="shared" ca="1" si="64"/>
        <v>#VALUE!</v>
      </c>
      <c r="Z186" s="199" t="e">
        <f t="shared" ca="1" si="64"/>
        <v>#VALUE!</v>
      </c>
      <c r="AA186" s="199" t="e">
        <f t="shared" ca="1" si="65"/>
        <v>#VALUE!</v>
      </c>
      <c r="AB186" s="199" t="e">
        <f t="shared" ca="1" si="65"/>
        <v>#VALUE!</v>
      </c>
      <c r="AC186" s="199" t="e">
        <f t="shared" ca="1" si="65"/>
        <v>#VALUE!</v>
      </c>
      <c r="AD186" s="199" t="e">
        <f t="shared" ca="1" si="65"/>
        <v>#VALUE!</v>
      </c>
      <c r="AE186" s="199" t="e">
        <f t="shared" ca="1" si="65"/>
        <v>#VALUE!</v>
      </c>
      <c r="AF186" s="199" t="e">
        <f t="shared" ca="1" si="65"/>
        <v>#VALUE!</v>
      </c>
      <c r="AG186" s="199" t="e">
        <f t="shared" ca="1" si="65"/>
        <v>#VALUE!</v>
      </c>
      <c r="AH186" s="199" t="e">
        <f t="shared" ca="1" si="65"/>
        <v>#VALUE!</v>
      </c>
      <c r="AI186" s="199" t="e">
        <f t="shared" ca="1" si="65"/>
        <v>#VALUE!</v>
      </c>
      <c r="AJ186" s="199" t="e">
        <f t="shared" ca="1" si="65"/>
        <v>#VALUE!</v>
      </c>
      <c r="AK186" s="199" t="e">
        <f t="shared" ca="1" si="65"/>
        <v>#VALUE!</v>
      </c>
      <c r="AL186" s="199" t="e">
        <f t="shared" ca="1" si="65"/>
        <v>#VALUE!</v>
      </c>
      <c r="AM186" s="199" t="e">
        <f t="shared" ca="1" si="65"/>
        <v>#VALUE!</v>
      </c>
      <c r="AN186" s="199" t="e">
        <f t="shared" ca="1" si="65"/>
        <v>#VALUE!</v>
      </c>
      <c r="AO186" s="199" t="e">
        <f t="shared" ca="1" si="65"/>
        <v>#VALUE!</v>
      </c>
      <c r="AP186" s="199" t="e">
        <f t="shared" ca="1" si="65"/>
        <v>#VALUE!</v>
      </c>
    </row>
    <row r="187" spans="1:42">
      <c r="A187" s="61" t="str">
        <f>'[4]TS BYDem'!A126</f>
        <v>*</v>
      </c>
      <c r="B187" s="199" t="s">
        <v>288</v>
      </c>
      <c r="C187" s="199" t="s">
        <v>137</v>
      </c>
      <c r="D187" s="199" t="str">
        <f>'[4]TS BYDem'!D126</f>
        <v>INMS</v>
      </c>
      <c r="E187" s="199" t="s">
        <v>137</v>
      </c>
      <c r="F187" s="199" t="s">
        <v>137</v>
      </c>
      <c r="G187" s="199" t="s">
        <v>137</v>
      </c>
      <c r="H187" s="199" t="s">
        <v>137</v>
      </c>
      <c r="I187" s="199">
        <v>0</v>
      </c>
      <c r="J187" s="199" t="str">
        <f>INDEX('[4]TS BYDem'!$J$10:$J$203,MATCH(D187,'[4]TS BYDem'!$D$10:$D$203,0))</f>
        <v/>
      </c>
      <c r="K187" s="199" t="e">
        <f t="shared" ca="1" si="64"/>
        <v>#VALUE!</v>
      </c>
      <c r="L187" s="199" t="e">
        <f t="shared" ca="1" si="64"/>
        <v>#VALUE!</v>
      </c>
      <c r="M187" s="199" t="e">
        <f t="shared" ca="1" si="64"/>
        <v>#VALUE!</v>
      </c>
      <c r="N187" s="199" t="e">
        <f t="shared" ca="1" si="64"/>
        <v>#VALUE!</v>
      </c>
      <c r="O187" s="199" t="e">
        <f t="shared" ca="1" si="64"/>
        <v>#VALUE!</v>
      </c>
      <c r="P187" s="199" t="e">
        <f t="shared" ca="1" si="64"/>
        <v>#VALUE!</v>
      </c>
      <c r="Q187" s="199" t="e">
        <f t="shared" ca="1" si="64"/>
        <v>#VALUE!</v>
      </c>
      <c r="R187" s="199" t="e">
        <f t="shared" ca="1" si="64"/>
        <v>#VALUE!</v>
      </c>
      <c r="S187" s="199" t="e">
        <f t="shared" ca="1" si="64"/>
        <v>#VALUE!</v>
      </c>
      <c r="T187" s="199" t="e">
        <f t="shared" ca="1" si="64"/>
        <v>#VALUE!</v>
      </c>
      <c r="U187" s="199" t="e">
        <f t="shared" ca="1" si="64"/>
        <v>#VALUE!</v>
      </c>
      <c r="V187" s="199" t="e">
        <f t="shared" ca="1" si="64"/>
        <v>#VALUE!</v>
      </c>
      <c r="W187" s="199" t="e">
        <f t="shared" ca="1" si="64"/>
        <v>#VALUE!</v>
      </c>
      <c r="X187" s="199" t="e">
        <f t="shared" ca="1" si="64"/>
        <v>#VALUE!</v>
      </c>
      <c r="Y187" s="199" t="e">
        <f t="shared" ca="1" si="64"/>
        <v>#VALUE!</v>
      </c>
      <c r="Z187" s="199" t="e">
        <f t="shared" ca="1" si="64"/>
        <v>#VALUE!</v>
      </c>
      <c r="AA187" s="199" t="e">
        <f t="shared" ca="1" si="65"/>
        <v>#VALUE!</v>
      </c>
      <c r="AB187" s="199" t="e">
        <f t="shared" ca="1" si="65"/>
        <v>#VALUE!</v>
      </c>
      <c r="AC187" s="199" t="e">
        <f t="shared" ca="1" si="65"/>
        <v>#VALUE!</v>
      </c>
      <c r="AD187" s="199" t="e">
        <f t="shared" ca="1" si="65"/>
        <v>#VALUE!</v>
      </c>
      <c r="AE187" s="199" t="e">
        <f t="shared" ca="1" si="65"/>
        <v>#VALUE!</v>
      </c>
      <c r="AF187" s="199" t="e">
        <f t="shared" ca="1" si="65"/>
        <v>#VALUE!</v>
      </c>
      <c r="AG187" s="199" t="e">
        <f t="shared" ca="1" si="65"/>
        <v>#VALUE!</v>
      </c>
      <c r="AH187" s="199" t="e">
        <f t="shared" ca="1" si="65"/>
        <v>#VALUE!</v>
      </c>
      <c r="AI187" s="199" t="e">
        <f t="shared" ca="1" si="65"/>
        <v>#VALUE!</v>
      </c>
      <c r="AJ187" s="199" t="e">
        <f t="shared" ca="1" si="65"/>
        <v>#VALUE!</v>
      </c>
      <c r="AK187" s="199" t="e">
        <f t="shared" ca="1" si="65"/>
        <v>#VALUE!</v>
      </c>
      <c r="AL187" s="199" t="e">
        <f t="shared" ca="1" si="65"/>
        <v>#VALUE!</v>
      </c>
      <c r="AM187" s="199" t="e">
        <f t="shared" ca="1" si="65"/>
        <v>#VALUE!</v>
      </c>
      <c r="AN187" s="199" t="e">
        <f t="shared" ca="1" si="65"/>
        <v>#VALUE!</v>
      </c>
      <c r="AO187" s="199" t="e">
        <f t="shared" ca="1" si="65"/>
        <v>#VALUE!</v>
      </c>
      <c r="AP187" s="199" t="e">
        <f t="shared" ca="1" si="65"/>
        <v>#VALUE!</v>
      </c>
    </row>
    <row r="188" spans="1:42">
      <c r="A188" s="61" t="str">
        <f>'[4]TS BYDem'!A127</f>
        <v>*</v>
      </c>
      <c r="B188" s="199" t="s">
        <v>288</v>
      </c>
      <c r="C188" s="199" t="s">
        <v>137</v>
      </c>
      <c r="D188" s="199" t="str">
        <f>'[4]TS BYDem'!D127</f>
        <v>INMS</v>
      </c>
      <c r="E188" s="199" t="s">
        <v>137</v>
      </c>
      <c r="F188" s="199" t="s">
        <v>137</v>
      </c>
      <c r="G188" s="199" t="s">
        <v>137</v>
      </c>
      <c r="H188" s="199" t="s">
        <v>137</v>
      </c>
      <c r="I188" s="199">
        <v>0</v>
      </c>
      <c r="J188" s="199" t="str">
        <f>INDEX('[4]TS BYDem'!$J$10:$J$203,MATCH(D188,'[4]TS BYDem'!$D$10:$D$203,0))</f>
        <v/>
      </c>
      <c r="K188" s="199" t="e">
        <f t="shared" ca="1" si="64"/>
        <v>#VALUE!</v>
      </c>
      <c r="L188" s="199" t="e">
        <f t="shared" ca="1" si="64"/>
        <v>#VALUE!</v>
      </c>
      <c r="M188" s="199" t="e">
        <f t="shared" ca="1" si="64"/>
        <v>#VALUE!</v>
      </c>
      <c r="N188" s="199" t="e">
        <f t="shared" ca="1" si="64"/>
        <v>#VALUE!</v>
      </c>
      <c r="O188" s="199" t="e">
        <f t="shared" ca="1" si="64"/>
        <v>#VALUE!</v>
      </c>
      <c r="P188" s="199" t="e">
        <f t="shared" ca="1" si="64"/>
        <v>#VALUE!</v>
      </c>
      <c r="Q188" s="199" t="e">
        <f t="shared" ca="1" si="64"/>
        <v>#VALUE!</v>
      </c>
      <c r="R188" s="199" t="e">
        <f t="shared" ca="1" si="64"/>
        <v>#VALUE!</v>
      </c>
      <c r="S188" s="199" t="e">
        <f t="shared" ca="1" si="64"/>
        <v>#VALUE!</v>
      </c>
      <c r="T188" s="199" t="e">
        <f t="shared" ca="1" si="64"/>
        <v>#VALUE!</v>
      </c>
      <c r="U188" s="199" t="e">
        <f t="shared" ca="1" si="64"/>
        <v>#VALUE!</v>
      </c>
      <c r="V188" s="199" t="e">
        <f t="shared" ca="1" si="64"/>
        <v>#VALUE!</v>
      </c>
      <c r="W188" s="199" t="e">
        <f t="shared" ca="1" si="64"/>
        <v>#VALUE!</v>
      </c>
      <c r="X188" s="199" t="e">
        <f t="shared" ca="1" si="64"/>
        <v>#VALUE!</v>
      </c>
      <c r="Y188" s="199" t="e">
        <f t="shared" ca="1" si="64"/>
        <v>#VALUE!</v>
      </c>
      <c r="Z188" s="199" t="e">
        <f t="shared" ca="1" si="64"/>
        <v>#VALUE!</v>
      </c>
      <c r="AA188" s="199" t="e">
        <f t="shared" ca="1" si="65"/>
        <v>#VALUE!</v>
      </c>
      <c r="AB188" s="199" t="e">
        <f t="shared" ca="1" si="65"/>
        <v>#VALUE!</v>
      </c>
      <c r="AC188" s="199" t="e">
        <f t="shared" ca="1" si="65"/>
        <v>#VALUE!</v>
      </c>
      <c r="AD188" s="199" t="e">
        <f t="shared" ca="1" si="65"/>
        <v>#VALUE!</v>
      </c>
      <c r="AE188" s="199" t="e">
        <f t="shared" ca="1" si="65"/>
        <v>#VALUE!</v>
      </c>
      <c r="AF188" s="199" t="e">
        <f t="shared" ca="1" si="65"/>
        <v>#VALUE!</v>
      </c>
      <c r="AG188" s="199" t="e">
        <f t="shared" ca="1" si="65"/>
        <v>#VALUE!</v>
      </c>
      <c r="AH188" s="199" t="e">
        <f t="shared" ca="1" si="65"/>
        <v>#VALUE!</v>
      </c>
      <c r="AI188" s="199" t="e">
        <f t="shared" ca="1" si="65"/>
        <v>#VALUE!</v>
      </c>
      <c r="AJ188" s="199" t="e">
        <f t="shared" ca="1" si="65"/>
        <v>#VALUE!</v>
      </c>
      <c r="AK188" s="199" t="e">
        <f t="shared" ca="1" si="65"/>
        <v>#VALUE!</v>
      </c>
      <c r="AL188" s="199" t="e">
        <f t="shared" ca="1" si="65"/>
        <v>#VALUE!</v>
      </c>
      <c r="AM188" s="199" t="e">
        <f t="shared" ca="1" si="65"/>
        <v>#VALUE!</v>
      </c>
      <c r="AN188" s="199" t="e">
        <f t="shared" ca="1" si="65"/>
        <v>#VALUE!</v>
      </c>
      <c r="AO188" s="199" t="e">
        <f t="shared" ca="1" si="65"/>
        <v>#VALUE!</v>
      </c>
      <c r="AP188" s="199" t="e">
        <f t="shared" ca="1" si="65"/>
        <v>#VALUE!</v>
      </c>
    </row>
    <row r="189" spans="1:42">
      <c r="A189" s="61" t="str">
        <f>'[4]TS BYDem'!A128</f>
        <v>*</v>
      </c>
      <c r="B189" s="199" t="s">
        <v>288</v>
      </c>
      <c r="C189" s="199" t="s">
        <v>137</v>
      </c>
      <c r="D189" s="199" t="str">
        <f>'[4]TS BYDem'!D128</f>
        <v>INMS</v>
      </c>
      <c r="E189" s="199" t="s">
        <v>137</v>
      </c>
      <c r="F189" s="199" t="s">
        <v>137</v>
      </c>
      <c r="G189" s="199" t="s">
        <v>137</v>
      </c>
      <c r="H189" s="199" t="s">
        <v>137</v>
      </c>
      <c r="I189" s="199">
        <v>0</v>
      </c>
      <c r="J189" s="199" t="str">
        <f>INDEX('[4]TS BYDem'!$J$10:$J$203,MATCH(D189,'[4]TS BYDem'!$D$10:$D$203,0))</f>
        <v/>
      </c>
      <c r="K189" s="199" t="e">
        <f t="shared" ca="1" si="64"/>
        <v>#VALUE!</v>
      </c>
      <c r="L189" s="199" t="e">
        <f t="shared" ca="1" si="64"/>
        <v>#VALUE!</v>
      </c>
      <c r="M189" s="199" t="e">
        <f t="shared" ca="1" si="64"/>
        <v>#VALUE!</v>
      </c>
      <c r="N189" s="199" t="e">
        <f t="shared" ca="1" si="64"/>
        <v>#VALUE!</v>
      </c>
      <c r="O189" s="199" t="e">
        <f t="shared" ca="1" si="64"/>
        <v>#VALUE!</v>
      </c>
      <c r="P189" s="199" t="e">
        <f t="shared" ca="1" si="64"/>
        <v>#VALUE!</v>
      </c>
      <c r="Q189" s="199" t="e">
        <f t="shared" ca="1" si="64"/>
        <v>#VALUE!</v>
      </c>
      <c r="R189" s="199" t="e">
        <f t="shared" ca="1" si="64"/>
        <v>#VALUE!</v>
      </c>
      <c r="S189" s="199" t="e">
        <f t="shared" ca="1" si="64"/>
        <v>#VALUE!</v>
      </c>
      <c r="T189" s="199" t="e">
        <f t="shared" ca="1" si="64"/>
        <v>#VALUE!</v>
      </c>
      <c r="U189" s="199" t="e">
        <f t="shared" ca="1" si="64"/>
        <v>#VALUE!</v>
      </c>
      <c r="V189" s="199" t="e">
        <f t="shared" ca="1" si="64"/>
        <v>#VALUE!</v>
      </c>
      <c r="W189" s="199" t="e">
        <f t="shared" ca="1" si="64"/>
        <v>#VALUE!</v>
      </c>
      <c r="X189" s="199" t="e">
        <f t="shared" ca="1" si="64"/>
        <v>#VALUE!</v>
      </c>
      <c r="Y189" s="199" t="e">
        <f t="shared" ca="1" si="64"/>
        <v>#VALUE!</v>
      </c>
      <c r="Z189" s="199" t="e">
        <f t="shared" ref="Z189:AO189" ca="1" si="66">Z$173/Y$173*Y189</f>
        <v>#VALUE!</v>
      </c>
      <c r="AA189" s="199" t="e">
        <f t="shared" ca="1" si="66"/>
        <v>#VALUE!</v>
      </c>
      <c r="AB189" s="199" t="e">
        <f t="shared" ca="1" si="66"/>
        <v>#VALUE!</v>
      </c>
      <c r="AC189" s="199" t="e">
        <f t="shared" ca="1" si="66"/>
        <v>#VALUE!</v>
      </c>
      <c r="AD189" s="199" t="e">
        <f t="shared" ca="1" si="66"/>
        <v>#VALUE!</v>
      </c>
      <c r="AE189" s="199" t="e">
        <f t="shared" ca="1" si="66"/>
        <v>#VALUE!</v>
      </c>
      <c r="AF189" s="199" t="e">
        <f t="shared" ca="1" si="66"/>
        <v>#VALUE!</v>
      </c>
      <c r="AG189" s="199" t="e">
        <f t="shared" ca="1" si="66"/>
        <v>#VALUE!</v>
      </c>
      <c r="AH189" s="199" t="e">
        <f t="shared" ca="1" si="66"/>
        <v>#VALUE!</v>
      </c>
      <c r="AI189" s="199" t="e">
        <f t="shared" ca="1" si="66"/>
        <v>#VALUE!</v>
      </c>
      <c r="AJ189" s="199" t="e">
        <f t="shared" ca="1" si="66"/>
        <v>#VALUE!</v>
      </c>
      <c r="AK189" s="199" t="e">
        <f t="shared" ca="1" si="66"/>
        <v>#VALUE!</v>
      </c>
      <c r="AL189" s="199" t="e">
        <f t="shared" ca="1" si="66"/>
        <v>#VALUE!</v>
      </c>
      <c r="AM189" s="199" t="e">
        <f t="shared" ca="1" si="66"/>
        <v>#VALUE!</v>
      </c>
      <c r="AN189" s="199" t="e">
        <f t="shared" ca="1" si="66"/>
        <v>#VALUE!</v>
      </c>
      <c r="AO189" s="199" t="e">
        <f t="shared" ca="1" si="66"/>
        <v>#VALUE!</v>
      </c>
      <c r="AP189" s="199" t="e">
        <f t="shared" ca="1" si="65"/>
        <v>#VALUE!</v>
      </c>
    </row>
    <row r="190" spans="1:42">
      <c r="A190" s="61" t="str">
        <f>'[4]TS BYDem'!A129</f>
        <v>*</v>
      </c>
      <c r="B190" s="199" t="s">
        <v>288</v>
      </c>
      <c r="C190" s="199" t="s">
        <v>137</v>
      </c>
      <c r="D190" s="199" t="str">
        <f>'[4]TS BYDem'!D129</f>
        <v>Useful Energy Service</v>
      </c>
      <c r="E190" s="199" t="s">
        <v>137</v>
      </c>
      <c r="F190" s="199" t="s">
        <v>137</v>
      </c>
      <c r="G190" s="199" t="s">
        <v>137</v>
      </c>
      <c r="H190" s="199" t="s">
        <v>137</v>
      </c>
      <c r="I190" s="199">
        <v>0</v>
      </c>
      <c r="J190" s="199" t="str">
        <f>INDEX('[4]TS BYDem'!$J$10:$J$203,MATCH(D190,'[4]TS BYDem'!$D$10:$D$203,0))</f>
        <v/>
      </c>
    </row>
    <row r="191" spans="1:42">
      <c r="A191" s="61" t="str">
        <f>'[4]TS BYDem'!A130</f>
        <v>*</v>
      </c>
      <c r="B191" s="199" t="s">
        <v>288</v>
      </c>
      <c r="C191" s="199" t="s">
        <v>137</v>
      </c>
      <c r="D191" s="199">
        <f>'[4]TS BYDem'!D130</f>
        <v>0</v>
      </c>
      <c r="E191" s="199" t="s">
        <v>137</v>
      </c>
      <c r="F191" s="199" t="s">
        <v>137</v>
      </c>
      <c r="G191" s="199" t="s">
        <v>137</v>
      </c>
      <c r="H191" s="199" t="s">
        <v>137</v>
      </c>
      <c r="I191" s="199">
        <v>0</v>
      </c>
      <c r="J191" s="199" t="str">
        <f>INDEX('[4]TS BYDem'!$J$10:$J$203,MATCH(D191,'[4]TS BYDem'!$D$10:$D$203,0))</f>
        <v/>
      </c>
    </row>
    <row r="192" spans="1:42" s="5" customFormat="1">
      <c r="A192" s="61"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97.164896707550014</v>
      </c>
      <c r="T192" s="5">
        <f t="shared" ca="1" si="67"/>
        <v>100.84274488289863</v>
      </c>
      <c r="U192" s="5">
        <f t="shared" ca="1" si="67"/>
        <v>104.4472195285134</v>
      </c>
      <c r="V192" s="5">
        <f t="shared" ca="1" si="67"/>
        <v>108.53779380835738</v>
      </c>
      <c r="W192" s="5">
        <f t="shared" ca="1" si="67"/>
        <v>112.95854897181287</v>
      </c>
      <c r="X192" s="5">
        <f t="shared" ca="1" si="67"/>
        <v>117.53522288584188</v>
      </c>
      <c r="Y192" s="5">
        <f t="shared" ca="1" si="67"/>
        <v>122.34118908014129</v>
      </c>
      <c r="Z192" s="5">
        <f t="shared" ca="1" si="67"/>
        <v>127.38561924592128</v>
      </c>
      <c r="AA192" s="5">
        <f t="shared" ca="1" si="67"/>
        <v>133.12709794378537</v>
      </c>
      <c r="AB192" s="5">
        <f t="shared" ca="1" si="67"/>
        <v>139.06118215706289</v>
      </c>
      <c r="AC192" s="5">
        <f t="shared" ca="1" si="67"/>
        <v>144.60088364818583</v>
      </c>
      <c r="AD192" s="5">
        <f t="shared" ca="1" si="67"/>
        <v>150.38822080199571</v>
      </c>
      <c r="AE192" s="5">
        <f t="shared" ca="1" si="67"/>
        <v>156.07466935243968</v>
      </c>
      <c r="AF192" s="5">
        <f t="shared" ca="1" si="67"/>
        <v>162.24721753707666</v>
      </c>
      <c r="AG192" s="5">
        <f t="shared" ca="1" si="67"/>
        <v>168.09875652926692</v>
      </c>
      <c r="AH192" s="5">
        <f t="shared" ca="1" si="67"/>
        <v>173.98698228627208</v>
      </c>
      <c r="AI192" s="5">
        <f t="shared" ca="1" si="67"/>
        <v>180.59977164896804</v>
      </c>
      <c r="AJ192" s="5">
        <f t="shared" ca="1" si="67"/>
        <v>187.60694373373019</v>
      </c>
      <c r="AK192" s="5">
        <f t="shared" ca="1" si="67"/>
        <v>195.19193236478739</v>
      </c>
      <c r="AL192" s="5">
        <f t="shared" ca="1" si="67"/>
        <v>203.3914243069818</v>
      </c>
      <c r="AM192" s="5">
        <f t="shared" ca="1" si="67"/>
        <v>251.47860132383192</v>
      </c>
      <c r="AN192" s="5">
        <f t="shared" ca="1" si="67"/>
        <v>309.58126514248795</v>
      </c>
      <c r="AO192" s="5">
        <f t="shared" ca="1" si="67"/>
        <v>414.10185817769525</v>
      </c>
      <c r="AP192" s="5">
        <f t="shared" ca="1" si="67"/>
        <v>520.29169901319983</v>
      </c>
    </row>
    <row r="193" spans="1:42">
      <c r="A193" s="61" t="str">
        <f>'[4]TS BYDem'!A132</f>
        <v/>
      </c>
      <c r="B193" s="199" t="s">
        <v>288</v>
      </c>
      <c r="C193" s="199" t="s">
        <v>137</v>
      </c>
      <c r="D193" s="199" t="str">
        <f>'[4]TS BYDem'!D132</f>
        <v>IFBK</v>
      </c>
      <c r="E193" s="199" t="s">
        <v>137</v>
      </c>
      <c r="F193" s="199" t="s">
        <v>137</v>
      </c>
      <c r="G193" s="199" t="s">
        <v>137</v>
      </c>
      <c r="H193" s="199" t="s">
        <v>137</v>
      </c>
      <c r="I193" s="199">
        <v>0</v>
      </c>
      <c r="J193" s="199">
        <f>INDEX('[4]TS BYDem'!$J$10:$J$203,MATCH(D193,'[4]TS BYDem'!$D$10:$D$203,0))</f>
        <v>1.1176071642017353</v>
      </c>
      <c r="K193" s="199">
        <f t="shared" ref="K193:Z208" ca="1" si="68">K$192/J$192*J193</f>
        <v>1.1381346427278896</v>
      </c>
      <c r="L193" s="199">
        <f t="shared" ca="1" si="68"/>
        <v>1.1529000220186323</v>
      </c>
      <c r="M193" s="206">
        <f t="shared" ref="M193:M201" si="69">O193</f>
        <v>1.04664</v>
      </c>
      <c r="N193" s="206">
        <f t="shared" ref="N193:N201" si="70">O193</f>
        <v>1.04664</v>
      </c>
      <c r="O193" s="206">
        <f>INDEX('[4]TS BYDem'!$O$10:$O$203,MATCH(D193,'[4]TS BYDem'!$D$10:$D$203,0))</f>
        <v>1.04664</v>
      </c>
      <c r="P193" s="199">
        <f t="shared" ca="1" si="68"/>
        <v>1.0538095000511196</v>
      </c>
      <c r="Q193" s="199">
        <f t="shared" ca="1" si="68"/>
        <v>1.0455699253655044</v>
      </c>
      <c r="R193" s="199">
        <f t="shared" ca="1" si="68"/>
        <v>0.99292225334832829</v>
      </c>
      <c r="S193" s="199">
        <f t="shared" ca="1" si="68"/>
        <v>1.0397369133011976</v>
      </c>
      <c r="T193" s="199">
        <f t="shared" ca="1" si="68"/>
        <v>1.0790926337208568</v>
      </c>
      <c r="U193" s="199">
        <f t="shared" ca="1" si="68"/>
        <v>1.1176632026104003</v>
      </c>
      <c r="V193" s="199">
        <f t="shared" ca="1" si="68"/>
        <v>1.1614354003842056</v>
      </c>
      <c r="W193" s="199">
        <f t="shared" ca="1" si="68"/>
        <v>1.2087407800414907</v>
      </c>
      <c r="X193" s="199">
        <f t="shared" ca="1" si="68"/>
        <v>1.2577146066990852</v>
      </c>
      <c r="Y193" s="199">
        <f t="shared" ca="1" si="68"/>
        <v>1.3091420318867095</v>
      </c>
      <c r="Z193" s="199">
        <f t="shared" ca="1" si="68"/>
        <v>1.3631211995455581</v>
      </c>
      <c r="AA193" s="199">
        <f t="shared" ref="AA193:AP208" ca="1" si="71">AA$192/Z$192*Z193</f>
        <v>1.4245593067363616</v>
      </c>
      <c r="AB193" s="199">
        <f t="shared" ca="1" si="71"/>
        <v>1.4880584366922431</v>
      </c>
      <c r="AC193" s="199">
        <f t="shared" ca="1" si="71"/>
        <v>1.5473373771755159</v>
      </c>
      <c r="AD193" s="199">
        <f t="shared" ca="1" si="71"/>
        <v>1.6092662040711663</v>
      </c>
      <c r="AE193" s="199">
        <f t="shared" ca="1" si="71"/>
        <v>1.6701154476131015</v>
      </c>
      <c r="AF193" s="199">
        <f t="shared" ca="1" si="71"/>
        <v>1.7361663200389112</v>
      </c>
      <c r="AG193" s="199">
        <f t="shared" ca="1" si="71"/>
        <v>1.7987821545219498</v>
      </c>
      <c r="AH193" s="199">
        <f t="shared" ca="1" si="71"/>
        <v>1.8617905647694899</v>
      </c>
      <c r="AI193" s="199">
        <f t="shared" ca="1" si="71"/>
        <v>1.9325523463723127</v>
      </c>
      <c r="AJ193" s="199">
        <f t="shared" ca="1" si="71"/>
        <v>2.0075343174467983</v>
      </c>
      <c r="AK193" s="199">
        <f t="shared" ca="1" si="71"/>
        <v>2.0886993568171053</v>
      </c>
      <c r="AL193" s="199">
        <f t="shared" ca="1" si="71"/>
        <v>2.1764400402480262</v>
      </c>
      <c r="AM193" s="199">
        <f t="shared" ca="1" si="71"/>
        <v>2.6910087239502651</v>
      </c>
      <c r="AN193" s="199">
        <f t="shared" ca="1" si="71"/>
        <v>3.3127505914398689</v>
      </c>
      <c r="AO193" s="199">
        <f t="shared" ca="1" si="71"/>
        <v>4.4311989453338407</v>
      </c>
      <c r="AP193" s="199">
        <f t="shared" ca="1" si="71"/>
        <v>5.5675094965256671</v>
      </c>
    </row>
    <row r="194" spans="1:42">
      <c r="A194" s="61" t="str">
        <f>'[4]TS BYDem'!A133</f>
        <v/>
      </c>
      <c r="B194" s="199" t="s">
        <v>288</v>
      </c>
      <c r="C194" s="199" t="s">
        <v>137</v>
      </c>
      <c r="D194" s="199" t="str">
        <f>'[4]TS BYDem'!D133</f>
        <v>IFBA</v>
      </c>
      <c r="E194" s="199" t="s">
        <v>137</v>
      </c>
      <c r="F194" s="199" t="s">
        <v>137</v>
      </c>
      <c r="G194" s="199" t="s">
        <v>137</v>
      </c>
      <c r="H194" s="199" t="s">
        <v>137</v>
      </c>
      <c r="I194" s="199">
        <v>0</v>
      </c>
      <c r="J194" s="199">
        <f>INDEX('[4]TS BYDem'!$J$10:$J$203,MATCH(D194,'[4]TS BYDem'!$D$10:$D$203,0))</f>
        <v>3.1931633262906718E-2</v>
      </c>
      <c r="K194" s="199">
        <f t="shared" ca="1" si="68"/>
        <v>3.2518132649368273E-2</v>
      </c>
      <c r="L194" s="199">
        <f t="shared" ca="1" si="68"/>
        <v>3.294000062910378E-2</v>
      </c>
      <c r="M194" s="206">
        <f t="shared" si="69"/>
        <v>2.9904000000000003E-2</v>
      </c>
      <c r="N194" s="206">
        <f t="shared" si="70"/>
        <v>2.9904000000000003E-2</v>
      </c>
      <c r="O194" s="206">
        <f>INDEX('[4]TS BYDem'!$O$10:$O$203,MATCH(D194,'[4]TS BYDem'!$D$10:$D$203,0))</f>
        <v>2.9904000000000003E-2</v>
      </c>
      <c r="P194" s="199">
        <f t="shared" ca="1" si="68"/>
        <v>3.0108842858603421E-2</v>
      </c>
      <c r="Q194" s="199">
        <f t="shared" ca="1" si="68"/>
        <v>2.9873426439014417E-2</v>
      </c>
      <c r="R194" s="199">
        <f t="shared" ca="1" si="68"/>
        <v>2.836920723852367E-2</v>
      </c>
      <c r="S194" s="199">
        <f t="shared" ca="1" si="68"/>
        <v>2.9706768951462788E-2</v>
      </c>
      <c r="T194" s="199">
        <f t="shared" ca="1" si="68"/>
        <v>3.0831218106310197E-2</v>
      </c>
      <c r="U194" s="199">
        <f t="shared" ca="1" si="68"/>
        <v>3.1933234360297151E-2</v>
      </c>
      <c r="V194" s="199">
        <f t="shared" ca="1" si="68"/>
        <v>3.3183868582405872E-2</v>
      </c>
      <c r="W194" s="199">
        <f t="shared" ca="1" si="68"/>
        <v>3.45354508583283E-2</v>
      </c>
      <c r="X194" s="199">
        <f t="shared" ca="1" si="68"/>
        <v>3.5934703048545284E-2</v>
      </c>
      <c r="Y194" s="199">
        <f t="shared" ca="1" si="68"/>
        <v>3.7404058053905981E-2</v>
      </c>
      <c r="Z194" s="199">
        <f t="shared" ca="1" si="68"/>
        <v>3.8946319987015934E-2</v>
      </c>
      <c r="AA194" s="199">
        <f t="shared" ca="1" si="71"/>
        <v>4.0701694478181748E-2</v>
      </c>
      <c r="AB194" s="199">
        <f t="shared" ca="1" si="71"/>
        <v>4.2515955334064076E-2</v>
      </c>
      <c r="AC194" s="199">
        <f t="shared" ca="1" si="71"/>
        <v>4.4209639347871872E-2</v>
      </c>
      <c r="AD194" s="199">
        <f t="shared" ca="1" si="71"/>
        <v>4.5979034402033311E-2</v>
      </c>
      <c r="AE194" s="199">
        <f t="shared" ca="1" si="71"/>
        <v>4.7717584217517171E-2</v>
      </c>
      <c r="AF194" s="199">
        <f t="shared" ca="1" si="71"/>
        <v>4.9604752001111738E-2</v>
      </c>
      <c r="AG194" s="199">
        <f t="shared" ca="1" si="71"/>
        <v>5.1393775843484264E-2</v>
      </c>
      <c r="AH194" s="199">
        <f t="shared" ca="1" si="71"/>
        <v>5.3194016136271123E-2</v>
      </c>
      <c r="AI194" s="199">
        <f t="shared" ca="1" si="71"/>
        <v>5.5215781324923205E-2</v>
      </c>
      <c r="AJ194" s="199">
        <f t="shared" ca="1" si="71"/>
        <v>5.7358123355622799E-2</v>
      </c>
      <c r="AK194" s="199">
        <f t="shared" ca="1" si="71"/>
        <v>5.9677124480488709E-2</v>
      </c>
      <c r="AL194" s="199">
        <f t="shared" ca="1" si="71"/>
        <v>6.2184001149943588E-2</v>
      </c>
      <c r="AM194" s="199">
        <f t="shared" ca="1" si="71"/>
        <v>7.6885963541436134E-2</v>
      </c>
      <c r="AN194" s="199">
        <f t="shared" ca="1" si="71"/>
        <v>9.4650016898281952E-2</v>
      </c>
      <c r="AO194" s="199">
        <f t="shared" ca="1" si="71"/>
        <v>0.12660568415239543</v>
      </c>
      <c r="AP194" s="199">
        <f t="shared" ca="1" si="71"/>
        <v>0.1590716999007333</v>
      </c>
    </row>
    <row r="195" spans="1:42">
      <c r="A195" s="61" t="str">
        <f>'[4]TS BYDem'!A134</f>
        <v/>
      </c>
      <c r="B195" s="199" t="s">
        <v>288</v>
      </c>
      <c r="C195" s="199" t="s">
        <v>137</v>
      </c>
      <c r="D195" s="199" t="str">
        <f>'[4]TS BYDem'!D134</f>
        <v>IFBL</v>
      </c>
      <c r="E195" s="199" t="s">
        <v>137</v>
      </c>
      <c r="F195" s="199" t="s">
        <v>137</v>
      </c>
      <c r="G195" s="199" t="s">
        <v>137</v>
      </c>
      <c r="H195" s="199" t="s">
        <v>137</v>
      </c>
      <c r="I195" s="199">
        <v>0</v>
      </c>
      <c r="J195" s="199">
        <f>INDEX('[4]TS BYDem'!$J$10:$J$203,MATCH(D195,'[4]TS BYDem'!$D$10:$D$203,0))</f>
        <v>0.23948724947180039</v>
      </c>
      <c r="K195" s="199">
        <f t="shared" ca="1" si="68"/>
        <v>0.24388599487026202</v>
      </c>
      <c r="L195" s="199">
        <f t="shared" ca="1" si="68"/>
        <v>0.24705000471827832</v>
      </c>
      <c r="M195" s="206">
        <f t="shared" si="69"/>
        <v>0.22428000000000001</v>
      </c>
      <c r="N195" s="206">
        <f t="shared" si="70"/>
        <v>0.22428000000000001</v>
      </c>
      <c r="O195" s="206">
        <f>INDEX('[4]TS BYDem'!$O$10:$O$203,MATCH(D195,'[4]TS BYDem'!$D$10:$D$203,0))</f>
        <v>0.22428000000000001</v>
      </c>
      <c r="P195" s="199">
        <f t="shared" ca="1" si="68"/>
        <v>0.22581632143952562</v>
      </c>
      <c r="Q195" s="199">
        <f t="shared" ca="1" si="68"/>
        <v>0.2240506982926081</v>
      </c>
      <c r="R195" s="199">
        <f t="shared" ca="1" si="68"/>
        <v>0.21276905428892751</v>
      </c>
      <c r="S195" s="199">
        <f t="shared" ca="1" si="68"/>
        <v>0.22280076713597091</v>
      </c>
      <c r="T195" s="199">
        <f t="shared" ca="1" si="68"/>
        <v>0.23123413579732646</v>
      </c>
      <c r="U195" s="199">
        <f t="shared" ca="1" si="68"/>
        <v>0.23949925770222863</v>
      </c>
      <c r="V195" s="199">
        <f t="shared" ca="1" si="68"/>
        <v>0.24887901436804405</v>
      </c>
      <c r="W195" s="199">
        <f t="shared" ca="1" si="68"/>
        <v>0.25901588143746229</v>
      </c>
      <c r="X195" s="199">
        <f t="shared" ca="1" si="68"/>
        <v>0.26951027286408968</v>
      </c>
      <c r="Y195" s="199">
        <f t="shared" ca="1" si="68"/>
        <v>0.2805304354042949</v>
      </c>
      <c r="Z195" s="199">
        <f t="shared" ca="1" si="68"/>
        <v>0.29209739990261957</v>
      </c>
      <c r="AA195" s="199">
        <f t="shared" ca="1" si="71"/>
        <v>0.30526270858636317</v>
      </c>
      <c r="AB195" s="199">
        <f t="shared" ca="1" si="71"/>
        <v>0.31886966500548064</v>
      </c>
      <c r="AC195" s="199">
        <f t="shared" ca="1" si="71"/>
        <v>0.33157229510903913</v>
      </c>
      <c r="AD195" s="199">
        <f t="shared" ca="1" si="71"/>
        <v>0.34484275801524994</v>
      </c>
      <c r="AE195" s="199">
        <f t="shared" ca="1" si="71"/>
        <v>0.35788188163137891</v>
      </c>
      <c r="AF195" s="199">
        <f t="shared" ca="1" si="71"/>
        <v>0.37203564000833816</v>
      </c>
      <c r="AG195" s="199">
        <f t="shared" ca="1" si="71"/>
        <v>0.38545331882613215</v>
      </c>
      <c r="AH195" s="199">
        <f t="shared" ca="1" si="71"/>
        <v>0.39895512102203357</v>
      </c>
      <c r="AI195" s="199">
        <f t="shared" ca="1" si="71"/>
        <v>0.41411835993692414</v>
      </c>
      <c r="AJ195" s="199">
        <f t="shared" ca="1" si="71"/>
        <v>0.43018592516717108</v>
      </c>
      <c r="AK195" s="199">
        <f t="shared" ca="1" si="71"/>
        <v>0.44757843360366545</v>
      </c>
      <c r="AL195" s="199">
        <f t="shared" ca="1" si="71"/>
        <v>0.46638000862457701</v>
      </c>
      <c r="AM195" s="199">
        <f t="shared" ca="1" si="71"/>
        <v>0.57664472656077104</v>
      </c>
      <c r="AN195" s="199">
        <f t="shared" ca="1" si="71"/>
        <v>0.70987512673711473</v>
      </c>
      <c r="AO195" s="199">
        <f t="shared" ca="1" si="71"/>
        <v>0.94954263114296578</v>
      </c>
      <c r="AP195" s="199">
        <f t="shared" ca="1" si="71"/>
        <v>1.1930377492555</v>
      </c>
    </row>
    <row r="196" spans="1:42">
      <c r="A196" s="61" t="str">
        <f>'[4]TS BYDem'!A135</f>
        <v/>
      </c>
      <c r="B196" s="199" t="s">
        <v>288</v>
      </c>
      <c r="C196" s="199" t="s">
        <v>137</v>
      </c>
      <c r="D196" s="199" t="str">
        <f>'[4]TS BYDem'!D135</f>
        <v>IFBC</v>
      </c>
      <c r="E196" s="199" t="s">
        <v>137</v>
      </c>
      <c r="F196" s="199" t="s">
        <v>137</v>
      </c>
      <c r="G196" s="199" t="s">
        <v>137</v>
      </c>
      <c r="H196" s="199" t="s">
        <v>137</v>
      </c>
      <c r="I196" s="199">
        <v>0</v>
      </c>
      <c r="J196" s="199">
        <f>INDEX('[4]TS BYDem'!$J$10:$J$203,MATCH(D196,'[4]TS BYDem'!$D$10:$D$203,0))</f>
        <v>7.3442756504685454</v>
      </c>
      <c r="K196" s="199">
        <f t="shared" ca="1" si="68"/>
        <v>7.4791705093547023</v>
      </c>
      <c r="L196" s="199">
        <f t="shared" ca="1" si="68"/>
        <v>7.5762001446938685</v>
      </c>
      <c r="M196" s="206">
        <f t="shared" si="69"/>
        <v>6.8779200000000005</v>
      </c>
      <c r="N196" s="206">
        <f t="shared" si="70"/>
        <v>6.8779200000000005</v>
      </c>
      <c r="O196" s="206">
        <f>INDEX('[4]TS BYDem'!$O$10:$O$203,MATCH(D196,'[4]TS BYDem'!$D$10:$D$203,0))</f>
        <v>6.8779200000000005</v>
      </c>
      <c r="P196" s="199">
        <f t="shared" ca="1" si="68"/>
        <v>6.9250338574787866</v>
      </c>
      <c r="Q196" s="199">
        <f t="shared" ca="1" si="68"/>
        <v>6.8708880809733159</v>
      </c>
      <c r="R196" s="199">
        <f t="shared" ca="1" si="68"/>
        <v>6.5249176648604443</v>
      </c>
      <c r="S196" s="199">
        <f t="shared" ca="1" si="68"/>
        <v>6.8325568588364414</v>
      </c>
      <c r="T196" s="199">
        <f t="shared" ca="1" si="68"/>
        <v>7.0911801644513455</v>
      </c>
      <c r="U196" s="199">
        <f t="shared" ca="1" si="68"/>
        <v>7.3446439028683459</v>
      </c>
      <c r="V196" s="199">
        <f t="shared" ca="1" si="68"/>
        <v>7.6322897739533522</v>
      </c>
      <c r="W196" s="199">
        <f t="shared" ca="1" si="68"/>
        <v>7.9431536974155117</v>
      </c>
      <c r="X196" s="199">
        <f t="shared" ca="1" si="68"/>
        <v>8.2649817011654179</v>
      </c>
      <c r="Y196" s="199">
        <f t="shared" ca="1" si="68"/>
        <v>8.6029333523983791</v>
      </c>
      <c r="Z196" s="199">
        <f t="shared" ca="1" si="68"/>
        <v>8.9576535970136693</v>
      </c>
      <c r="AA196" s="199">
        <f t="shared" ca="1" si="71"/>
        <v>9.3613897299818056</v>
      </c>
      <c r="AB196" s="199">
        <f t="shared" ca="1" si="71"/>
        <v>9.7786697268347424</v>
      </c>
      <c r="AC196" s="199">
        <f t="shared" ca="1" si="71"/>
        <v>10.168217050010535</v>
      </c>
      <c r="AD196" s="199">
        <f t="shared" ca="1" si="71"/>
        <v>10.575177912467666</v>
      </c>
      <c r="AE196" s="199">
        <f t="shared" ca="1" si="71"/>
        <v>10.975044370028954</v>
      </c>
      <c r="AF196" s="199">
        <f t="shared" ca="1" si="71"/>
        <v>11.409092960255704</v>
      </c>
      <c r="AG196" s="199">
        <f t="shared" ca="1" si="71"/>
        <v>11.820568444001385</v>
      </c>
      <c r="AH196" s="199">
        <f t="shared" ca="1" si="71"/>
        <v>12.234623711342362</v>
      </c>
      <c r="AI196" s="199">
        <f t="shared" ca="1" si="71"/>
        <v>12.69962970473234</v>
      </c>
      <c r="AJ196" s="199">
        <f t="shared" ca="1" si="71"/>
        <v>13.192368371793247</v>
      </c>
      <c r="AK196" s="199">
        <f t="shared" ca="1" si="71"/>
        <v>13.725738630512407</v>
      </c>
      <c r="AL196" s="199">
        <f t="shared" ca="1" si="71"/>
        <v>14.302320264487028</v>
      </c>
      <c r="AM196" s="199">
        <f t="shared" ca="1" si="71"/>
        <v>17.683771614530311</v>
      </c>
      <c r="AN196" s="199">
        <f t="shared" ca="1" si="71"/>
        <v>21.769503886604852</v>
      </c>
      <c r="AO196" s="199">
        <f t="shared" ca="1" si="71"/>
        <v>29.11930735505095</v>
      </c>
      <c r="AP196" s="199">
        <f t="shared" ca="1" si="71"/>
        <v>36.586490977168665</v>
      </c>
    </row>
    <row r="197" spans="1:42">
      <c r="A197" s="61" t="str">
        <f>'[4]TS BYDem'!A136</f>
        <v/>
      </c>
      <c r="B197" s="199" t="s">
        <v>288</v>
      </c>
      <c r="C197" s="199" t="s">
        <v>137</v>
      </c>
      <c r="D197" s="199" t="str">
        <f>'[4]TS BYDem'!D136</f>
        <v>IFBH</v>
      </c>
      <c r="E197" s="199" t="s">
        <v>137</v>
      </c>
      <c r="F197" s="199" t="s">
        <v>137</v>
      </c>
      <c r="G197" s="199" t="s">
        <v>137</v>
      </c>
      <c r="H197" s="199" t="s">
        <v>137</v>
      </c>
      <c r="I197" s="199">
        <v>0</v>
      </c>
      <c r="J197" s="199">
        <f>INDEX('[4]TS BYDem'!$J$10:$J$203,MATCH(D197,'[4]TS BYDem'!$D$10:$D$203,0))</f>
        <v>0.86215409809848131</v>
      </c>
      <c r="K197" s="199">
        <f t="shared" ca="1" si="68"/>
        <v>0.87798958153294326</v>
      </c>
      <c r="L197" s="199">
        <f t="shared" ca="1" si="68"/>
        <v>0.88938001698580194</v>
      </c>
      <c r="M197" s="206">
        <f t="shared" si="69"/>
        <v>0.8074079999999999</v>
      </c>
      <c r="N197" s="206">
        <f t="shared" si="70"/>
        <v>0.8074079999999999</v>
      </c>
      <c r="O197" s="206">
        <f>INDEX('[4]TS BYDem'!$O$10:$O$203,MATCH(D197,'[4]TS BYDem'!$D$10:$D$203,0))</f>
        <v>0.8074079999999999</v>
      </c>
      <c r="P197" s="199">
        <f t="shared" ca="1" si="68"/>
        <v>0.81293875718229214</v>
      </c>
      <c r="Q197" s="199">
        <f t="shared" ca="1" si="68"/>
        <v>0.80658251385338908</v>
      </c>
      <c r="R197" s="199">
        <f t="shared" ca="1" si="68"/>
        <v>0.76596859544013896</v>
      </c>
      <c r="S197" s="199">
        <f t="shared" ca="1" si="68"/>
        <v>0.80208276168949522</v>
      </c>
      <c r="T197" s="199">
        <f t="shared" ca="1" si="68"/>
        <v>0.83244288887037521</v>
      </c>
      <c r="U197" s="199">
        <f t="shared" ca="1" si="68"/>
        <v>0.86219732772802304</v>
      </c>
      <c r="V197" s="199">
        <f t="shared" ca="1" si="68"/>
        <v>0.89596445172495853</v>
      </c>
      <c r="W197" s="199">
        <f t="shared" ca="1" si="68"/>
        <v>0.93245717317486421</v>
      </c>
      <c r="X197" s="199">
        <f t="shared" ca="1" si="68"/>
        <v>0.97023698231072275</v>
      </c>
      <c r="Y197" s="199">
        <f t="shared" ca="1" si="68"/>
        <v>1.0099095674554617</v>
      </c>
      <c r="Z197" s="199">
        <f t="shared" ca="1" si="68"/>
        <v>1.0515506396494305</v>
      </c>
      <c r="AA197" s="199">
        <f t="shared" ca="1" si="71"/>
        <v>1.0989457509109075</v>
      </c>
      <c r="AB197" s="199">
        <f t="shared" ca="1" si="71"/>
        <v>1.1479307940197305</v>
      </c>
      <c r="AC197" s="199">
        <f t="shared" ca="1" si="71"/>
        <v>1.193660262392541</v>
      </c>
      <c r="AD197" s="199">
        <f t="shared" ca="1" si="71"/>
        <v>1.2414339288548999</v>
      </c>
      <c r="AE197" s="199">
        <f t="shared" ca="1" si="71"/>
        <v>1.2883747738729641</v>
      </c>
      <c r="AF197" s="199">
        <f t="shared" ca="1" si="71"/>
        <v>1.3393283040300175</v>
      </c>
      <c r="AG197" s="199">
        <f t="shared" ca="1" si="71"/>
        <v>1.3876319477740757</v>
      </c>
      <c r="AH197" s="199">
        <f t="shared" ca="1" si="71"/>
        <v>1.436238435679321</v>
      </c>
      <c r="AI197" s="199">
        <f t="shared" ca="1" si="71"/>
        <v>1.4908260957729271</v>
      </c>
      <c r="AJ197" s="199">
        <f t="shared" ca="1" si="71"/>
        <v>1.5486693306018162</v>
      </c>
      <c r="AK197" s="199">
        <f t="shared" ca="1" si="71"/>
        <v>1.6112823609731959</v>
      </c>
      <c r="AL197" s="199">
        <f t="shared" ca="1" si="71"/>
        <v>1.6789680310484776</v>
      </c>
      <c r="AM197" s="199">
        <f t="shared" ca="1" si="71"/>
        <v>2.0759210156187762</v>
      </c>
      <c r="AN197" s="199">
        <f t="shared" ca="1" si="71"/>
        <v>2.5555504562536138</v>
      </c>
      <c r="AO197" s="199">
        <f t="shared" ca="1" si="71"/>
        <v>3.4183534721146778</v>
      </c>
      <c r="AP197" s="199">
        <f t="shared" ca="1" si="71"/>
        <v>4.2949358973198013</v>
      </c>
    </row>
    <row r="198" spans="1:42">
      <c r="A198" s="61" t="str">
        <f>'[4]TS BYDem'!A137</f>
        <v/>
      </c>
      <c r="B198" s="199" t="s">
        <v>288</v>
      </c>
      <c r="C198" s="199" t="s">
        <v>137</v>
      </c>
      <c r="D198" s="199" t="str">
        <f>'[4]TS BYDem'!D137</f>
        <v>IFBP</v>
      </c>
      <c r="E198" s="199" t="s">
        <v>137</v>
      </c>
      <c r="F198" s="199" t="s">
        <v>137</v>
      </c>
      <c r="G198" s="199" t="s">
        <v>137</v>
      </c>
      <c r="H198" s="199" t="s">
        <v>137</v>
      </c>
      <c r="I198" s="199">
        <v>0</v>
      </c>
      <c r="J198" s="199">
        <f>INDEX('[4]TS BYDem'!$J$10:$J$203,MATCH(D198,'[4]TS BYDem'!$D$10:$D$203,0))</f>
        <v>3.576342925445553</v>
      </c>
      <c r="K198" s="199">
        <f t="shared" ca="1" si="68"/>
        <v>3.6420308567292468</v>
      </c>
      <c r="L198" s="199">
        <f t="shared" ca="1" si="68"/>
        <v>3.6892800704596236</v>
      </c>
      <c r="M198" s="206">
        <f t="shared" si="69"/>
        <v>3.3492480000000002</v>
      </c>
      <c r="N198" s="206">
        <f t="shared" si="70"/>
        <v>3.3492480000000002</v>
      </c>
      <c r="O198" s="206">
        <f>INDEX('[4]TS BYDem'!$O$10:$O$203,MATCH(D198,'[4]TS BYDem'!$D$10:$D$203,0))</f>
        <v>3.3492480000000002</v>
      </c>
      <c r="P198" s="199">
        <f t="shared" ca="1" si="68"/>
        <v>3.372190400163583</v>
      </c>
      <c r="Q198" s="199">
        <f t="shared" ca="1" si="68"/>
        <v>3.3458237611696147</v>
      </c>
      <c r="R198" s="199">
        <f t="shared" ca="1" si="68"/>
        <v>3.1773512107146513</v>
      </c>
      <c r="S198" s="199">
        <f t="shared" ca="1" si="68"/>
        <v>3.3271581225638327</v>
      </c>
      <c r="T198" s="199">
        <f t="shared" ca="1" si="68"/>
        <v>3.4530964279067424</v>
      </c>
      <c r="U198" s="199">
        <f t="shared" ca="1" si="68"/>
        <v>3.5765222483532817</v>
      </c>
      <c r="V198" s="199">
        <f t="shared" ca="1" si="68"/>
        <v>3.7165932812294589</v>
      </c>
      <c r="W198" s="199">
        <f t="shared" ca="1" si="68"/>
        <v>3.867970496132771</v>
      </c>
      <c r="X198" s="199">
        <f t="shared" ca="1" si="68"/>
        <v>4.0246867414370735</v>
      </c>
      <c r="Y198" s="199">
        <f t="shared" ca="1" si="68"/>
        <v>4.1892545020374721</v>
      </c>
      <c r="Z198" s="199">
        <f t="shared" ca="1" si="68"/>
        <v>4.3619878385457875</v>
      </c>
      <c r="AA198" s="199">
        <f t="shared" ca="1" si="71"/>
        <v>4.5585897815563587</v>
      </c>
      <c r="AB198" s="199">
        <f t="shared" ca="1" si="71"/>
        <v>4.7617869974151796</v>
      </c>
      <c r="AC198" s="199">
        <f t="shared" ca="1" si="71"/>
        <v>4.9514796069616525</v>
      </c>
      <c r="AD198" s="199">
        <f t="shared" ca="1" si="71"/>
        <v>5.1496518530277342</v>
      </c>
      <c r="AE198" s="199">
        <f t="shared" ca="1" si="71"/>
        <v>5.3443694323619271</v>
      </c>
      <c r="AF198" s="199">
        <f t="shared" ca="1" si="71"/>
        <v>5.5557322241245188</v>
      </c>
      <c r="AG198" s="199">
        <f t="shared" ca="1" si="71"/>
        <v>5.7561028944702421</v>
      </c>
      <c r="AH198" s="199">
        <f t="shared" ca="1" si="71"/>
        <v>5.9577298072623703</v>
      </c>
      <c r="AI198" s="199">
        <f t="shared" ca="1" si="71"/>
        <v>6.1841675083914032</v>
      </c>
      <c r="AJ198" s="199">
        <f t="shared" ca="1" si="71"/>
        <v>6.424109815829758</v>
      </c>
      <c r="AK198" s="199">
        <f t="shared" ca="1" si="71"/>
        <v>6.6838379418147404</v>
      </c>
      <c r="AL198" s="199">
        <f t="shared" ca="1" si="71"/>
        <v>6.964608128793687</v>
      </c>
      <c r="AM198" s="199">
        <f t="shared" ca="1" si="71"/>
        <v>8.6112279166408534</v>
      </c>
      <c r="AN198" s="199">
        <f t="shared" ca="1" si="71"/>
        <v>10.600801892607587</v>
      </c>
      <c r="AO198" s="199">
        <f t="shared" ca="1" si="71"/>
        <v>14.179836625068297</v>
      </c>
      <c r="AP198" s="199">
        <f t="shared" ca="1" si="71"/>
        <v>17.816030388882144</v>
      </c>
    </row>
    <row r="199" spans="1:42">
      <c r="A199" s="61" t="str">
        <f>'[4]TS BYDem'!A138</f>
        <v/>
      </c>
      <c r="B199" s="199" t="s">
        <v>288</v>
      </c>
      <c r="C199" s="199" t="s">
        <v>137</v>
      </c>
      <c r="D199" s="199" t="str">
        <f>'[4]TS BYDem'!D138</f>
        <v>IFBF</v>
      </c>
      <c r="E199" s="199" t="s">
        <v>137</v>
      </c>
      <c r="F199" s="199" t="s">
        <v>137</v>
      </c>
      <c r="G199" s="199" t="s">
        <v>137</v>
      </c>
      <c r="H199" s="199" t="s">
        <v>137</v>
      </c>
      <c r="I199" s="199">
        <v>0</v>
      </c>
      <c r="J199" s="199">
        <f>INDEX('[4]TS BYDem'!$J$10:$J$203,MATCH(D199,'[4]TS BYDem'!$D$10:$D$203,0))</f>
        <v>0.51090613220650749</v>
      </c>
      <c r="K199" s="199">
        <f t="shared" ca="1" si="68"/>
        <v>0.52029012238989236</v>
      </c>
      <c r="L199" s="199">
        <f t="shared" ca="1" si="68"/>
        <v>0.52704001006566048</v>
      </c>
      <c r="M199" s="206">
        <f t="shared" si="69"/>
        <v>0.47846400000000006</v>
      </c>
      <c r="N199" s="206">
        <f t="shared" si="70"/>
        <v>0.47846400000000006</v>
      </c>
      <c r="O199" s="206">
        <f>INDEX('[4]TS BYDem'!$O$10:$O$203,MATCH(D199,'[4]TS BYDem'!$D$10:$D$203,0))</f>
        <v>0.47846400000000006</v>
      </c>
      <c r="P199" s="199">
        <f t="shared" ca="1" si="68"/>
        <v>0.48174148573765474</v>
      </c>
      <c r="Q199" s="199">
        <f t="shared" ca="1" si="68"/>
        <v>0.47797482302423067</v>
      </c>
      <c r="R199" s="199">
        <f t="shared" ca="1" si="68"/>
        <v>0.45390731581637872</v>
      </c>
      <c r="S199" s="199">
        <f t="shared" ca="1" si="68"/>
        <v>0.47530830322340462</v>
      </c>
      <c r="T199" s="199">
        <f t="shared" ca="1" si="68"/>
        <v>0.49329948970096316</v>
      </c>
      <c r="U199" s="199">
        <f t="shared" ca="1" si="68"/>
        <v>0.51093174976475442</v>
      </c>
      <c r="V199" s="199">
        <f t="shared" ca="1" si="68"/>
        <v>0.53094189731849395</v>
      </c>
      <c r="W199" s="199">
        <f t="shared" ca="1" si="68"/>
        <v>0.55256721373325279</v>
      </c>
      <c r="X199" s="199">
        <f t="shared" ca="1" si="68"/>
        <v>0.57495524877672455</v>
      </c>
      <c r="Y199" s="199">
        <f t="shared" ca="1" si="68"/>
        <v>0.59846492886249569</v>
      </c>
      <c r="Z199" s="199">
        <f t="shared" ca="1" si="68"/>
        <v>0.62314111979225495</v>
      </c>
      <c r="AA199" s="199">
        <f t="shared" ca="1" si="71"/>
        <v>0.65122711165090796</v>
      </c>
      <c r="AB199" s="199">
        <f t="shared" ca="1" si="71"/>
        <v>0.68025528534502522</v>
      </c>
      <c r="AC199" s="199">
        <f t="shared" ca="1" si="71"/>
        <v>0.70735422956594995</v>
      </c>
      <c r="AD199" s="199">
        <f t="shared" ca="1" si="71"/>
        <v>0.73566455043253298</v>
      </c>
      <c r="AE199" s="199">
        <f t="shared" ca="1" si="71"/>
        <v>0.76348134748027474</v>
      </c>
      <c r="AF199" s="199">
        <f t="shared" ca="1" si="71"/>
        <v>0.7936760320177878</v>
      </c>
      <c r="AG199" s="199">
        <f t="shared" ca="1" si="71"/>
        <v>0.82230041349574823</v>
      </c>
      <c r="AH199" s="199">
        <f t="shared" ca="1" si="71"/>
        <v>0.85110425818033797</v>
      </c>
      <c r="AI199" s="199">
        <f t="shared" ca="1" si="71"/>
        <v>0.88345250119877128</v>
      </c>
      <c r="AJ199" s="199">
        <f t="shared" ca="1" si="71"/>
        <v>0.91772997368996478</v>
      </c>
      <c r="AK199" s="199">
        <f t="shared" ca="1" si="71"/>
        <v>0.95483399168781935</v>
      </c>
      <c r="AL199" s="199">
        <f t="shared" ca="1" si="71"/>
        <v>0.99494401839909741</v>
      </c>
      <c r="AM199" s="199">
        <f t="shared" ca="1" si="71"/>
        <v>1.2301754166629781</v>
      </c>
      <c r="AN199" s="199">
        <f t="shared" ca="1" si="71"/>
        <v>1.5144002703725112</v>
      </c>
      <c r="AO199" s="199">
        <f t="shared" ca="1" si="71"/>
        <v>2.0256909464383268</v>
      </c>
      <c r="AP199" s="199">
        <f t="shared" ca="1" si="71"/>
        <v>2.5451471984117329</v>
      </c>
    </row>
    <row r="200" spans="1:42">
      <c r="A200" s="61" t="str">
        <f>'[4]TS BYDem'!A139</f>
        <v/>
      </c>
      <c r="B200" s="199" t="s">
        <v>288</v>
      </c>
      <c r="C200" s="199" t="s">
        <v>137</v>
      </c>
      <c r="D200" s="199" t="str">
        <f>'[4]TS BYDem'!D139</f>
        <v>IFBO</v>
      </c>
      <c r="E200" s="199" t="s">
        <v>137</v>
      </c>
      <c r="F200" s="199" t="s">
        <v>137</v>
      </c>
      <c r="G200" s="199" t="s">
        <v>137</v>
      </c>
      <c r="H200" s="199" t="s">
        <v>137</v>
      </c>
      <c r="I200" s="199">
        <v>0</v>
      </c>
      <c r="J200" s="199">
        <f>INDEX('[4]TS BYDem'!$J$10:$J$203,MATCH(D200,'[4]TS BYDem'!$D$10:$D$203,0))</f>
        <v>2.6822571940841642</v>
      </c>
      <c r="K200" s="199">
        <f t="shared" ca="1" si="68"/>
        <v>2.7315231425469344</v>
      </c>
      <c r="L200" s="199">
        <f t="shared" ca="1" si="68"/>
        <v>2.7669600528447171</v>
      </c>
      <c r="M200" s="206">
        <f t="shared" si="69"/>
        <v>2.5119360000000004</v>
      </c>
      <c r="N200" s="206">
        <f t="shared" si="70"/>
        <v>2.5119360000000004</v>
      </c>
      <c r="O200" s="206">
        <f>INDEX('[4]TS BYDem'!$O$10:$O$203,MATCH(D200,'[4]TS BYDem'!$D$10:$D$203,0))</f>
        <v>2.5119360000000004</v>
      </c>
      <c r="P200" s="199">
        <f t="shared" ca="1" si="68"/>
        <v>2.5291428001226874</v>
      </c>
      <c r="Q200" s="199">
        <f t="shared" ca="1" si="68"/>
        <v>2.5093678208772112</v>
      </c>
      <c r="R200" s="199">
        <f t="shared" ca="1" si="68"/>
        <v>2.3830134080359886</v>
      </c>
      <c r="S200" s="199">
        <f t="shared" ca="1" si="68"/>
        <v>2.4953685919228747</v>
      </c>
      <c r="T200" s="199">
        <f t="shared" ca="1" si="68"/>
        <v>2.589822320930057</v>
      </c>
      <c r="U200" s="199">
        <f t="shared" ca="1" si="68"/>
        <v>2.6823916862649613</v>
      </c>
      <c r="V200" s="199">
        <f t="shared" ca="1" si="68"/>
        <v>2.7874449609220942</v>
      </c>
      <c r="W200" s="199">
        <f t="shared" ca="1" si="68"/>
        <v>2.9009778720995785</v>
      </c>
      <c r="X200" s="199">
        <f t="shared" ca="1" si="68"/>
        <v>3.0185150560778053</v>
      </c>
      <c r="Y200" s="199">
        <f t="shared" ca="1" si="68"/>
        <v>3.1419408765281038</v>
      </c>
      <c r="Z200" s="199">
        <f t="shared" ca="1" si="68"/>
        <v>3.2714908789093404</v>
      </c>
      <c r="AA200" s="199">
        <f t="shared" ca="1" si="71"/>
        <v>3.4189423361672686</v>
      </c>
      <c r="AB200" s="199">
        <f t="shared" ca="1" si="71"/>
        <v>3.5713402480613845</v>
      </c>
      <c r="AC200" s="199">
        <f t="shared" ca="1" si="71"/>
        <v>3.7136097052212396</v>
      </c>
      <c r="AD200" s="199">
        <f t="shared" ca="1" si="71"/>
        <v>3.8622388897708007</v>
      </c>
      <c r="AE200" s="199">
        <f t="shared" ca="1" si="71"/>
        <v>4.0082770742714446</v>
      </c>
      <c r="AF200" s="199">
        <f t="shared" ca="1" si="71"/>
        <v>4.1667991680933882</v>
      </c>
      <c r="AG200" s="199">
        <f t="shared" ca="1" si="71"/>
        <v>4.3170771708526807</v>
      </c>
      <c r="AH200" s="199">
        <f t="shared" ca="1" si="71"/>
        <v>4.4682973554467766</v>
      </c>
      <c r="AI200" s="199">
        <f t="shared" ca="1" si="71"/>
        <v>4.6381256312935513</v>
      </c>
      <c r="AJ200" s="199">
        <f t="shared" ca="1" si="71"/>
        <v>4.8180823618723174</v>
      </c>
      <c r="AK200" s="199">
        <f t="shared" ca="1" si="71"/>
        <v>5.0128784563610544</v>
      </c>
      <c r="AL200" s="199">
        <f t="shared" ca="1" si="71"/>
        <v>5.2234560965952639</v>
      </c>
      <c r="AM200" s="199">
        <f t="shared" ca="1" si="71"/>
        <v>6.4584209374806374</v>
      </c>
      <c r="AN200" s="199">
        <f t="shared" ca="1" si="71"/>
        <v>7.9506014194556869</v>
      </c>
      <c r="AO200" s="199">
        <f t="shared" ca="1" si="71"/>
        <v>10.63487746880122</v>
      </c>
      <c r="AP200" s="199">
        <f t="shared" ca="1" si="71"/>
        <v>13.362022791661603</v>
      </c>
    </row>
    <row r="201" spans="1:42">
      <c r="A201" s="61" t="str">
        <f>'[4]TS BYDem'!A140</f>
        <v/>
      </c>
      <c r="B201" s="199" t="s">
        <v>288</v>
      </c>
      <c r="C201" s="199" t="s">
        <v>137</v>
      </c>
      <c r="D201" s="199" t="str">
        <f>'[4]TS BYDem'!D140</f>
        <v>IFBE</v>
      </c>
      <c r="E201" s="199" t="s">
        <v>137</v>
      </c>
      <c r="F201" s="199" t="s">
        <v>137</v>
      </c>
      <c r="G201" s="199" t="s">
        <v>137</v>
      </c>
      <c r="H201" s="199" t="s">
        <v>137</v>
      </c>
      <c r="I201" s="199">
        <v>0</v>
      </c>
      <c r="J201" s="199">
        <f>INDEX('[4]TS BYDem'!$J$10:$J$203,MATCH(D201,'[4]TS BYDem'!$D$10:$D$203,0))</f>
        <v>0</v>
      </c>
      <c r="K201" s="199">
        <f t="shared" ca="1" si="68"/>
        <v>0</v>
      </c>
      <c r="L201" s="199">
        <f t="shared" ca="1" si="68"/>
        <v>0</v>
      </c>
      <c r="M201" s="206">
        <f t="shared" si="69"/>
        <v>0</v>
      </c>
      <c r="N201" s="206">
        <f t="shared" si="70"/>
        <v>0</v>
      </c>
      <c r="O201" s="206">
        <f>INDEX('[4]TS BYDem'!$O$10:$O$203,MATCH(D201,'[4]TS BYDem'!$D$10:$D$203,0))</f>
        <v>0</v>
      </c>
      <c r="P201" s="199">
        <f t="shared" ca="1" si="68"/>
        <v>0</v>
      </c>
      <c r="Q201" s="199">
        <f t="shared" ca="1" si="68"/>
        <v>0</v>
      </c>
      <c r="R201" s="199">
        <f t="shared" ca="1" si="68"/>
        <v>0</v>
      </c>
      <c r="S201" s="199">
        <f t="shared" ca="1" si="68"/>
        <v>0</v>
      </c>
      <c r="T201" s="199">
        <f t="shared" ca="1" si="68"/>
        <v>0</v>
      </c>
      <c r="U201" s="199">
        <f t="shared" ca="1" si="68"/>
        <v>0</v>
      </c>
      <c r="V201" s="199">
        <f t="shared" ca="1" si="68"/>
        <v>0</v>
      </c>
      <c r="W201" s="199">
        <f t="shared" ca="1" si="68"/>
        <v>0</v>
      </c>
      <c r="X201" s="199">
        <f t="shared" ca="1" si="68"/>
        <v>0</v>
      </c>
      <c r="Y201" s="199">
        <f t="shared" ca="1" si="68"/>
        <v>0</v>
      </c>
      <c r="Z201" s="199">
        <f t="shared" ca="1" si="68"/>
        <v>0</v>
      </c>
      <c r="AA201" s="199">
        <f t="shared" ca="1" si="71"/>
        <v>0</v>
      </c>
      <c r="AB201" s="199">
        <f t="shared" ca="1" si="71"/>
        <v>0</v>
      </c>
      <c r="AC201" s="199">
        <f t="shared" ca="1" si="71"/>
        <v>0</v>
      </c>
      <c r="AD201" s="199">
        <f t="shared" ca="1" si="71"/>
        <v>0</v>
      </c>
      <c r="AE201" s="199">
        <f t="shared" ca="1" si="71"/>
        <v>0</v>
      </c>
      <c r="AF201" s="199">
        <f t="shared" ca="1" si="71"/>
        <v>0</v>
      </c>
      <c r="AG201" s="199">
        <f t="shared" ca="1" si="71"/>
        <v>0</v>
      </c>
      <c r="AH201" s="199">
        <f t="shared" ca="1" si="71"/>
        <v>0</v>
      </c>
      <c r="AI201" s="199">
        <f t="shared" ca="1" si="71"/>
        <v>0</v>
      </c>
      <c r="AJ201" s="199">
        <f t="shared" ca="1" si="71"/>
        <v>0</v>
      </c>
      <c r="AK201" s="199">
        <f t="shared" ca="1" si="71"/>
        <v>0</v>
      </c>
      <c r="AL201" s="199">
        <f t="shared" ca="1" si="71"/>
        <v>0</v>
      </c>
      <c r="AM201" s="199">
        <f t="shared" ca="1" si="71"/>
        <v>0</v>
      </c>
      <c r="AN201" s="199">
        <f t="shared" ca="1" si="71"/>
        <v>0</v>
      </c>
      <c r="AO201" s="199">
        <f t="shared" ca="1" si="71"/>
        <v>0</v>
      </c>
      <c r="AP201" s="199">
        <f t="shared" ca="1" si="71"/>
        <v>0</v>
      </c>
    </row>
    <row r="202" spans="1:42">
      <c r="A202" s="61" t="str">
        <f>'[4]TS BYDem'!A141</f>
        <v>*</v>
      </c>
      <c r="B202" s="199" t="s">
        <v>288</v>
      </c>
      <c r="C202" s="199" t="s">
        <v>137</v>
      </c>
      <c r="D202" s="199" t="str">
        <f>'[4]TS BYDem'!D141</f>
        <v xml:space="preserve"> </v>
      </c>
      <c r="E202" s="199" t="s">
        <v>137</v>
      </c>
      <c r="F202" s="199" t="s">
        <v>137</v>
      </c>
      <c r="G202" s="199" t="s">
        <v>137</v>
      </c>
      <c r="H202" s="199" t="s">
        <v>137</v>
      </c>
      <c r="I202" s="199">
        <v>0</v>
      </c>
      <c r="J202" s="199" t="str">
        <f>INDEX('[4]TS BYDem'!$J$10:$J$203,MATCH(D202,'[4]TS BYDem'!$D$10:$D$203,0))</f>
        <v/>
      </c>
      <c r="K202" s="199" t="e">
        <f t="shared" ca="1" si="68"/>
        <v>#VALUE!</v>
      </c>
      <c r="L202" s="199" t="e">
        <f t="shared" ca="1" si="68"/>
        <v>#VALUE!</v>
      </c>
      <c r="M202" s="199" t="e">
        <f t="shared" ca="1" si="68"/>
        <v>#VALUE!</v>
      </c>
      <c r="N202" s="199" t="e">
        <f t="shared" ca="1" si="68"/>
        <v>#VALUE!</v>
      </c>
      <c r="O202" s="199" t="e">
        <f t="shared" ca="1" si="68"/>
        <v>#VALUE!</v>
      </c>
      <c r="P202" s="199" t="e">
        <f t="shared" ca="1" si="68"/>
        <v>#VALUE!</v>
      </c>
      <c r="Q202" s="199" t="e">
        <f t="shared" ca="1" si="68"/>
        <v>#VALUE!</v>
      </c>
      <c r="R202" s="199" t="e">
        <f t="shared" ca="1" si="68"/>
        <v>#VALUE!</v>
      </c>
      <c r="S202" s="199" t="e">
        <f t="shared" ca="1" si="68"/>
        <v>#VALUE!</v>
      </c>
      <c r="T202" s="199" t="e">
        <f t="shared" ca="1" si="68"/>
        <v>#VALUE!</v>
      </c>
      <c r="U202" s="199" t="e">
        <f t="shared" ca="1" si="68"/>
        <v>#VALUE!</v>
      </c>
      <c r="V202" s="199" t="e">
        <f t="shared" ca="1" si="68"/>
        <v>#VALUE!</v>
      </c>
      <c r="W202" s="199" t="e">
        <f t="shared" ca="1" si="68"/>
        <v>#VALUE!</v>
      </c>
      <c r="X202" s="199" t="e">
        <f t="shared" ca="1" si="68"/>
        <v>#VALUE!</v>
      </c>
      <c r="Y202" s="199" t="e">
        <f t="shared" ca="1" si="68"/>
        <v>#VALUE!</v>
      </c>
      <c r="Z202" s="199" t="e">
        <f t="shared" ca="1" si="68"/>
        <v>#VALUE!</v>
      </c>
      <c r="AA202" s="199" t="e">
        <f t="shared" ca="1" si="71"/>
        <v>#VALUE!</v>
      </c>
      <c r="AB202" s="199" t="e">
        <f t="shared" ca="1" si="71"/>
        <v>#VALUE!</v>
      </c>
      <c r="AC202" s="199" t="e">
        <f t="shared" ca="1" si="71"/>
        <v>#VALUE!</v>
      </c>
      <c r="AD202" s="199" t="e">
        <f t="shared" ca="1" si="71"/>
        <v>#VALUE!</v>
      </c>
      <c r="AE202" s="199" t="e">
        <f t="shared" ca="1" si="71"/>
        <v>#VALUE!</v>
      </c>
      <c r="AF202" s="199" t="e">
        <f t="shared" ca="1" si="71"/>
        <v>#VALUE!</v>
      </c>
      <c r="AG202" s="199" t="e">
        <f t="shared" ca="1" si="71"/>
        <v>#VALUE!</v>
      </c>
      <c r="AH202" s="199" t="e">
        <f t="shared" ca="1" si="71"/>
        <v>#VALUE!</v>
      </c>
      <c r="AI202" s="199" t="e">
        <f t="shared" ca="1" si="71"/>
        <v>#VALUE!</v>
      </c>
      <c r="AJ202" s="199" t="e">
        <f t="shared" ca="1" si="71"/>
        <v>#VALUE!</v>
      </c>
      <c r="AK202" s="199" t="e">
        <f t="shared" ca="1" si="71"/>
        <v>#VALUE!</v>
      </c>
      <c r="AL202" s="199" t="e">
        <f t="shared" ca="1" si="71"/>
        <v>#VALUE!</v>
      </c>
      <c r="AM202" s="199" t="e">
        <f t="shared" ca="1" si="71"/>
        <v>#VALUE!</v>
      </c>
      <c r="AN202" s="199" t="e">
        <f t="shared" ca="1" si="71"/>
        <v>#VALUE!</v>
      </c>
      <c r="AO202" s="199" t="e">
        <f t="shared" ca="1" si="71"/>
        <v>#VALUE!</v>
      </c>
      <c r="AP202" s="199" t="e">
        <f t="shared" ca="1" si="71"/>
        <v>#VALUE!</v>
      </c>
    </row>
    <row r="203" spans="1:42">
      <c r="A203" s="61" t="str">
        <f>'[4]TS BYDem'!A142</f>
        <v/>
      </c>
      <c r="B203" s="199" t="s">
        <v>288</v>
      </c>
      <c r="C203" s="199" t="s">
        <v>137</v>
      </c>
      <c r="D203" s="199" t="str">
        <f>'[4]TS BYDem'!D142</f>
        <v>IFBS</v>
      </c>
      <c r="E203" s="199" t="s">
        <v>137</v>
      </c>
      <c r="F203" s="199" t="s">
        <v>137</v>
      </c>
      <c r="G203" s="199" t="s">
        <v>137</v>
      </c>
      <c r="H203" s="199" t="s">
        <v>137</v>
      </c>
      <c r="I203" s="199">
        <v>0</v>
      </c>
      <c r="J203" s="199">
        <f>INDEX('[4]TS BYDem'!$J$10:$J$203,MATCH(D203,'[4]TS BYDem'!$D$10:$D$203,0))</f>
        <v>20.421862032418336</v>
      </c>
      <c r="K203" s="199">
        <f t="shared" ca="1" si="68"/>
        <v>20.79695745750357</v>
      </c>
      <c r="L203" s="199">
        <f t="shared" ca="1" si="68"/>
        <v>21.066762938705232</v>
      </c>
      <c r="M203" s="206">
        <f t="shared" ref="M203" si="72">O203</f>
        <v>6.8922304000000008</v>
      </c>
      <c r="N203" s="206">
        <f t="shared" ref="N203" si="73">O203</f>
        <v>6.8922304000000008</v>
      </c>
      <c r="O203" s="206">
        <f>INDEX('[4]TS BYDem'!$O$10:$O$203,MATCH(D203,'[4]TS BYDem'!$D$10:$D$203,0))</f>
        <v>6.8922304000000008</v>
      </c>
      <c r="P203" s="199">
        <f t="shared" ca="1" si="68"/>
        <v>6.9394422839382486</v>
      </c>
      <c r="Q203" s="199">
        <f t="shared" ca="1" si="68"/>
        <v>6.8851838501584703</v>
      </c>
      <c r="R203" s="199">
        <f t="shared" ca="1" si="68"/>
        <v>6.5384935979552194</v>
      </c>
      <c r="S203" s="199">
        <f t="shared" ca="1" si="68"/>
        <v>6.8467728749681633</v>
      </c>
      <c r="T203" s="199">
        <f t="shared" ca="1" si="68"/>
        <v>7.1059342797398868</v>
      </c>
      <c r="U203" s="199">
        <f t="shared" ca="1" si="68"/>
        <v>7.3599253821684254</v>
      </c>
      <c r="V203" s="199">
        <f t="shared" ca="1" si="68"/>
        <v>7.6481697376024176</v>
      </c>
      <c r="W203" s="199">
        <f t="shared" ca="1" si="68"/>
        <v>7.9596804535672971</v>
      </c>
      <c r="X203" s="199">
        <f t="shared" ca="1" si="68"/>
        <v>8.2821780620036289</v>
      </c>
      <c r="Y203" s="199">
        <f t="shared" ca="1" si="68"/>
        <v>8.6208328652519963</v>
      </c>
      <c r="Z203" s="199">
        <f t="shared" ca="1" si="68"/>
        <v>8.9762911511048316</v>
      </c>
      <c r="AA203" s="199">
        <f t="shared" ca="1" si="71"/>
        <v>9.3808673091906236</v>
      </c>
      <c r="AB203" s="199">
        <f t="shared" ca="1" si="71"/>
        <v>9.7990155109175578</v>
      </c>
      <c r="AC203" s="199">
        <f t="shared" ca="1" si="71"/>
        <v>10.189373337561488</v>
      </c>
      <c r="AD203" s="199">
        <f t="shared" ca="1" si="71"/>
        <v>10.597180934602056</v>
      </c>
      <c r="AE203" s="199">
        <f t="shared" ca="1" si="71"/>
        <v>10.997879365922023</v>
      </c>
      <c r="AF203" s="199">
        <f t="shared" ca="1" si="71"/>
        <v>11.432831050244893</v>
      </c>
      <c r="AG203" s="199">
        <f t="shared" ca="1" si="71"/>
        <v>11.845162661826111</v>
      </c>
      <c r="AH203" s="199">
        <f t="shared" ca="1" si="71"/>
        <v>12.260079424575258</v>
      </c>
      <c r="AI203" s="199">
        <f t="shared" ca="1" si="71"/>
        <v>12.72605292293299</v>
      </c>
      <c r="AJ203" s="199">
        <f t="shared" ca="1" si="71"/>
        <v>13.219816796367496</v>
      </c>
      <c r="AK203" s="199">
        <f t="shared" ca="1" si="71"/>
        <v>13.754296800729289</v>
      </c>
      <c r="AL203" s="199">
        <f t="shared" ca="1" si="71"/>
        <v>14.332078087188213</v>
      </c>
      <c r="AM203" s="199">
        <f t="shared" ca="1" si="71"/>
        <v>17.720564983065074</v>
      </c>
      <c r="AN203" s="199">
        <f t="shared" ca="1" si="71"/>
        <v>21.814798148302998</v>
      </c>
      <c r="AO203" s="199">
        <f t="shared" ca="1" si="71"/>
        <v>29.179893831191087</v>
      </c>
      <c r="AP203" s="199">
        <f t="shared" ca="1" si="71"/>
        <v>36.662613892305764</v>
      </c>
    </row>
    <row r="204" spans="1:42">
      <c r="A204" s="61" t="str">
        <f>'[4]TS BYDem'!A143</f>
        <v>*</v>
      </c>
      <c r="B204" s="199" t="s">
        <v>288</v>
      </c>
      <c r="C204" s="199" t="s">
        <v>137</v>
      </c>
      <c r="D204" s="199" t="str">
        <f>'[4]TS BYDem'!D143</f>
        <v>IFBS</v>
      </c>
      <c r="E204" s="199" t="s">
        <v>137</v>
      </c>
      <c r="F204" s="199" t="s">
        <v>137</v>
      </c>
      <c r="G204" s="199" t="s">
        <v>137</v>
      </c>
      <c r="H204" s="199" t="s">
        <v>137</v>
      </c>
      <c r="I204" s="199">
        <v>0</v>
      </c>
      <c r="J204" s="199">
        <f>INDEX('[4]TS BYDem'!$J$10:$J$203,MATCH(D204,'[4]TS BYDem'!$D$10:$D$203,0))</f>
        <v>20.421862032418336</v>
      </c>
      <c r="K204" s="199">
        <f t="shared" ca="1" si="68"/>
        <v>20.79695745750357</v>
      </c>
      <c r="L204" s="199">
        <f t="shared" ca="1" si="68"/>
        <v>21.066762938705232</v>
      </c>
      <c r="M204" s="199">
        <f t="shared" ca="1" si="68"/>
        <v>21.086504803183399</v>
      </c>
      <c r="N204" s="199">
        <f t="shared" ca="1" si="68"/>
        <v>21.373858608365659</v>
      </c>
      <c r="O204" s="199">
        <f t="shared" ca="1" si="68"/>
        <v>21.455019606775917</v>
      </c>
      <c r="P204" s="199">
        <f t="shared" ca="1" si="68"/>
        <v>21.601986820113407</v>
      </c>
      <c r="Q204" s="199">
        <f t="shared" ca="1" si="68"/>
        <v>21.43308420180017</v>
      </c>
      <c r="R204" s="199">
        <f t="shared" ca="1" si="68"/>
        <v>20.353862276993532</v>
      </c>
      <c r="S204" s="199">
        <f t="shared" ca="1" si="68"/>
        <v>21.313513587065145</v>
      </c>
      <c r="T204" s="199">
        <f t="shared" ca="1" si="68"/>
        <v>22.120264478720902</v>
      </c>
      <c r="U204" s="199">
        <f t="shared" ca="1" si="68"/>
        <v>22.91092058948454</v>
      </c>
      <c r="V204" s="199">
        <f t="shared" ca="1" si="68"/>
        <v>23.80820462360197</v>
      </c>
      <c r="W204" s="199">
        <f t="shared" ca="1" si="68"/>
        <v>24.777915171692076</v>
      </c>
      <c r="X204" s="199">
        <f t="shared" ca="1" si="68"/>
        <v>25.781827129153605</v>
      </c>
      <c r="Y204" s="199">
        <f t="shared" ca="1" si="68"/>
        <v>26.836035276870568</v>
      </c>
      <c r="Z204" s="199">
        <f t="shared" ca="1" si="68"/>
        <v>27.942551462453039</v>
      </c>
      <c r="AA204" s="199">
        <f t="shared" ca="1" si="71"/>
        <v>29.201968066425646</v>
      </c>
      <c r="AB204" s="199">
        <f t="shared" ca="1" si="71"/>
        <v>30.503633470209806</v>
      </c>
      <c r="AC204" s="199">
        <f t="shared" ca="1" si="71"/>
        <v>31.718789426734993</v>
      </c>
      <c r="AD204" s="199">
        <f t="shared" ca="1" si="71"/>
        <v>32.988265268734928</v>
      </c>
      <c r="AE204" s="199">
        <f t="shared" ca="1" si="71"/>
        <v>34.235610787012178</v>
      </c>
      <c r="AF204" s="199">
        <f t="shared" ca="1" si="71"/>
        <v>35.589584228635282</v>
      </c>
      <c r="AG204" s="199">
        <f t="shared" ca="1" si="71"/>
        <v>36.873143003885822</v>
      </c>
      <c r="AH204" s="199">
        <f t="shared" ca="1" si="71"/>
        <v>38.164749169571017</v>
      </c>
      <c r="AI204" s="199">
        <f t="shared" ca="1" si="71"/>
        <v>39.615291296471341</v>
      </c>
      <c r="AJ204" s="199">
        <f t="shared" ca="1" si="71"/>
        <v>41.15234287061125</v>
      </c>
      <c r="AK204" s="199">
        <f t="shared" ca="1" si="71"/>
        <v>42.816140844197847</v>
      </c>
      <c r="AL204" s="199">
        <f t="shared" ca="1" si="71"/>
        <v>44.614732607671748</v>
      </c>
      <c r="AM204" s="199">
        <f t="shared" ca="1" si="71"/>
        <v>55.162849627721059</v>
      </c>
      <c r="AN204" s="199">
        <f t="shared" ca="1" si="71"/>
        <v>67.907904238038768</v>
      </c>
      <c r="AO204" s="199">
        <f t="shared" ca="1" si="71"/>
        <v>90.834919603361527</v>
      </c>
      <c r="AP204" s="199">
        <f t="shared" ca="1" si="71"/>
        <v>114.1280912337282</v>
      </c>
    </row>
    <row r="205" spans="1:42">
      <c r="A205" s="61" t="str">
        <f>'[4]TS BYDem'!A144</f>
        <v>*</v>
      </c>
      <c r="B205" s="199" t="s">
        <v>288</v>
      </c>
      <c r="C205" s="199" t="s">
        <v>137</v>
      </c>
      <c r="D205" s="199" t="str">
        <f>'[4]TS BYDem'!D144</f>
        <v>IFBS</v>
      </c>
      <c r="E205" s="199" t="s">
        <v>137</v>
      </c>
      <c r="F205" s="199" t="s">
        <v>137</v>
      </c>
      <c r="G205" s="199" t="s">
        <v>137</v>
      </c>
      <c r="H205" s="199" t="s">
        <v>137</v>
      </c>
      <c r="I205" s="199">
        <v>0</v>
      </c>
      <c r="J205" s="199">
        <f>INDEX('[4]TS BYDem'!$J$10:$J$203,MATCH(D205,'[4]TS BYDem'!$D$10:$D$203,0))</f>
        <v>20.421862032418336</v>
      </c>
      <c r="K205" s="199">
        <f t="shared" ca="1" si="68"/>
        <v>20.79695745750357</v>
      </c>
      <c r="L205" s="199">
        <f t="shared" ca="1" si="68"/>
        <v>21.066762938705232</v>
      </c>
      <c r="M205" s="199">
        <f t="shared" ca="1" si="68"/>
        <v>21.086504803183399</v>
      </c>
      <c r="N205" s="199">
        <f t="shared" ca="1" si="68"/>
        <v>21.373858608365659</v>
      </c>
      <c r="O205" s="199">
        <f t="shared" ca="1" si="68"/>
        <v>21.455019606775917</v>
      </c>
      <c r="P205" s="199">
        <f t="shared" ca="1" si="68"/>
        <v>21.601986820113407</v>
      </c>
      <c r="Q205" s="199">
        <f t="shared" ca="1" si="68"/>
        <v>21.43308420180017</v>
      </c>
      <c r="R205" s="199">
        <f t="shared" ca="1" si="68"/>
        <v>20.353862276993532</v>
      </c>
      <c r="S205" s="199">
        <f t="shared" ca="1" si="68"/>
        <v>21.313513587065145</v>
      </c>
      <c r="T205" s="199">
        <f t="shared" ca="1" si="68"/>
        <v>22.120264478720902</v>
      </c>
      <c r="U205" s="199">
        <f t="shared" ca="1" si="68"/>
        <v>22.91092058948454</v>
      </c>
      <c r="V205" s="199">
        <f t="shared" ca="1" si="68"/>
        <v>23.80820462360197</v>
      </c>
      <c r="W205" s="199">
        <f t="shared" ca="1" si="68"/>
        <v>24.777915171692076</v>
      </c>
      <c r="X205" s="199">
        <f t="shared" ca="1" si="68"/>
        <v>25.781827129153605</v>
      </c>
      <c r="Y205" s="199">
        <f t="shared" ca="1" si="68"/>
        <v>26.836035276870568</v>
      </c>
      <c r="Z205" s="199">
        <f t="shared" ca="1" si="68"/>
        <v>27.942551462453039</v>
      </c>
      <c r="AA205" s="199">
        <f t="shared" ca="1" si="71"/>
        <v>29.201968066425646</v>
      </c>
      <c r="AB205" s="199">
        <f t="shared" ca="1" si="71"/>
        <v>30.503633470209806</v>
      </c>
      <c r="AC205" s="199">
        <f t="shared" ca="1" si="71"/>
        <v>31.718789426734993</v>
      </c>
      <c r="AD205" s="199">
        <f t="shared" ca="1" si="71"/>
        <v>32.988265268734928</v>
      </c>
      <c r="AE205" s="199">
        <f t="shared" ca="1" si="71"/>
        <v>34.235610787012178</v>
      </c>
      <c r="AF205" s="199">
        <f t="shared" ca="1" si="71"/>
        <v>35.589584228635282</v>
      </c>
      <c r="AG205" s="199">
        <f t="shared" ca="1" si="71"/>
        <v>36.873143003885822</v>
      </c>
      <c r="AH205" s="199">
        <f t="shared" ca="1" si="71"/>
        <v>38.164749169571017</v>
      </c>
      <c r="AI205" s="199">
        <f t="shared" ca="1" si="71"/>
        <v>39.615291296471341</v>
      </c>
      <c r="AJ205" s="199">
        <f t="shared" ca="1" si="71"/>
        <v>41.15234287061125</v>
      </c>
      <c r="AK205" s="199">
        <f t="shared" ca="1" si="71"/>
        <v>42.816140844197847</v>
      </c>
      <c r="AL205" s="199">
        <f t="shared" ca="1" si="71"/>
        <v>44.614732607671748</v>
      </c>
      <c r="AM205" s="199">
        <f t="shared" ca="1" si="71"/>
        <v>55.162849627721059</v>
      </c>
      <c r="AN205" s="199">
        <f t="shared" ca="1" si="71"/>
        <v>67.907904238038768</v>
      </c>
      <c r="AO205" s="199">
        <f t="shared" ca="1" si="71"/>
        <v>90.834919603361527</v>
      </c>
      <c r="AP205" s="199">
        <f t="shared" ca="1" si="71"/>
        <v>114.1280912337282</v>
      </c>
    </row>
    <row r="206" spans="1:42">
      <c r="A206" s="61" t="str">
        <f>'[4]TS BYDem'!A145</f>
        <v>*</v>
      </c>
      <c r="B206" s="199" t="s">
        <v>288</v>
      </c>
      <c r="C206" s="199" t="s">
        <v>137</v>
      </c>
      <c r="D206" s="199" t="str">
        <f>'[4]TS BYDem'!D145</f>
        <v>IFBS</v>
      </c>
      <c r="E206" s="199" t="s">
        <v>137</v>
      </c>
      <c r="F206" s="199" t="s">
        <v>137</v>
      </c>
      <c r="G206" s="199" t="s">
        <v>137</v>
      </c>
      <c r="H206" s="199" t="s">
        <v>137</v>
      </c>
      <c r="I206" s="199">
        <v>0</v>
      </c>
      <c r="J206" s="199">
        <f>INDEX('[4]TS BYDem'!$J$10:$J$203,MATCH(D206,'[4]TS BYDem'!$D$10:$D$203,0))</f>
        <v>20.421862032418336</v>
      </c>
      <c r="K206" s="199">
        <f t="shared" ca="1" si="68"/>
        <v>20.79695745750357</v>
      </c>
      <c r="L206" s="199">
        <f t="shared" ca="1" si="68"/>
        <v>21.066762938705232</v>
      </c>
      <c r="M206" s="199">
        <f t="shared" ca="1" si="68"/>
        <v>21.086504803183399</v>
      </c>
      <c r="N206" s="199">
        <f t="shared" ca="1" si="68"/>
        <v>21.373858608365659</v>
      </c>
      <c r="O206" s="199">
        <f t="shared" ca="1" si="68"/>
        <v>21.455019606775917</v>
      </c>
      <c r="P206" s="199">
        <f t="shared" ca="1" si="68"/>
        <v>21.601986820113407</v>
      </c>
      <c r="Q206" s="199">
        <f t="shared" ca="1" si="68"/>
        <v>21.43308420180017</v>
      </c>
      <c r="R206" s="199">
        <f t="shared" ca="1" si="68"/>
        <v>20.353862276993532</v>
      </c>
      <c r="S206" s="199">
        <f t="shared" ca="1" si="68"/>
        <v>21.313513587065145</v>
      </c>
      <c r="T206" s="199">
        <f t="shared" ca="1" si="68"/>
        <v>22.120264478720902</v>
      </c>
      <c r="U206" s="199">
        <f t="shared" ca="1" si="68"/>
        <v>22.91092058948454</v>
      </c>
      <c r="V206" s="199">
        <f t="shared" ca="1" si="68"/>
        <v>23.80820462360197</v>
      </c>
      <c r="W206" s="199">
        <f t="shared" ca="1" si="68"/>
        <v>24.777915171692076</v>
      </c>
      <c r="X206" s="199">
        <f t="shared" ca="1" si="68"/>
        <v>25.781827129153605</v>
      </c>
      <c r="Y206" s="199">
        <f t="shared" ca="1" si="68"/>
        <v>26.836035276870568</v>
      </c>
      <c r="Z206" s="199">
        <f t="shared" ca="1" si="68"/>
        <v>27.942551462453039</v>
      </c>
      <c r="AA206" s="199">
        <f t="shared" ca="1" si="71"/>
        <v>29.201968066425646</v>
      </c>
      <c r="AB206" s="199">
        <f t="shared" ca="1" si="71"/>
        <v>30.503633470209806</v>
      </c>
      <c r="AC206" s="199">
        <f t="shared" ca="1" si="71"/>
        <v>31.718789426734993</v>
      </c>
      <c r="AD206" s="199">
        <f t="shared" ca="1" si="71"/>
        <v>32.988265268734928</v>
      </c>
      <c r="AE206" s="199">
        <f t="shared" ca="1" si="71"/>
        <v>34.235610787012178</v>
      </c>
      <c r="AF206" s="199">
        <f t="shared" ca="1" si="71"/>
        <v>35.589584228635282</v>
      </c>
      <c r="AG206" s="199">
        <f t="shared" ca="1" si="71"/>
        <v>36.873143003885822</v>
      </c>
      <c r="AH206" s="199">
        <f t="shared" ca="1" si="71"/>
        <v>38.164749169571017</v>
      </c>
      <c r="AI206" s="199">
        <f t="shared" ca="1" si="71"/>
        <v>39.615291296471341</v>
      </c>
      <c r="AJ206" s="199">
        <f t="shared" ca="1" si="71"/>
        <v>41.15234287061125</v>
      </c>
      <c r="AK206" s="199">
        <f t="shared" ca="1" si="71"/>
        <v>42.816140844197847</v>
      </c>
      <c r="AL206" s="199">
        <f t="shared" ca="1" si="71"/>
        <v>44.614732607671748</v>
      </c>
      <c r="AM206" s="199">
        <f t="shared" ca="1" si="71"/>
        <v>55.162849627721059</v>
      </c>
      <c r="AN206" s="199">
        <f t="shared" ca="1" si="71"/>
        <v>67.907904238038768</v>
      </c>
      <c r="AO206" s="199">
        <f t="shared" ca="1" si="71"/>
        <v>90.834919603361527</v>
      </c>
      <c r="AP206" s="199">
        <f t="shared" ca="1" si="71"/>
        <v>114.1280912337282</v>
      </c>
    </row>
    <row r="207" spans="1:42">
      <c r="A207" s="61" t="str">
        <f>'[4]TS BYDem'!A146</f>
        <v>*</v>
      </c>
      <c r="B207" s="199" t="s">
        <v>288</v>
      </c>
      <c r="C207" s="199" t="s">
        <v>137</v>
      </c>
      <c r="D207" s="199" t="str">
        <f>'[4]TS BYDem'!D146</f>
        <v>IFBS</v>
      </c>
      <c r="E207" s="199" t="s">
        <v>137</v>
      </c>
      <c r="F207" s="199" t="s">
        <v>137</v>
      </c>
      <c r="G207" s="199" t="s">
        <v>137</v>
      </c>
      <c r="H207" s="199" t="s">
        <v>137</v>
      </c>
      <c r="I207" s="199">
        <v>0</v>
      </c>
      <c r="J207" s="199">
        <f>INDEX('[4]TS BYDem'!$J$10:$J$203,MATCH(D207,'[4]TS BYDem'!$D$10:$D$203,0))</f>
        <v>20.421862032418336</v>
      </c>
      <c r="K207" s="199">
        <f t="shared" ca="1" si="68"/>
        <v>20.79695745750357</v>
      </c>
      <c r="L207" s="199">
        <f t="shared" ca="1" si="68"/>
        <v>21.066762938705232</v>
      </c>
      <c r="M207" s="199">
        <f t="shared" ca="1" si="68"/>
        <v>21.086504803183399</v>
      </c>
      <c r="N207" s="199">
        <f t="shared" ca="1" si="68"/>
        <v>21.373858608365659</v>
      </c>
      <c r="O207" s="199">
        <f t="shared" ca="1" si="68"/>
        <v>21.455019606775917</v>
      </c>
      <c r="P207" s="199">
        <f t="shared" ca="1" si="68"/>
        <v>21.601986820113407</v>
      </c>
      <c r="Q207" s="199">
        <f t="shared" ca="1" si="68"/>
        <v>21.43308420180017</v>
      </c>
      <c r="R207" s="199">
        <f t="shared" ca="1" si="68"/>
        <v>20.353862276993532</v>
      </c>
      <c r="S207" s="199">
        <f t="shared" ca="1" si="68"/>
        <v>21.313513587065145</v>
      </c>
      <c r="T207" s="199">
        <f t="shared" ca="1" si="68"/>
        <v>22.120264478720902</v>
      </c>
      <c r="U207" s="199">
        <f t="shared" ca="1" si="68"/>
        <v>22.91092058948454</v>
      </c>
      <c r="V207" s="199">
        <f t="shared" ca="1" si="68"/>
        <v>23.80820462360197</v>
      </c>
      <c r="W207" s="199">
        <f t="shared" ca="1" si="68"/>
        <v>24.777915171692076</v>
      </c>
      <c r="X207" s="199">
        <f t="shared" ca="1" si="68"/>
        <v>25.781827129153605</v>
      </c>
      <c r="Y207" s="199">
        <f t="shared" ca="1" si="68"/>
        <v>26.836035276870568</v>
      </c>
      <c r="Z207" s="199">
        <f t="shared" ca="1" si="68"/>
        <v>27.942551462453039</v>
      </c>
      <c r="AA207" s="199">
        <f t="shared" ca="1" si="71"/>
        <v>29.201968066425646</v>
      </c>
      <c r="AB207" s="199">
        <f t="shared" ca="1" si="71"/>
        <v>30.503633470209806</v>
      </c>
      <c r="AC207" s="199">
        <f t="shared" ca="1" si="71"/>
        <v>31.718789426734993</v>
      </c>
      <c r="AD207" s="199">
        <f t="shared" ca="1" si="71"/>
        <v>32.988265268734928</v>
      </c>
      <c r="AE207" s="199">
        <f t="shared" ca="1" si="71"/>
        <v>34.235610787012178</v>
      </c>
      <c r="AF207" s="199">
        <f t="shared" ca="1" si="71"/>
        <v>35.589584228635282</v>
      </c>
      <c r="AG207" s="199">
        <f t="shared" ca="1" si="71"/>
        <v>36.873143003885822</v>
      </c>
      <c r="AH207" s="199">
        <f t="shared" ca="1" si="71"/>
        <v>38.164749169571017</v>
      </c>
      <c r="AI207" s="199">
        <f t="shared" ca="1" si="71"/>
        <v>39.615291296471341</v>
      </c>
      <c r="AJ207" s="199">
        <f t="shared" ca="1" si="71"/>
        <v>41.15234287061125</v>
      </c>
      <c r="AK207" s="199">
        <f t="shared" ca="1" si="71"/>
        <v>42.816140844197847</v>
      </c>
      <c r="AL207" s="199">
        <f t="shared" ca="1" si="71"/>
        <v>44.614732607671748</v>
      </c>
      <c r="AM207" s="199">
        <f t="shared" ca="1" si="71"/>
        <v>55.162849627721059</v>
      </c>
      <c r="AN207" s="199">
        <f t="shared" ca="1" si="71"/>
        <v>67.907904238038768</v>
      </c>
      <c r="AO207" s="199">
        <f t="shared" ca="1" si="71"/>
        <v>90.834919603361527</v>
      </c>
      <c r="AP207" s="199">
        <f t="shared" ca="1" si="71"/>
        <v>114.1280912337282</v>
      </c>
    </row>
    <row r="208" spans="1:42">
      <c r="A208" s="61" t="str">
        <f>'[4]TS BYDem'!A147</f>
        <v>*</v>
      </c>
      <c r="B208" s="199" t="s">
        <v>288</v>
      </c>
      <c r="C208" s="199" t="s">
        <v>137</v>
      </c>
      <c r="D208" s="199" t="str">
        <f>'[4]TS BYDem'!D147</f>
        <v>IFBS</v>
      </c>
      <c r="E208" s="199" t="s">
        <v>137</v>
      </c>
      <c r="F208" s="199" t="s">
        <v>137</v>
      </c>
      <c r="G208" s="199" t="s">
        <v>137</v>
      </c>
      <c r="H208" s="199" t="s">
        <v>137</v>
      </c>
      <c r="I208" s="199">
        <v>0</v>
      </c>
      <c r="J208" s="199">
        <f>INDEX('[4]TS BYDem'!$J$10:$J$203,MATCH(D208,'[4]TS BYDem'!$D$10:$D$203,0))</f>
        <v>20.421862032418336</v>
      </c>
      <c r="K208" s="199">
        <f t="shared" ca="1" si="68"/>
        <v>20.79695745750357</v>
      </c>
      <c r="L208" s="199">
        <f t="shared" ca="1" si="68"/>
        <v>21.066762938705232</v>
      </c>
      <c r="M208" s="199">
        <f t="shared" ca="1" si="68"/>
        <v>21.086504803183399</v>
      </c>
      <c r="N208" s="199">
        <f t="shared" ca="1" si="68"/>
        <v>21.373858608365659</v>
      </c>
      <c r="O208" s="199">
        <f t="shared" ca="1" si="68"/>
        <v>21.455019606775917</v>
      </c>
      <c r="P208" s="199">
        <f t="shared" ca="1" si="68"/>
        <v>21.601986820113407</v>
      </c>
      <c r="Q208" s="199">
        <f t="shared" ca="1" si="68"/>
        <v>21.43308420180017</v>
      </c>
      <c r="R208" s="199">
        <f t="shared" ca="1" si="68"/>
        <v>20.353862276993532</v>
      </c>
      <c r="S208" s="199">
        <f t="shared" ca="1" si="68"/>
        <v>21.313513587065145</v>
      </c>
      <c r="T208" s="199">
        <f t="shared" ca="1" si="68"/>
        <v>22.120264478720902</v>
      </c>
      <c r="U208" s="199">
        <f t="shared" ca="1" si="68"/>
        <v>22.91092058948454</v>
      </c>
      <c r="V208" s="199">
        <f t="shared" ca="1" si="68"/>
        <v>23.80820462360197</v>
      </c>
      <c r="W208" s="199">
        <f t="shared" ca="1" si="68"/>
        <v>24.777915171692076</v>
      </c>
      <c r="X208" s="199">
        <f t="shared" ca="1" si="68"/>
        <v>25.781827129153605</v>
      </c>
      <c r="Y208" s="199">
        <f t="shared" ca="1" si="68"/>
        <v>26.836035276870568</v>
      </c>
      <c r="Z208" s="199">
        <f t="shared" ca="1" si="68"/>
        <v>27.942551462453039</v>
      </c>
      <c r="AA208" s="199">
        <f t="shared" ca="1" si="71"/>
        <v>29.201968066425646</v>
      </c>
      <c r="AB208" s="199">
        <f t="shared" ca="1" si="71"/>
        <v>30.503633470209806</v>
      </c>
      <c r="AC208" s="199">
        <f t="shared" ca="1" si="71"/>
        <v>31.718789426734993</v>
      </c>
      <c r="AD208" s="199">
        <f t="shared" ca="1" si="71"/>
        <v>32.988265268734928</v>
      </c>
      <c r="AE208" s="199">
        <f t="shared" ca="1" si="71"/>
        <v>34.235610787012178</v>
      </c>
      <c r="AF208" s="199">
        <f t="shared" ca="1" si="71"/>
        <v>35.589584228635282</v>
      </c>
      <c r="AG208" s="199">
        <f t="shared" ca="1" si="71"/>
        <v>36.873143003885822</v>
      </c>
      <c r="AH208" s="199">
        <f t="shared" ca="1" si="71"/>
        <v>38.164749169571017</v>
      </c>
      <c r="AI208" s="199">
        <f t="shared" ca="1" si="71"/>
        <v>39.615291296471341</v>
      </c>
      <c r="AJ208" s="199">
        <f t="shared" ca="1" si="71"/>
        <v>41.15234287061125</v>
      </c>
      <c r="AK208" s="199">
        <f t="shared" ca="1" si="71"/>
        <v>42.816140844197847</v>
      </c>
      <c r="AL208" s="199">
        <f t="shared" ca="1" si="71"/>
        <v>44.614732607671748</v>
      </c>
      <c r="AM208" s="199">
        <f t="shared" ca="1" si="71"/>
        <v>55.162849627721059</v>
      </c>
      <c r="AN208" s="199">
        <f t="shared" ca="1" si="71"/>
        <v>67.907904238038768</v>
      </c>
      <c r="AO208" s="199">
        <f t="shared" ca="1" si="71"/>
        <v>90.834919603361527</v>
      </c>
      <c r="AP208" s="199">
        <f t="shared" ref="AP208" ca="1" si="74">AP$192/AO$192*AO208</f>
        <v>114.1280912337282</v>
      </c>
    </row>
    <row r="209" spans="1:42">
      <c r="A209" s="61" t="str">
        <f>'[4]TS BYDem'!A148</f>
        <v>*</v>
      </c>
      <c r="B209" s="199" t="s">
        <v>288</v>
      </c>
      <c r="C209" s="199" t="s">
        <v>137</v>
      </c>
      <c r="D209" s="199" t="str">
        <f>'[4]TS BYDem'!D148</f>
        <v>IFBS</v>
      </c>
      <c r="E209" s="199" t="s">
        <v>137</v>
      </c>
      <c r="F209" s="199" t="s">
        <v>137</v>
      </c>
      <c r="G209" s="199" t="s">
        <v>137</v>
      </c>
      <c r="H209" s="199" t="s">
        <v>137</v>
      </c>
      <c r="I209" s="199">
        <v>0</v>
      </c>
      <c r="J209" s="199">
        <f>INDEX('[4]TS BYDem'!$J$10:$J$203,MATCH(D209,'[4]TS BYDem'!$D$10:$D$203,0))</f>
        <v>20.421862032418336</v>
      </c>
    </row>
    <row r="210" spans="1:42">
      <c r="A210" s="61" t="str">
        <f>'[4]TS BYDem'!A149</f>
        <v>*</v>
      </c>
      <c r="B210" s="199" t="s">
        <v>288</v>
      </c>
      <c r="C210" s="199" t="s">
        <v>137</v>
      </c>
      <c r="D210" s="199" t="str">
        <f>'[4]TS BYDem'!D149</f>
        <v>Useful Energy Service</v>
      </c>
      <c r="E210" s="199" t="s">
        <v>137</v>
      </c>
      <c r="F210" s="199" t="s">
        <v>137</v>
      </c>
      <c r="G210" s="199" t="s">
        <v>137</v>
      </c>
      <c r="H210" s="199" t="s">
        <v>137</v>
      </c>
      <c r="I210" s="199">
        <v>0</v>
      </c>
      <c r="J210" s="199" t="str">
        <f>INDEX('[4]TS BYDem'!$J$10:$J$203,MATCH(D210,'[4]TS BYDem'!$D$10:$D$203,0))</f>
        <v/>
      </c>
    </row>
    <row r="211" spans="1:42" s="5" customFormat="1">
      <c r="A211" s="61"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75.767664150927473</v>
      </c>
      <c r="T211" s="5">
        <f t="shared" ca="1" si="75"/>
        <v>78.504370282359091</v>
      </c>
      <c r="U211" s="5">
        <f t="shared" ca="1" si="75"/>
        <v>81.436555423311916</v>
      </c>
      <c r="V211" s="5">
        <f t="shared" ca="1" si="75"/>
        <v>84.798794385349822</v>
      </c>
      <c r="W211" s="5">
        <f t="shared" ca="1" si="75"/>
        <v>88.747470376149991</v>
      </c>
      <c r="X211" s="5">
        <f t="shared" ca="1" si="75"/>
        <v>92.735242168702314</v>
      </c>
      <c r="Y211" s="5">
        <f t="shared" ca="1" si="75"/>
        <v>97.035780376482109</v>
      </c>
      <c r="Z211" s="5">
        <f t="shared" ca="1" si="75"/>
        <v>101.64908499947163</v>
      </c>
      <c r="AA211" s="5">
        <f t="shared" ca="1" si="75"/>
        <v>106.73153924534016</v>
      </c>
      <c r="AB211" s="5">
        <f t="shared" ca="1" si="75"/>
        <v>112.04856830254215</v>
      </c>
      <c r="AC211" s="5">
        <f t="shared" ca="1" si="75"/>
        <v>117.24830995380287</v>
      </c>
      <c r="AD211" s="5">
        <f t="shared" ca="1" si="75"/>
        <v>122.76081802022838</v>
      </c>
      <c r="AE211" s="5">
        <f t="shared" ca="1" si="75"/>
        <v>128.50790089797448</v>
      </c>
      <c r="AF211" s="5">
        <f t="shared" ca="1" si="75"/>
        <v>134.48955858703479</v>
      </c>
      <c r="AG211" s="5">
        <f t="shared" ca="1" si="75"/>
        <v>139.8065876433883</v>
      </c>
      <c r="AH211" s="5">
        <f t="shared" ca="1" si="75"/>
        <v>145.74914953019484</v>
      </c>
      <c r="AI211" s="5">
        <f t="shared" ca="1" si="75"/>
        <v>152.31724424742688</v>
      </c>
      <c r="AJ211" s="5">
        <f t="shared" ca="1" si="75"/>
        <v>159.39358438932757</v>
      </c>
      <c r="AK211" s="5">
        <f t="shared" ca="1" si="75"/>
        <v>166.89997835206017</v>
      </c>
      <c r="AL211" s="5">
        <f t="shared" ca="1" si="75"/>
        <v>174.83642613561244</v>
      </c>
      <c r="AM211" s="5">
        <f t="shared" ca="1" si="75"/>
        <v>223.54979529109721</v>
      </c>
      <c r="AN211" s="5">
        <f t="shared" ca="1" si="75"/>
        <v>284.53924623977775</v>
      </c>
      <c r="AO211" s="5">
        <f t="shared" ca="1" si="75"/>
        <v>392.19605271174441</v>
      </c>
      <c r="AP211" s="5">
        <f t="shared" ca="1" si="75"/>
        <v>501.89887281590927</v>
      </c>
    </row>
    <row r="212" spans="1:42">
      <c r="A212" s="61" t="str">
        <f>'[4]TS BYDem'!A151</f>
        <v>*</v>
      </c>
      <c r="B212" s="199" t="s">
        <v>288</v>
      </c>
      <c r="C212" s="199" t="s">
        <v>137</v>
      </c>
      <c r="D212" s="199">
        <f>'[4]TS BYDem'!D151</f>
        <v>2</v>
      </c>
      <c r="E212" s="199" t="s">
        <v>137</v>
      </c>
      <c r="F212" s="199" t="s">
        <v>137</v>
      </c>
      <c r="G212" s="199" t="s">
        <v>137</v>
      </c>
      <c r="H212" s="199" t="s">
        <v>137</v>
      </c>
      <c r="I212" s="199">
        <v>0</v>
      </c>
      <c r="J212" s="199" t="str">
        <f>INDEX('[4]TS BYDem'!$J$10:$J$203,MATCH(D212,'[4]TS BYDem'!$D$10:$D$203,0))</f>
        <v/>
      </c>
      <c r="K212" s="199" t="e">
        <f t="shared" ref="K212:Z227" ca="1" si="76">K$211/J$211*J212</f>
        <v>#VALUE!</v>
      </c>
      <c r="L212" s="199" t="e">
        <f t="shared" ca="1" si="76"/>
        <v>#VALUE!</v>
      </c>
      <c r="M212" s="199" t="e">
        <f t="shared" ca="1" si="76"/>
        <v>#VALUE!</v>
      </c>
      <c r="N212" s="199" t="e">
        <f t="shared" ca="1" si="76"/>
        <v>#VALUE!</v>
      </c>
      <c r="O212" s="199" t="e">
        <f t="shared" ca="1" si="76"/>
        <v>#VALUE!</v>
      </c>
      <c r="P212" s="199" t="e">
        <f t="shared" ca="1" si="76"/>
        <v>#VALUE!</v>
      </c>
      <c r="Q212" s="199" t="e">
        <f t="shared" ca="1" si="76"/>
        <v>#VALUE!</v>
      </c>
      <c r="R212" s="199" t="e">
        <f t="shared" ca="1" si="76"/>
        <v>#VALUE!</v>
      </c>
      <c r="S212" s="199" t="e">
        <f t="shared" ca="1" si="76"/>
        <v>#VALUE!</v>
      </c>
      <c r="T212" s="199" t="e">
        <f t="shared" ca="1" si="76"/>
        <v>#VALUE!</v>
      </c>
      <c r="U212" s="199" t="e">
        <f t="shared" ca="1" si="76"/>
        <v>#VALUE!</v>
      </c>
      <c r="V212" s="199" t="e">
        <f t="shared" ca="1" si="76"/>
        <v>#VALUE!</v>
      </c>
      <c r="W212" s="199" t="e">
        <f t="shared" ca="1" si="76"/>
        <v>#VALUE!</v>
      </c>
      <c r="X212" s="199" t="e">
        <f t="shared" ca="1" si="76"/>
        <v>#VALUE!</v>
      </c>
      <c r="Y212" s="199" t="e">
        <f t="shared" ca="1" si="76"/>
        <v>#VALUE!</v>
      </c>
      <c r="Z212" s="199" t="e">
        <f t="shared" ca="1" si="76"/>
        <v>#VALUE!</v>
      </c>
      <c r="AA212" s="199" t="e">
        <f t="shared" ref="AA212:AP227" ca="1" si="77">AA$211/Z$211*Z212</f>
        <v>#VALUE!</v>
      </c>
      <c r="AB212" s="199" t="e">
        <f t="shared" ca="1" si="77"/>
        <v>#VALUE!</v>
      </c>
      <c r="AC212" s="199" t="e">
        <f t="shared" ca="1" si="77"/>
        <v>#VALUE!</v>
      </c>
      <c r="AD212" s="199" t="e">
        <f t="shared" ca="1" si="77"/>
        <v>#VALUE!</v>
      </c>
      <c r="AE212" s="199" t="e">
        <f t="shared" ca="1" si="77"/>
        <v>#VALUE!</v>
      </c>
      <c r="AF212" s="199" t="e">
        <f t="shared" ca="1" si="77"/>
        <v>#VALUE!</v>
      </c>
      <c r="AG212" s="199" t="e">
        <f t="shared" ca="1" si="77"/>
        <v>#VALUE!</v>
      </c>
      <c r="AH212" s="199" t="e">
        <f t="shared" ca="1" si="77"/>
        <v>#VALUE!</v>
      </c>
      <c r="AI212" s="199" t="e">
        <f t="shared" ca="1" si="77"/>
        <v>#VALUE!</v>
      </c>
      <c r="AJ212" s="199" t="e">
        <f t="shared" ca="1" si="77"/>
        <v>#VALUE!</v>
      </c>
      <c r="AK212" s="199" t="e">
        <f t="shared" ca="1" si="77"/>
        <v>#VALUE!</v>
      </c>
      <c r="AL212" s="199" t="e">
        <f t="shared" ca="1" si="77"/>
        <v>#VALUE!</v>
      </c>
      <c r="AM212" s="199" t="e">
        <f t="shared" ca="1" si="77"/>
        <v>#VALUE!</v>
      </c>
      <c r="AN212" s="199" t="e">
        <f t="shared" ca="1" si="77"/>
        <v>#VALUE!</v>
      </c>
      <c r="AO212" s="199" t="e">
        <f t="shared" ca="1" si="77"/>
        <v>#VALUE!</v>
      </c>
      <c r="AP212" s="199" t="e">
        <f t="shared" ca="1" si="77"/>
        <v>#VALUE!</v>
      </c>
    </row>
    <row r="213" spans="1:42">
      <c r="A213" s="61" t="str">
        <f>'[4]TS BYDem'!A152</f>
        <v>*</v>
      </c>
      <c r="B213" s="199" t="s">
        <v>288</v>
      </c>
      <c r="C213" s="199" t="s">
        <v>137</v>
      </c>
      <c r="D213" s="199" t="str">
        <f>'[4]TS BYDem'!D152</f>
        <v>IPPK</v>
      </c>
      <c r="E213" s="199" t="s">
        <v>137</v>
      </c>
      <c r="F213" s="199" t="s">
        <v>137</v>
      </c>
      <c r="G213" s="199" t="s">
        <v>137</v>
      </c>
      <c r="H213" s="199" t="s">
        <v>137</v>
      </c>
      <c r="I213" s="199">
        <v>0</v>
      </c>
      <c r="J213" s="199" t="str">
        <f>INDEX('[4]TS BYDem'!$J$10:$J$203,MATCH(D213,'[4]TS BYDem'!$D$10:$D$203,0))</f>
        <v/>
      </c>
      <c r="K213" s="199" t="e">
        <f t="shared" ca="1" si="76"/>
        <v>#VALUE!</v>
      </c>
      <c r="L213" s="199" t="e">
        <f t="shared" ca="1" si="76"/>
        <v>#VALUE!</v>
      </c>
      <c r="M213" s="199" t="e">
        <f t="shared" ca="1" si="76"/>
        <v>#VALUE!</v>
      </c>
      <c r="N213" s="199" t="e">
        <f t="shared" ca="1" si="76"/>
        <v>#VALUE!</v>
      </c>
      <c r="O213" s="199" t="e">
        <f t="shared" ca="1" si="76"/>
        <v>#VALUE!</v>
      </c>
      <c r="P213" s="199" t="e">
        <f t="shared" ca="1" si="76"/>
        <v>#VALUE!</v>
      </c>
      <c r="Q213" s="199" t="e">
        <f t="shared" ca="1" si="76"/>
        <v>#VALUE!</v>
      </c>
      <c r="R213" s="199" t="e">
        <f t="shared" ca="1" si="76"/>
        <v>#VALUE!</v>
      </c>
      <c r="S213" s="199" t="e">
        <f t="shared" ca="1" si="76"/>
        <v>#VALUE!</v>
      </c>
      <c r="T213" s="199" t="e">
        <f t="shared" ca="1" si="76"/>
        <v>#VALUE!</v>
      </c>
      <c r="U213" s="199" t="e">
        <f t="shared" ca="1" si="76"/>
        <v>#VALUE!</v>
      </c>
      <c r="V213" s="199" t="e">
        <f t="shared" ca="1" si="76"/>
        <v>#VALUE!</v>
      </c>
      <c r="W213" s="199" t="e">
        <f t="shared" ca="1" si="76"/>
        <v>#VALUE!</v>
      </c>
      <c r="X213" s="199" t="e">
        <f t="shared" ca="1" si="76"/>
        <v>#VALUE!</v>
      </c>
      <c r="Y213" s="199" t="e">
        <f t="shared" ca="1" si="76"/>
        <v>#VALUE!</v>
      </c>
      <c r="Z213" s="199" t="e">
        <f t="shared" ca="1" si="76"/>
        <v>#VALUE!</v>
      </c>
      <c r="AA213" s="199" t="e">
        <f t="shared" ca="1" si="77"/>
        <v>#VALUE!</v>
      </c>
      <c r="AB213" s="199" t="e">
        <f t="shared" ca="1" si="77"/>
        <v>#VALUE!</v>
      </c>
      <c r="AC213" s="199" t="e">
        <f t="shared" ca="1" si="77"/>
        <v>#VALUE!</v>
      </c>
      <c r="AD213" s="199" t="e">
        <f t="shared" ca="1" si="77"/>
        <v>#VALUE!</v>
      </c>
      <c r="AE213" s="199" t="e">
        <f t="shared" ca="1" si="77"/>
        <v>#VALUE!</v>
      </c>
      <c r="AF213" s="199" t="e">
        <f t="shared" ca="1" si="77"/>
        <v>#VALUE!</v>
      </c>
      <c r="AG213" s="199" t="e">
        <f t="shared" ca="1" si="77"/>
        <v>#VALUE!</v>
      </c>
      <c r="AH213" s="199" t="e">
        <f t="shared" ca="1" si="77"/>
        <v>#VALUE!</v>
      </c>
      <c r="AI213" s="199" t="e">
        <f t="shared" ca="1" si="77"/>
        <v>#VALUE!</v>
      </c>
      <c r="AJ213" s="199" t="e">
        <f t="shared" ca="1" si="77"/>
        <v>#VALUE!</v>
      </c>
      <c r="AK213" s="199" t="e">
        <f t="shared" ca="1" si="77"/>
        <v>#VALUE!</v>
      </c>
      <c r="AL213" s="199" t="e">
        <f t="shared" ca="1" si="77"/>
        <v>#VALUE!</v>
      </c>
      <c r="AM213" s="199" t="e">
        <f t="shared" ca="1" si="77"/>
        <v>#VALUE!</v>
      </c>
      <c r="AN213" s="199" t="e">
        <f t="shared" ca="1" si="77"/>
        <v>#VALUE!</v>
      </c>
      <c r="AO213" s="199" t="e">
        <f t="shared" ca="1" si="77"/>
        <v>#VALUE!</v>
      </c>
      <c r="AP213" s="199" t="e">
        <f t="shared" ca="1" si="77"/>
        <v>#VALUE!</v>
      </c>
    </row>
    <row r="214" spans="1:42">
      <c r="A214" s="61" t="str">
        <f>'[4]TS BYDem'!A153</f>
        <v>*</v>
      </c>
      <c r="B214" s="199" t="s">
        <v>288</v>
      </c>
      <c r="C214" s="199" t="s">
        <v>137</v>
      </c>
      <c r="D214" s="199" t="str">
        <f>'[4]TS BYDem'!D153</f>
        <v>IPPA</v>
      </c>
      <c r="E214" s="199" t="s">
        <v>137</v>
      </c>
      <c r="F214" s="199" t="s">
        <v>137</v>
      </c>
      <c r="G214" s="199" t="s">
        <v>137</v>
      </c>
      <c r="H214" s="199" t="s">
        <v>137</v>
      </c>
      <c r="I214" s="199">
        <v>0</v>
      </c>
      <c r="J214" s="199" t="str">
        <f>INDEX('[4]TS BYDem'!$J$10:$J$203,MATCH(D214,'[4]TS BYDem'!$D$10:$D$203,0))</f>
        <v/>
      </c>
      <c r="K214" s="199" t="e">
        <f t="shared" ca="1" si="76"/>
        <v>#VALUE!</v>
      </c>
      <c r="L214" s="199" t="e">
        <f t="shared" ca="1" si="76"/>
        <v>#VALUE!</v>
      </c>
      <c r="M214" s="199" t="e">
        <f t="shared" ca="1" si="76"/>
        <v>#VALUE!</v>
      </c>
      <c r="N214" s="199" t="e">
        <f t="shared" ca="1" si="76"/>
        <v>#VALUE!</v>
      </c>
      <c r="O214" s="199" t="e">
        <f t="shared" ca="1" si="76"/>
        <v>#VALUE!</v>
      </c>
      <c r="P214" s="199" t="e">
        <f t="shared" ca="1" si="76"/>
        <v>#VALUE!</v>
      </c>
      <c r="Q214" s="199" t="e">
        <f t="shared" ca="1" si="76"/>
        <v>#VALUE!</v>
      </c>
      <c r="R214" s="199" t="e">
        <f t="shared" ca="1" si="76"/>
        <v>#VALUE!</v>
      </c>
      <c r="S214" s="199" t="e">
        <f t="shared" ca="1" si="76"/>
        <v>#VALUE!</v>
      </c>
      <c r="T214" s="199" t="e">
        <f t="shared" ca="1" si="76"/>
        <v>#VALUE!</v>
      </c>
      <c r="U214" s="199" t="e">
        <f t="shared" ca="1" si="76"/>
        <v>#VALUE!</v>
      </c>
      <c r="V214" s="199" t="e">
        <f t="shared" ca="1" si="76"/>
        <v>#VALUE!</v>
      </c>
      <c r="W214" s="199" t="e">
        <f t="shared" ca="1" si="76"/>
        <v>#VALUE!</v>
      </c>
      <c r="X214" s="199" t="e">
        <f t="shared" ca="1" si="76"/>
        <v>#VALUE!</v>
      </c>
      <c r="Y214" s="199" t="e">
        <f t="shared" ca="1" si="76"/>
        <v>#VALUE!</v>
      </c>
      <c r="Z214" s="199" t="e">
        <f t="shared" ca="1" si="76"/>
        <v>#VALUE!</v>
      </c>
      <c r="AA214" s="199" t="e">
        <f t="shared" ca="1" si="77"/>
        <v>#VALUE!</v>
      </c>
      <c r="AB214" s="199" t="e">
        <f t="shared" ca="1" si="77"/>
        <v>#VALUE!</v>
      </c>
      <c r="AC214" s="199" t="e">
        <f t="shared" ca="1" si="77"/>
        <v>#VALUE!</v>
      </c>
      <c r="AD214" s="199" t="e">
        <f t="shared" ca="1" si="77"/>
        <v>#VALUE!</v>
      </c>
      <c r="AE214" s="199" t="e">
        <f t="shared" ca="1" si="77"/>
        <v>#VALUE!</v>
      </c>
      <c r="AF214" s="199" t="e">
        <f t="shared" ca="1" si="77"/>
        <v>#VALUE!</v>
      </c>
      <c r="AG214" s="199" t="e">
        <f t="shared" ca="1" si="77"/>
        <v>#VALUE!</v>
      </c>
      <c r="AH214" s="199" t="e">
        <f t="shared" ca="1" si="77"/>
        <v>#VALUE!</v>
      </c>
      <c r="AI214" s="199" t="e">
        <f t="shared" ca="1" si="77"/>
        <v>#VALUE!</v>
      </c>
      <c r="AJ214" s="199" t="e">
        <f t="shared" ca="1" si="77"/>
        <v>#VALUE!</v>
      </c>
      <c r="AK214" s="199" t="e">
        <f t="shared" ca="1" si="77"/>
        <v>#VALUE!</v>
      </c>
      <c r="AL214" s="199" t="e">
        <f t="shared" ca="1" si="77"/>
        <v>#VALUE!</v>
      </c>
      <c r="AM214" s="199" t="e">
        <f t="shared" ca="1" si="77"/>
        <v>#VALUE!</v>
      </c>
      <c r="AN214" s="199" t="e">
        <f t="shared" ca="1" si="77"/>
        <v>#VALUE!</v>
      </c>
      <c r="AO214" s="199" t="e">
        <f t="shared" ca="1" si="77"/>
        <v>#VALUE!</v>
      </c>
      <c r="AP214" s="199" t="e">
        <f t="shared" ca="1" si="77"/>
        <v>#VALUE!</v>
      </c>
    </row>
    <row r="215" spans="1:42">
      <c r="A215" s="61" t="str">
        <f>'[4]TS BYDem'!A154</f>
        <v>*</v>
      </c>
      <c r="B215" s="199" t="s">
        <v>288</v>
      </c>
      <c r="C215" s="199" t="s">
        <v>137</v>
      </c>
      <c r="D215" s="199" t="str">
        <f>'[4]TS BYDem'!D154</f>
        <v>IPPL</v>
      </c>
      <c r="E215" s="199" t="s">
        <v>137</v>
      </c>
      <c r="F215" s="199" t="s">
        <v>137</v>
      </c>
      <c r="G215" s="199" t="s">
        <v>137</v>
      </c>
      <c r="H215" s="199" t="s">
        <v>137</v>
      </c>
      <c r="I215" s="199">
        <v>0</v>
      </c>
      <c r="J215" s="199" t="str">
        <f>INDEX('[4]TS BYDem'!$J$10:$J$203,MATCH(D215,'[4]TS BYDem'!$D$10:$D$203,0))</f>
        <v/>
      </c>
      <c r="K215" s="199" t="e">
        <f t="shared" ca="1" si="76"/>
        <v>#VALUE!</v>
      </c>
      <c r="L215" s="199" t="e">
        <f t="shared" ca="1" si="76"/>
        <v>#VALUE!</v>
      </c>
      <c r="M215" s="199" t="e">
        <f t="shared" ca="1" si="76"/>
        <v>#VALUE!</v>
      </c>
      <c r="N215" s="199" t="e">
        <f t="shared" ca="1" si="76"/>
        <v>#VALUE!</v>
      </c>
      <c r="O215" s="199" t="e">
        <f t="shared" ca="1" si="76"/>
        <v>#VALUE!</v>
      </c>
      <c r="P215" s="199" t="e">
        <f t="shared" ca="1" si="76"/>
        <v>#VALUE!</v>
      </c>
      <c r="Q215" s="199" t="e">
        <f t="shared" ca="1" si="76"/>
        <v>#VALUE!</v>
      </c>
      <c r="R215" s="199" t="e">
        <f t="shared" ca="1" si="76"/>
        <v>#VALUE!</v>
      </c>
      <c r="S215" s="199" t="e">
        <f t="shared" ca="1" si="76"/>
        <v>#VALUE!</v>
      </c>
      <c r="T215" s="199" t="e">
        <f t="shared" ca="1" si="76"/>
        <v>#VALUE!</v>
      </c>
      <c r="U215" s="199" t="e">
        <f t="shared" ca="1" si="76"/>
        <v>#VALUE!</v>
      </c>
      <c r="V215" s="199" t="e">
        <f t="shared" ca="1" si="76"/>
        <v>#VALUE!</v>
      </c>
      <c r="W215" s="199" t="e">
        <f t="shared" ca="1" si="76"/>
        <v>#VALUE!</v>
      </c>
      <c r="X215" s="199" t="e">
        <f t="shared" ca="1" si="76"/>
        <v>#VALUE!</v>
      </c>
      <c r="Y215" s="199" t="e">
        <f t="shared" ca="1" si="76"/>
        <v>#VALUE!</v>
      </c>
      <c r="Z215" s="199" t="e">
        <f t="shared" ca="1" si="76"/>
        <v>#VALUE!</v>
      </c>
      <c r="AA215" s="199" t="e">
        <f t="shared" ca="1" si="77"/>
        <v>#VALUE!</v>
      </c>
      <c r="AB215" s="199" t="e">
        <f t="shared" ca="1" si="77"/>
        <v>#VALUE!</v>
      </c>
      <c r="AC215" s="199" t="e">
        <f t="shared" ca="1" si="77"/>
        <v>#VALUE!</v>
      </c>
      <c r="AD215" s="199" t="e">
        <f t="shared" ca="1" si="77"/>
        <v>#VALUE!</v>
      </c>
      <c r="AE215" s="199" t="e">
        <f t="shared" ca="1" si="77"/>
        <v>#VALUE!</v>
      </c>
      <c r="AF215" s="199" t="e">
        <f t="shared" ca="1" si="77"/>
        <v>#VALUE!</v>
      </c>
      <c r="AG215" s="199" t="e">
        <f t="shared" ca="1" si="77"/>
        <v>#VALUE!</v>
      </c>
      <c r="AH215" s="199" t="e">
        <f t="shared" ca="1" si="77"/>
        <v>#VALUE!</v>
      </c>
      <c r="AI215" s="199" t="e">
        <f t="shared" ca="1" si="77"/>
        <v>#VALUE!</v>
      </c>
      <c r="AJ215" s="199" t="e">
        <f t="shared" ca="1" si="77"/>
        <v>#VALUE!</v>
      </c>
      <c r="AK215" s="199" t="e">
        <f t="shared" ca="1" si="77"/>
        <v>#VALUE!</v>
      </c>
      <c r="AL215" s="199" t="e">
        <f t="shared" ca="1" si="77"/>
        <v>#VALUE!</v>
      </c>
      <c r="AM215" s="199" t="e">
        <f t="shared" ca="1" si="77"/>
        <v>#VALUE!</v>
      </c>
      <c r="AN215" s="199" t="e">
        <f t="shared" ca="1" si="77"/>
        <v>#VALUE!</v>
      </c>
      <c r="AO215" s="199" t="e">
        <f t="shared" ca="1" si="77"/>
        <v>#VALUE!</v>
      </c>
      <c r="AP215" s="199" t="e">
        <f t="shared" ca="1" si="77"/>
        <v>#VALUE!</v>
      </c>
    </row>
    <row r="216" spans="1:42">
      <c r="A216" s="61" t="str">
        <f>'[4]TS BYDem'!A155</f>
        <v>*</v>
      </c>
      <c r="B216" s="199" t="s">
        <v>288</v>
      </c>
      <c r="C216" s="199" t="s">
        <v>137</v>
      </c>
      <c r="D216" s="199" t="str">
        <f>'[4]TS BYDem'!D155</f>
        <v>IPPC</v>
      </c>
      <c r="E216" s="199" t="s">
        <v>137</v>
      </c>
      <c r="F216" s="199" t="s">
        <v>137</v>
      </c>
      <c r="G216" s="199" t="s">
        <v>137</v>
      </c>
      <c r="H216" s="199" t="s">
        <v>137</v>
      </c>
      <c r="I216" s="199">
        <v>0</v>
      </c>
      <c r="J216" s="199" t="str">
        <f>INDEX('[4]TS BYDem'!$J$10:$J$203,MATCH(D216,'[4]TS BYDem'!$D$10:$D$203,0))</f>
        <v/>
      </c>
      <c r="K216" s="199" t="e">
        <f t="shared" ca="1" si="76"/>
        <v>#VALUE!</v>
      </c>
      <c r="L216" s="199" t="e">
        <f t="shared" ca="1" si="76"/>
        <v>#VALUE!</v>
      </c>
      <c r="M216" s="199" t="e">
        <f t="shared" ca="1" si="76"/>
        <v>#VALUE!</v>
      </c>
      <c r="N216" s="199" t="e">
        <f t="shared" ca="1" si="76"/>
        <v>#VALUE!</v>
      </c>
      <c r="O216" s="199" t="e">
        <f t="shared" ca="1" si="76"/>
        <v>#VALUE!</v>
      </c>
      <c r="P216" s="199" t="e">
        <f t="shared" ca="1" si="76"/>
        <v>#VALUE!</v>
      </c>
      <c r="Q216" s="199" t="e">
        <f t="shared" ca="1" si="76"/>
        <v>#VALUE!</v>
      </c>
      <c r="R216" s="199" t="e">
        <f t="shared" ca="1" si="76"/>
        <v>#VALUE!</v>
      </c>
      <c r="S216" s="199" t="e">
        <f t="shared" ca="1" si="76"/>
        <v>#VALUE!</v>
      </c>
      <c r="T216" s="199" t="e">
        <f t="shared" ca="1" si="76"/>
        <v>#VALUE!</v>
      </c>
      <c r="U216" s="199" t="e">
        <f t="shared" ca="1" si="76"/>
        <v>#VALUE!</v>
      </c>
      <c r="V216" s="199" t="e">
        <f t="shared" ca="1" si="76"/>
        <v>#VALUE!</v>
      </c>
      <c r="W216" s="199" t="e">
        <f t="shared" ca="1" si="76"/>
        <v>#VALUE!</v>
      </c>
      <c r="X216" s="199" t="e">
        <f t="shared" ca="1" si="76"/>
        <v>#VALUE!</v>
      </c>
      <c r="Y216" s="199" t="e">
        <f t="shared" ca="1" si="76"/>
        <v>#VALUE!</v>
      </c>
      <c r="Z216" s="199" t="e">
        <f t="shared" ca="1" si="76"/>
        <v>#VALUE!</v>
      </c>
      <c r="AA216" s="199" t="e">
        <f t="shared" ca="1" si="77"/>
        <v>#VALUE!</v>
      </c>
      <c r="AB216" s="199" t="e">
        <f t="shared" ca="1" si="77"/>
        <v>#VALUE!</v>
      </c>
      <c r="AC216" s="199" t="e">
        <f t="shared" ca="1" si="77"/>
        <v>#VALUE!</v>
      </c>
      <c r="AD216" s="199" t="e">
        <f t="shared" ca="1" si="77"/>
        <v>#VALUE!</v>
      </c>
      <c r="AE216" s="199" t="e">
        <f t="shared" ca="1" si="77"/>
        <v>#VALUE!</v>
      </c>
      <c r="AF216" s="199" t="e">
        <f t="shared" ca="1" si="77"/>
        <v>#VALUE!</v>
      </c>
      <c r="AG216" s="199" t="e">
        <f t="shared" ca="1" si="77"/>
        <v>#VALUE!</v>
      </c>
      <c r="AH216" s="199" t="e">
        <f t="shared" ca="1" si="77"/>
        <v>#VALUE!</v>
      </c>
      <c r="AI216" s="199" t="e">
        <f t="shared" ca="1" si="77"/>
        <v>#VALUE!</v>
      </c>
      <c r="AJ216" s="199" t="e">
        <f t="shared" ca="1" si="77"/>
        <v>#VALUE!</v>
      </c>
      <c r="AK216" s="199" t="e">
        <f t="shared" ca="1" si="77"/>
        <v>#VALUE!</v>
      </c>
      <c r="AL216" s="199" t="e">
        <f t="shared" ca="1" si="77"/>
        <v>#VALUE!</v>
      </c>
      <c r="AM216" s="199" t="e">
        <f t="shared" ca="1" si="77"/>
        <v>#VALUE!</v>
      </c>
      <c r="AN216" s="199" t="e">
        <f t="shared" ca="1" si="77"/>
        <v>#VALUE!</v>
      </c>
      <c r="AO216" s="199" t="e">
        <f t="shared" ca="1" si="77"/>
        <v>#VALUE!</v>
      </c>
      <c r="AP216" s="199" t="e">
        <f t="shared" ca="1" si="77"/>
        <v>#VALUE!</v>
      </c>
    </row>
    <row r="217" spans="1:42">
      <c r="A217" s="61" t="str">
        <f>'[4]TS BYDem'!A156</f>
        <v>*</v>
      </c>
      <c r="B217" s="199" t="s">
        <v>288</v>
      </c>
      <c r="C217" s="199" t="s">
        <v>137</v>
      </c>
      <c r="D217" s="199" t="str">
        <f>'[4]TS BYDem'!D156</f>
        <v>IPPH</v>
      </c>
      <c r="E217" s="199" t="s">
        <v>137</v>
      </c>
      <c r="F217" s="199" t="s">
        <v>137</v>
      </c>
      <c r="G217" s="199" t="s">
        <v>137</v>
      </c>
      <c r="H217" s="199" t="s">
        <v>137</v>
      </c>
      <c r="I217" s="199">
        <v>0</v>
      </c>
      <c r="J217" s="199" t="str">
        <f>INDEX('[4]TS BYDem'!$J$10:$J$203,MATCH(D217,'[4]TS BYDem'!$D$10:$D$203,0))</f>
        <v/>
      </c>
      <c r="K217" s="199" t="e">
        <f t="shared" ca="1" si="76"/>
        <v>#VALUE!</v>
      </c>
      <c r="L217" s="199" t="e">
        <f t="shared" ca="1" si="76"/>
        <v>#VALUE!</v>
      </c>
      <c r="M217" s="199" t="e">
        <f t="shared" ca="1" si="76"/>
        <v>#VALUE!</v>
      </c>
      <c r="N217" s="199" t="e">
        <f t="shared" ca="1" si="76"/>
        <v>#VALUE!</v>
      </c>
      <c r="O217" s="199" t="e">
        <f t="shared" ca="1" si="76"/>
        <v>#VALUE!</v>
      </c>
      <c r="P217" s="199" t="e">
        <f t="shared" ca="1" si="76"/>
        <v>#VALUE!</v>
      </c>
      <c r="Q217" s="199" t="e">
        <f t="shared" ca="1" si="76"/>
        <v>#VALUE!</v>
      </c>
      <c r="R217" s="199" t="e">
        <f t="shared" ca="1" si="76"/>
        <v>#VALUE!</v>
      </c>
      <c r="S217" s="199" t="e">
        <f t="shared" ca="1" si="76"/>
        <v>#VALUE!</v>
      </c>
      <c r="T217" s="199" t="e">
        <f t="shared" ca="1" si="76"/>
        <v>#VALUE!</v>
      </c>
      <c r="U217" s="199" t="e">
        <f t="shared" ca="1" si="76"/>
        <v>#VALUE!</v>
      </c>
      <c r="V217" s="199" t="e">
        <f t="shared" ca="1" si="76"/>
        <v>#VALUE!</v>
      </c>
      <c r="W217" s="199" t="e">
        <f t="shared" ca="1" si="76"/>
        <v>#VALUE!</v>
      </c>
      <c r="X217" s="199" t="e">
        <f t="shared" ca="1" si="76"/>
        <v>#VALUE!</v>
      </c>
      <c r="Y217" s="199" t="e">
        <f t="shared" ca="1" si="76"/>
        <v>#VALUE!</v>
      </c>
      <c r="Z217" s="199" t="e">
        <f t="shared" ca="1" si="76"/>
        <v>#VALUE!</v>
      </c>
      <c r="AA217" s="199" t="e">
        <f t="shared" ca="1" si="77"/>
        <v>#VALUE!</v>
      </c>
      <c r="AB217" s="199" t="e">
        <f t="shared" ca="1" si="77"/>
        <v>#VALUE!</v>
      </c>
      <c r="AC217" s="199" t="e">
        <f t="shared" ca="1" si="77"/>
        <v>#VALUE!</v>
      </c>
      <c r="AD217" s="199" t="e">
        <f t="shared" ca="1" si="77"/>
        <v>#VALUE!</v>
      </c>
      <c r="AE217" s="199" t="e">
        <f t="shared" ca="1" si="77"/>
        <v>#VALUE!</v>
      </c>
      <c r="AF217" s="199" t="e">
        <f t="shared" ca="1" si="77"/>
        <v>#VALUE!</v>
      </c>
      <c r="AG217" s="199" t="e">
        <f t="shared" ca="1" si="77"/>
        <v>#VALUE!</v>
      </c>
      <c r="AH217" s="199" t="e">
        <f t="shared" ca="1" si="77"/>
        <v>#VALUE!</v>
      </c>
      <c r="AI217" s="199" t="e">
        <f t="shared" ca="1" si="77"/>
        <v>#VALUE!</v>
      </c>
      <c r="AJ217" s="199" t="e">
        <f t="shared" ca="1" si="77"/>
        <v>#VALUE!</v>
      </c>
      <c r="AK217" s="199" t="e">
        <f t="shared" ca="1" si="77"/>
        <v>#VALUE!</v>
      </c>
      <c r="AL217" s="199" t="e">
        <f t="shared" ca="1" si="77"/>
        <v>#VALUE!</v>
      </c>
      <c r="AM217" s="199" t="e">
        <f t="shared" ca="1" si="77"/>
        <v>#VALUE!</v>
      </c>
      <c r="AN217" s="199" t="e">
        <f t="shared" ca="1" si="77"/>
        <v>#VALUE!</v>
      </c>
      <c r="AO217" s="199" t="e">
        <f t="shared" ca="1" si="77"/>
        <v>#VALUE!</v>
      </c>
      <c r="AP217" s="199" t="e">
        <f t="shared" ca="1" si="77"/>
        <v>#VALUE!</v>
      </c>
    </row>
    <row r="218" spans="1:42">
      <c r="A218" s="61" t="str">
        <f>'[4]TS BYDem'!A157</f>
        <v>*</v>
      </c>
      <c r="B218" s="199" t="s">
        <v>288</v>
      </c>
      <c r="C218" s="199" t="s">
        <v>137</v>
      </c>
      <c r="D218" s="199" t="str">
        <f>'[4]TS BYDem'!D157</f>
        <v>IPPP</v>
      </c>
      <c r="E218" s="199" t="s">
        <v>137</v>
      </c>
      <c r="F218" s="199" t="s">
        <v>137</v>
      </c>
      <c r="G218" s="199" t="s">
        <v>137</v>
      </c>
      <c r="H218" s="199" t="s">
        <v>137</v>
      </c>
      <c r="I218" s="199">
        <v>0</v>
      </c>
      <c r="J218" s="199" t="str">
        <f>INDEX('[4]TS BYDem'!$J$10:$J$203,MATCH(D218,'[4]TS BYDem'!$D$10:$D$203,0))</f>
        <v/>
      </c>
      <c r="K218" s="199" t="e">
        <f t="shared" ca="1" si="76"/>
        <v>#VALUE!</v>
      </c>
      <c r="L218" s="199" t="e">
        <f t="shared" ca="1" si="76"/>
        <v>#VALUE!</v>
      </c>
      <c r="M218" s="199" t="e">
        <f t="shared" ca="1" si="76"/>
        <v>#VALUE!</v>
      </c>
      <c r="N218" s="199" t="e">
        <f t="shared" ca="1" si="76"/>
        <v>#VALUE!</v>
      </c>
      <c r="O218" s="199" t="e">
        <f t="shared" ca="1" si="76"/>
        <v>#VALUE!</v>
      </c>
      <c r="P218" s="199" t="e">
        <f t="shared" ca="1" si="76"/>
        <v>#VALUE!</v>
      </c>
      <c r="Q218" s="199" t="e">
        <f t="shared" ca="1" si="76"/>
        <v>#VALUE!</v>
      </c>
      <c r="R218" s="199" t="e">
        <f t="shared" ca="1" si="76"/>
        <v>#VALUE!</v>
      </c>
      <c r="S218" s="199" t="e">
        <f t="shared" ca="1" si="76"/>
        <v>#VALUE!</v>
      </c>
      <c r="T218" s="199" t="e">
        <f t="shared" ca="1" si="76"/>
        <v>#VALUE!</v>
      </c>
      <c r="U218" s="199" t="e">
        <f t="shared" ca="1" si="76"/>
        <v>#VALUE!</v>
      </c>
      <c r="V218" s="199" t="e">
        <f t="shared" ca="1" si="76"/>
        <v>#VALUE!</v>
      </c>
      <c r="W218" s="199" t="e">
        <f t="shared" ca="1" si="76"/>
        <v>#VALUE!</v>
      </c>
      <c r="X218" s="199" t="e">
        <f t="shared" ca="1" si="76"/>
        <v>#VALUE!</v>
      </c>
      <c r="Y218" s="199" t="e">
        <f t="shared" ca="1" si="76"/>
        <v>#VALUE!</v>
      </c>
      <c r="Z218" s="199" t="e">
        <f t="shared" ca="1" si="76"/>
        <v>#VALUE!</v>
      </c>
      <c r="AA218" s="199" t="e">
        <f t="shared" ca="1" si="77"/>
        <v>#VALUE!</v>
      </c>
      <c r="AB218" s="199" t="e">
        <f t="shared" ca="1" si="77"/>
        <v>#VALUE!</v>
      </c>
      <c r="AC218" s="199" t="e">
        <f t="shared" ca="1" si="77"/>
        <v>#VALUE!</v>
      </c>
      <c r="AD218" s="199" t="e">
        <f t="shared" ca="1" si="77"/>
        <v>#VALUE!</v>
      </c>
      <c r="AE218" s="199" t="e">
        <f t="shared" ca="1" si="77"/>
        <v>#VALUE!</v>
      </c>
      <c r="AF218" s="199" t="e">
        <f t="shared" ca="1" si="77"/>
        <v>#VALUE!</v>
      </c>
      <c r="AG218" s="199" t="e">
        <f t="shared" ca="1" si="77"/>
        <v>#VALUE!</v>
      </c>
      <c r="AH218" s="199" t="e">
        <f t="shared" ca="1" si="77"/>
        <v>#VALUE!</v>
      </c>
      <c r="AI218" s="199" t="e">
        <f t="shared" ca="1" si="77"/>
        <v>#VALUE!</v>
      </c>
      <c r="AJ218" s="199" t="e">
        <f t="shared" ca="1" si="77"/>
        <v>#VALUE!</v>
      </c>
      <c r="AK218" s="199" t="e">
        <f t="shared" ca="1" si="77"/>
        <v>#VALUE!</v>
      </c>
      <c r="AL218" s="199" t="e">
        <f t="shared" ca="1" si="77"/>
        <v>#VALUE!</v>
      </c>
      <c r="AM218" s="199" t="e">
        <f t="shared" ca="1" si="77"/>
        <v>#VALUE!</v>
      </c>
      <c r="AN218" s="199" t="e">
        <f t="shared" ca="1" si="77"/>
        <v>#VALUE!</v>
      </c>
      <c r="AO218" s="199" t="e">
        <f t="shared" ca="1" si="77"/>
        <v>#VALUE!</v>
      </c>
      <c r="AP218" s="199" t="e">
        <f t="shared" ca="1" si="77"/>
        <v>#VALUE!</v>
      </c>
    </row>
    <row r="219" spans="1:42">
      <c r="A219" s="61" t="str">
        <f>'[4]TS BYDem'!A158</f>
        <v>*</v>
      </c>
      <c r="B219" s="199" t="s">
        <v>288</v>
      </c>
      <c r="C219" s="199" t="s">
        <v>137</v>
      </c>
      <c r="D219" s="199" t="str">
        <f>'[4]TS BYDem'!D158</f>
        <v>IPPF</v>
      </c>
      <c r="E219" s="199" t="s">
        <v>137</v>
      </c>
      <c r="F219" s="199" t="s">
        <v>137</v>
      </c>
      <c r="G219" s="199" t="s">
        <v>137</v>
      </c>
      <c r="H219" s="199" t="s">
        <v>137</v>
      </c>
      <c r="I219" s="199">
        <v>0</v>
      </c>
      <c r="J219" s="199" t="str">
        <f>INDEX('[4]TS BYDem'!$J$10:$J$203,MATCH(D219,'[4]TS BYDem'!$D$10:$D$203,0))</f>
        <v/>
      </c>
      <c r="K219" s="199" t="e">
        <f t="shared" ca="1" si="76"/>
        <v>#VALUE!</v>
      </c>
      <c r="L219" s="199" t="e">
        <f t="shared" ca="1" si="76"/>
        <v>#VALUE!</v>
      </c>
      <c r="M219" s="199" t="e">
        <f t="shared" ca="1" si="76"/>
        <v>#VALUE!</v>
      </c>
      <c r="N219" s="199" t="e">
        <f t="shared" ca="1" si="76"/>
        <v>#VALUE!</v>
      </c>
      <c r="O219" s="199" t="e">
        <f t="shared" ca="1" si="76"/>
        <v>#VALUE!</v>
      </c>
      <c r="P219" s="199" t="e">
        <f t="shared" ca="1" si="76"/>
        <v>#VALUE!</v>
      </c>
      <c r="Q219" s="199" t="e">
        <f t="shared" ca="1" si="76"/>
        <v>#VALUE!</v>
      </c>
      <c r="R219" s="199" t="e">
        <f t="shared" ca="1" si="76"/>
        <v>#VALUE!</v>
      </c>
      <c r="S219" s="199" t="e">
        <f t="shared" ca="1" si="76"/>
        <v>#VALUE!</v>
      </c>
      <c r="T219" s="199" t="e">
        <f t="shared" ca="1" si="76"/>
        <v>#VALUE!</v>
      </c>
      <c r="U219" s="199" t="e">
        <f t="shared" ca="1" si="76"/>
        <v>#VALUE!</v>
      </c>
      <c r="V219" s="199" t="e">
        <f t="shared" ca="1" si="76"/>
        <v>#VALUE!</v>
      </c>
      <c r="W219" s="199" t="e">
        <f t="shared" ca="1" si="76"/>
        <v>#VALUE!</v>
      </c>
      <c r="X219" s="199" t="e">
        <f t="shared" ca="1" si="76"/>
        <v>#VALUE!</v>
      </c>
      <c r="Y219" s="199" t="e">
        <f t="shared" ca="1" si="76"/>
        <v>#VALUE!</v>
      </c>
      <c r="Z219" s="199" t="e">
        <f t="shared" ca="1" si="76"/>
        <v>#VALUE!</v>
      </c>
      <c r="AA219" s="199" t="e">
        <f t="shared" ca="1" si="77"/>
        <v>#VALUE!</v>
      </c>
      <c r="AB219" s="199" t="e">
        <f t="shared" ca="1" si="77"/>
        <v>#VALUE!</v>
      </c>
      <c r="AC219" s="199" t="e">
        <f t="shared" ca="1" si="77"/>
        <v>#VALUE!</v>
      </c>
      <c r="AD219" s="199" t="e">
        <f t="shared" ca="1" si="77"/>
        <v>#VALUE!</v>
      </c>
      <c r="AE219" s="199" t="e">
        <f t="shared" ca="1" si="77"/>
        <v>#VALUE!</v>
      </c>
      <c r="AF219" s="199" t="e">
        <f t="shared" ca="1" si="77"/>
        <v>#VALUE!</v>
      </c>
      <c r="AG219" s="199" t="e">
        <f t="shared" ca="1" si="77"/>
        <v>#VALUE!</v>
      </c>
      <c r="AH219" s="199" t="e">
        <f t="shared" ca="1" si="77"/>
        <v>#VALUE!</v>
      </c>
      <c r="AI219" s="199" t="e">
        <f t="shared" ca="1" si="77"/>
        <v>#VALUE!</v>
      </c>
      <c r="AJ219" s="199" t="e">
        <f t="shared" ca="1" si="77"/>
        <v>#VALUE!</v>
      </c>
      <c r="AK219" s="199" t="e">
        <f t="shared" ca="1" si="77"/>
        <v>#VALUE!</v>
      </c>
      <c r="AL219" s="199" t="e">
        <f t="shared" ca="1" si="77"/>
        <v>#VALUE!</v>
      </c>
      <c r="AM219" s="199" t="e">
        <f t="shared" ca="1" si="77"/>
        <v>#VALUE!</v>
      </c>
      <c r="AN219" s="199" t="e">
        <f t="shared" ca="1" si="77"/>
        <v>#VALUE!</v>
      </c>
      <c r="AO219" s="199" t="e">
        <f t="shared" ca="1" si="77"/>
        <v>#VALUE!</v>
      </c>
      <c r="AP219" s="199" t="e">
        <f t="shared" ca="1" si="77"/>
        <v>#VALUE!</v>
      </c>
    </row>
    <row r="220" spans="1:42">
      <c r="A220" s="61" t="str">
        <f>'[4]TS BYDem'!A159</f>
        <v>*</v>
      </c>
      <c r="B220" s="199" t="s">
        <v>288</v>
      </c>
      <c r="C220" s="199" t="s">
        <v>137</v>
      </c>
      <c r="D220" s="199" t="str">
        <f>'[4]TS BYDem'!D159</f>
        <v>IPPO</v>
      </c>
      <c r="E220" s="199" t="s">
        <v>137</v>
      </c>
      <c r="F220" s="199" t="s">
        <v>137</v>
      </c>
      <c r="G220" s="199" t="s">
        <v>137</v>
      </c>
      <c r="H220" s="199" t="s">
        <v>137</v>
      </c>
      <c r="I220" s="199">
        <v>0</v>
      </c>
      <c r="J220" s="199" t="str">
        <f>INDEX('[4]TS BYDem'!$J$10:$J$203,MATCH(D220,'[4]TS BYDem'!$D$10:$D$203,0))</f>
        <v/>
      </c>
      <c r="K220" s="199" t="e">
        <f t="shared" ca="1" si="76"/>
        <v>#VALUE!</v>
      </c>
      <c r="L220" s="199" t="e">
        <f t="shared" ca="1" si="76"/>
        <v>#VALUE!</v>
      </c>
      <c r="M220" s="199" t="e">
        <f t="shared" ca="1" si="76"/>
        <v>#VALUE!</v>
      </c>
      <c r="N220" s="199" t="e">
        <f t="shared" ca="1" si="76"/>
        <v>#VALUE!</v>
      </c>
      <c r="O220" s="199" t="e">
        <f t="shared" ca="1" si="76"/>
        <v>#VALUE!</v>
      </c>
      <c r="P220" s="199" t="e">
        <f t="shared" ca="1" si="76"/>
        <v>#VALUE!</v>
      </c>
      <c r="Q220" s="199" t="e">
        <f t="shared" ca="1" si="76"/>
        <v>#VALUE!</v>
      </c>
      <c r="R220" s="199" t="e">
        <f t="shared" ca="1" si="76"/>
        <v>#VALUE!</v>
      </c>
      <c r="S220" s="199" t="e">
        <f t="shared" ca="1" si="76"/>
        <v>#VALUE!</v>
      </c>
      <c r="T220" s="199" t="e">
        <f t="shared" ca="1" si="76"/>
        <v>#VALUE!</v>
      </c>
      <c r="U220" s="199" t="e">
        <f t="shared" ca="1" si="76"/>
        <v>#VALUE!</v>
      </c>
      <c r="V220" s="199" t="e">
        <f t="shared" ca="1" si="76"/>
        <v>#VALUE!</v>
      </c>
      <c r="W220" s="199" t="e">
        <f t="shared" ca="1" si="76"/>
        <v>#VALUE!</v>
      </c>
      <c r="X220" s="199" t="e">
        <f t="shared" ca="1" si="76"/>
        <v>#VALUE!</v>
      </c>
      <c r="Y220" s="199" t="e">
        <f t="shared" ca="1" si="76"/>
        <v>#VALUE!</v>
      </c>
      <c r="Z220" s="199" t="e">
        <f t="shared" ca="1" si="76"/>
        <v>#VALUE!</v>
      </c>
      <c r="AA220" s="199" t="e">
        <f t="shared" ca="1" si="77"/>
        <v>#VALUE!</v>
      </c>
      <c r="AB220" s="199" t="e">
        <f t="shared" ca="1" si="77"/>
        <v>#VALUE!</v>
      </c>
      <c r="AC220" s="199" t="e">
        <f t="shared" ca="1" si="77"/>
        <v>#VALUE!</v>
      </c>
      <c r="AD220" s="199" t="e">
        <f t="shared" ca="1" si="77"/>
        <v>#VALUE!</v>
      </c>
      <c r="AE220" s="199" t="e">
        <f t="shared" ca="1" si="77"/>
        <v>#VALUE!</v>
      </c>
      <c r="AF220" s="199" t="e">
        <f t="shared" ca="1" si="77"/>
        <v>#VALUE!</v>
      </c>
      <c r="AG220" s="199" t="e">
        <f t="shared" ca="1" si="77"/>
        <v>#VALUE!</v>
      </c>
      <c r="AH220" s="199" t="e">
        <f t="shared" ca="1" si="77"/>
        <v>#VALUE!</v>
      </c>
      <c r="AI220" s="199" t="e">
        <f t="shared" ca="1" si="77"/>
        <v>#VALUE!</v>
      </c>
      <c r="AJ220" s="199" t="e">
        <f t="shared" ca="1" si="77"/>
        <v>#VALUE!</v>
      </c>
      <c r="AK220" s="199" t="e">
        <f t="shared" ca="1" si="77"/>
        <v>#VALUE!</v>
      </c>
      <c r="AL220" s="199" t="e">
        <f t="shared" ca="1" si="77"/>
        <v>#VALUE!</v>
      </c>
      <c r="AM220" s="199" t="e">
        <f t="shared" ca="1" si="77"/>
        <v>#VALUE!</v>
      </c>
      <c r="AN220" s="199" t="e">
        <f t="shared" ca="1" si="77"/>
        <v>#VALUE!</v>
      </c>
      <c r="AO220" s="199" t="e">
        <f t="shared" ca="1" si="77"/>
        <v>#VALUE!</v>
      </c>
      <c r="AP220" s="199" t="e">
        <f t="shared" ca="1" si="77"/>
        <v>#VALUE!</v>
      </c>
    </row>
    <row r="221" spans="1:42">
      <c r="A221" s="61" t="str">
        <f>'[4]TS BYDem'!A160</f>
        <v>*</v>
      </c>
      <c r="B221" s="199" t="s">
        <v>288</v>
      </c>
      <c r="C221" s="199" t="s">
        <v>137</v>
      </c>
      <c r="D221" s="199" t="str">
        <f>'[4]TS BYDem'!D160</f>
        <v>IPPE</v>
      </c>
      <c r="E221" s="199" t="s">
        <v>137</v>
      </c>
      <c r="F221" s="199" t="s">
        <v>137</v>
      </c>
      <c r="G221" s="199" t="s">
        <v>137</v>
      </c>
      <c r="H221" s="199" t="s">
        <v>137</v>
      </c>
      <c r="I221" s="199">
        <v>0</v>
      </c>
      <c r="J221" s="199" t="str">
        <f>INDEX('[4]TS BYDem'!$J$10:$J$203,MATCH(D221,'[4]TS BYDem'!$D$10:$D$203,0))</f>
        <v/>
      </c>
      <c r="K221" s="199" t="e">
        <f t="shared" ca="1" si="76"/>
        <v>#VALUE!</v>
      </c>
      <c r="L221" s="199" t="e">
        <f t="shared" ca="1" si="76"/>
        <v>#VALUE!</v>
      </c>
      <c r="M221" s="199" t="e">
        <f t="shared" ca="1" si="76"/>
        <v>#VALUE!</v>
      </c>
      <c r="N221" s="199" t="e">
        <f t="shared" ca="1" si="76"/>
        <v>#VALUE!</v>
      </c>
      <c r="O221" s="199" t="e">
        <f t="shared" ca="1" si="76"/>
        <v>#VALUE!</v>
      </c>
      <c r="P221" s="199" t="e">
        <f t="shared" ca="1" si="76"/>
        <v>#VALUE!</v>
      </c>
      <c r="Q221" s="199" t="e">
        <f t="shared" ca="1" si="76"/>
        <v>#VALUE!</v>
      </c>
      <c r="R221" s="199" t="e">
        <f t="shared" ca="1" si="76"/>
        <v>#VALUE!</v>
      </c>
      <c r="S221" s="199" t="e">
        <f t="shared" ca="1" si="76"/>
        <v>#VALUE!</v>
      </c>
      <c r="T221" s="199" t="e">
        <f t="shared" ca="1" si="76"/>
        <v>#VALUE!</v>
      </c>
      <c r="U221" s="199" t="e">
        <f t="shared" ca="1" si="76"/>
        <v>#VALUE!</v>
      </c>
      <c r="V221" s="199" t="e">
        <f t="shared" ca="1" si="76"/>
        <v>#VALUE!</v>
      </c>
      <c r="W221" s="199" t="e">
        <f t="shared" ca="1" si="76"/>
        <v>#VALUE!</v>
      </c>
      <c r="X221" s="199" t="e">
        <f t="shared" ca="1" si="76"/>
        <v>#VALUE!</v>
      </c>
      <c r="Y221" s="199" t="e">
        <f t="shared" ca="1" si="76"/>
        <v>#VALUE!</v>
      </c>
      <c r="Z221" s="199" t="e">
        <f t="shared" ca="1" si="76"/>
        <v>#VALUE!</v>
      </c>
      <c r="AA221" s="199" t="e">
        <f t="shared" ca="1" si="77"/>
        <v>#VALUE!</v>
      </c>
      <c r="AB221" s="199" t="e">
        <f t="shared" ca="1" si="77"/>
        <v>#VALUE!</v>
      </c>
      <c r="AC221" s="199" t="e">
        <f t="shared" ca="1" si="77"/>
        <v>#VALUE!</v>
      </c>
      <c r="AD221" s="199" t="e">
        <f t="shared" ca="1" si="77"/>
        <v>#VALUE!</v>
      </c>
      <c r="AE221" s="199" t="e">
        <f t="shared" ca="1" si="77"/>
        <v>#VALUE!</v>
      </c>
      <c r="AF221" s="199" t="e">
        <f t="shared" ca="1" si="77"/>
        <v>#VALUE!</v>
      </c>
      <c r="AG221" s="199" t="e">
        <f t="shared" ca="1" si="77"/>
        <v>#VALUE!</v>
      </c>
      <c r="AH221" s="199" t="e">
        <f t="shared" ca="1" si="77"/>
        <v>#VALUE!</v>
      </c>
      <c r="AI221" s="199" t="e">
        <f t="shared" ca="1" si="77"/>
        <v>#VALUE!</v>
      </c>
      <c r="AJ221" s="199" t="e">
        <f t="shared" ca="1" si="77"/>
        <v>#VALUE!</v>
      </c>
      <c r="AK221" s="199" t="e">
        <f t="shared" ca="1" si="77"/>
        <v>#VALUE!</v>
      </c>
      <c r="AL221" s="199" t="e">
        <f t="shared" ca="1" si="77"/>
        <v>#VALUE!</v>
      </c>
      <c r="AM221" s="199" t="e">
        <f t="shared" ca="1" si="77"/>
        <v>#VALUE!</v>
      </c>
      <c r="AN221" s="199" t="e">
        <f t="shared" ca="1" si="77"/>
        <v>#VALUE!</v>
      </c>
      <c r="AO221" s="199" t="e">
        <f t="shared" ca="1" si="77"/>
        <v>#VALUE!</v>
      </c>
      <c r="AP221" s="199" t="e">
        <f t="shared" ca="1" si="77"/>
        <v>#VALUE!</v>
      </c>
    </row>
    <row r="222" spans="1:42">
      <c r="A222" s="61" t="str">
        <f>'[4]TS BYDem'!A161</f>
        <v>*</v>
      </c>
      <c r="B222" s="199" t="s">
        <v>288</v>
      </c>
      <c r="C222" s="199" t="s">
        <v>137</v>
      </c>
      <c r="D222" s="199" t="str">
        <f>'[4]TS BYDem'!D161</f>
        <v xml:space="preserve"> </v>
      </c>
      <c r="E222" s="199" t="s">
        <v>137</v>
      </c>
      <c r="F222" s="199" t="s">
        <v>137</v>
      </c>
      <c r="G222" s="199" t="s">
        <v>137</v>
      </c>
      <c r="H222" s="199" t="s">
        <v>137</v>
      </c>
      <c r="I222" s="199">
        <v>0</v>
      </c>
      <c r="J222" s="199" t="str">
        <f>INDEX('[4]TS BYDem'!$J$10:$J$203,MATCH(D222,'[4]TS BYDem'!$D$10:$D$203,0))</f>
        <v/>
      </c>
      <c r="K222" s="199" t="e">
        <f t="shared" ca="1" si="76"/>
        <v>#VALUE!</v>
      </c>
      <c r="L222" s="199" t="e">
        <f t="shared" ca="1" si="76"/>
        <v>#VALUE!</v>
      </c>
      <c r="M222" s="199" t="e">
        <f t="shared" ca="1" si="76"/>
        <v>#VALUE!</v>
      </c>
      <c r="N222" s="199" t="e">
        <f t="shared" ca="1" si="76"/>
        <v>#VALUE!</v>
      </c>
      <c r="O222" s="199" t="e">
        <f t="shared" ca="1" si="76"/>
        <v>#VALUE!</v>
      </c>
      <c r="P222" s="199" t="e">
        <f t="shared" ca="1" si="76"/>
        <v>#VALUE!</v>
      </c>
      <c r="Q222" s="199" t="e">
        <f t="shared" ca="1" si="76"/>
        <v>#VALUE!</v>
      </c>
      <c r="R222" s="199" t="e">
        <f t="shared" ca="1" si="76"/>
        <v>#VALUE!</v>
      </c>
      <c r="S222" s="199" t="e">
        <f t="shared" ca="1" si="76"/>
        <v>#VALUE!</v>
      </c>
      <c r="T222" s="199" t="e">
        <f t="shared" ca="1" si="76"/>
        <v>#VALUE!</v>
      </c>
      <c r="U222" s="199" t="e">
        <f t="shared" ca="1" si="76"/>
        <v>#VALUE!</v>
      </c>
      <c r="V222" s="199" t="e">
        <f t="shared" ca="1" si="76"/>
        <v>#VALUE!</v>
      </c>
      <c r="W222" s="199" t="e">
        <f t="shared" ca="1" si="76"/>
        <v>#VALUE!</v>
      </c>
      <c r="X222" s="199" t="e">
        <f t="shared" ca="1" si="76"/>
        <v>#VALUE!</v>
      </c>
      <c r="Y222" s="199" t="e">
        <f t="shared" ca="1" si="76"/>
        <v>#VALUE!</v>
      </c>
      <c r="Z222" s="199" t="e">
        <f t="shared" ca="1" si="76"/>
        <v>#VALUE!</v>
      </c>
      <c r="AA222" s="199" t="e">
        <f t="shared" ca="1" si="77"/>
        <v>#VALUE!</v>
      </c>
      <c r="AB222" s="199" t="e">
        <f t="shared" ca="1" si="77"/>
        <v>#VALUE!</v>
      </c>
      <c r="AC222" s="199" t="e">
        <f t="shared" ca="1" si="77"/>
        <v>#VALUE!</v>
      </c>
      <c r="AD222" s="199" t="e">
        <f t="shared" ca="1" si="77"/>
        <v>#VALUE!</v>
      </c>
      <c r="AE222" s="199" t="e">
        <f t="shared" ca="1" si="77"/>
        <v>#VALUE!</v>
      </c>
      <c r="AF222" s="199" t="e">
        <f t="shared" ca="1" si="77"/>
        <v>#VALUE!</v>
      </c>
      <c r="AG222" s="199" t="e">
        <f t="shared" ca="1" si="77"/>
        <v>#VALUE!</v>
      </c>
      <c r="AH222" s="199" t="e">
        <f t="shared" ca="1" si="77"/>
        <v>#VALUE!</v>
      </c>
      <c r="AI222" s="199" t="e">
        <f t="shared" ca="1" si="77"/>
        <v>#VALUE!</v>
      </c>
      <c r="AJ222" s="199" t="e">
        <f t="shared" ca="1" si="77"/>
        <v>#VALUE!</v>
      </c>
      <c r="AK222" s="199" t="e">
        <f t="shared" ca="1" si="77"/>
        <v>#VALUE!</v>
      </c>
      <c r="AL222" s="199" t="e">
        <f t="shared" ca="1" si="77"/>
        <v>#VALUE!</v>
      </c>
      <c r="AM222" s="199" t="e">
        <f t="shared" ca="1" si="77"/>
        <v>#VALUE!</v>
      </c>
      <c r="AN222" s="199" t="e">
        <f t="shared" ca="1" si="77"/>
        <v>#VALUE!</v>
      </c>
      <c r="AO222" s="199" t="e">
        <f t="shared" ca="1" si="77"/>
        <v>#VALUE!</v>
      </c>
      <c r="AP222" s="199" t="e">
        <f t="shared" ca="1" si="77"/>
        <v>#VALUE!</v>
      </c>
    </row>
    <row r="223" spans="1:42">
      <c r="A223" s="61" t="str">
        <f>'[4]TS BYDem'!A162</f>
        <v>*</v>
      </c>
      <c r="B223" s="199" t="s">
        <v>288</v>
      </c>
      <c r="C223" s="199" t="s">
        <v>137</v>
      </c>
      <c r="D223" s="199" t="str">
        <f>'[4]TS BYDem'!D162</f>
        <v>IPPS</v>
      </c>
      <c r="E223" s="199" t="s">
        <v>137</v>
      </c>
      <c r="F223" s="199" t="s">
        <v>137</v>
      </c>
      <c r="G223" s="199" t="s">
        <v>137</v>
      </c>
      <c r="H223" s="199" t="s">
        <v>137</v>
      </c>
      <c r="I223" s="199">
        <v>0</v>
      </c>
      <c r="J223" s="199" t="str">
        <f>INDEX('[4]TS BYDem'!$J$10:$J$203,MATCH(D223,'[4]TS BYDem'!$D$10:$D$203,0))</f>
        <v/>
      </c>
      <c r="K223" s="199" t="e">
        <f t="shared" ca="1" si="76"/>
        <v>#VALUE!</v>
      </c>
      <c r="L223" s="199" t="e">
        <f t="shared" ca="1" si="76"/>
        <v>#VALUE!</v>
      </c>
      <c r="M223" s="199" t="e">
        <f t="shared" ca="1" si="76"/>
        <v>#VALUE!</v>
      </c>
      <c r="N223" s="199" t="e">
        <f t="shared" ca="1" si="76"/>
        <v>#VALUE!</v>
      </c>
      <c r="O223" s="199" t="e">
        <f t="shared" ca="1" si="76"/>
        <v>#VALUE!</v>
      </c>
      <c r="P223" s="199" t="e">
        <f t="shared" ca="1" si="76"/>
        <v>#VALUE!</v>
      </c>
      <c r="Q223" s="199" t="e">
        <f t="shared" ca="1" si="76"/>
        <v>#VALUE!</v>
      </c>
      <c r="R223" s="199" t="e">
        <f t="shared" ca="1" si="76"/>
        <v>#VALUE!</v>
      </c>
      <c r="S223" s="199" t="e">
        <f t="shared" ca="1" si="76"/>
        <v>#VALUE!</v>
      </c>
      <c r="T223" s="199" t="e">
        <f t="shared" ca="1" si="76"/>
        <v>#VALUE!</v>
      </c>
      <c r="U223" s="199" t="e">
        <f t="shared" ca="1" si="76"/>
        <v>#VALUE!</v>
      </c>
      <c r="V223" s="199" t="e">
        <f t="shared" ca="1" si="76"/>
        <v>#VALUE!</v>
      </c>
      <c r="W223" s="199" t="e">
        <f t="shared" ca="1" si="76"/>
        <v>#VALUE!</v>
      </c>
      <c r="X223" s="199" t="e">
        <f t="shared" ca="1" si="76"/>
        <v>#VALUE!</v>
      </c>
      <c r="Y223" s="199" t="e">
        <f t="shared" ca="1" si="76"/>
        <v>#VALUE!</v>
      </c>
      <c r="Z223" s="199" t="e">
        <f t="shared" ca="1" si="76"/>
        <v>#VALUE!</v>
      </c>
      <c r="AA223" s="199" t="e">
        <f t="shared" ca="1" si="77"/>
        <v>#VALUE!</v>
      </c>
      <c r="AB223" s="199" t="e">
        <f t="shared" ca="1" si="77"/>
        <v>#VALUE!</v>
      </c>
      <c r="AC223" s="199" t="e">
        <f t="shared" ca="1" si="77"/>
        <v>#VALUE!</v>
      </c>
      <c r="AD223" s="199" t="e">
        <f t="shared" ca="1" si="77"/>
        <v>#VALUE!</v>
      </c>
      <c r="AE223" s="199" t="e">
        <f t="shared" ca="1" si="77"/>
        <v>#VALUE!</v>
      </c>
      <c r="AF223" s="199" t="e">
        <f t="shared" ca="1" si="77"/>
        <v>#VALUE!</v>
      </c>
      <c r="AG223" s="199" t="e">
        <f t="shared" ca="1" si="77"/>
        <v>#VALUE!</v>
      </c>
      <c r="AH223" s="199" t="e">
        <f t="shared" ca="1" si="77"/>
        <v>#VALUE!</v>
      </c>
      <c r="AI223" s="199" t="e">
        <f t="shared" ca="1" si="77"/>
        <v>#VALUE!</v>
      </c>
      <c r="AJ223" s="199" t="e">
        <f t="shared" ca="1" si="77"/>
        <v>#VALUE!</v>
      </c>
      <c r="AK223" s="199" t="e">
        <f t="shared" ca="1" si="77"/>
        <v>#VALUE!</v>
      </c>
      <c r="AL223" s="199" t="e">
        <f t="shared" ca="1" si="77"/>
        <v>#VALUE!</v>
      </c>
      <c r="AM223" s="199" t="e">
        <f t="shared" ca="1" si="77"/>
        <v>#VALUE!</v>
      </c>
      <c r="AN223" s="199" t="e">
        <f t="shared" ca="1" si="77"/>
        <v>#VALUE!</v>
      </c>
      <c r="AO223" s="199" t="e">
        <f t="shared" ca="1" si="77"/>
        <v>#VALUE!</v>
      </c>
      <c r="AP223" s="199" t="e">
        <f t="shared" ca="1" si="77"/>
        <v>#VALUE!</v>
      </c>
    </row>
    <row r="224" spans="1:42">
      <c r="A224" s="61" t="str">
        <f>'[4]TS BYDem'!A163</f>
        <v>*</v>
      </c>
      <c r="B224" s="199" t="s">
        <v>288</v>
      </c>
      <c r="C224" s="199" t="s">
        <v>137</v>
      </c>
      <c r="D224" s="199" t="str">
        <f>'[4]TS BYDem'!D163</f>
        <v>IPPS</v>
      </c>
      <c r="E224" s="199" t="s">
        <v>137</v>
      </c>
      <c r="F224" s="199" t="s">
        <v>137</v>
      </c>
      <c r="G224" s="199" t="s">
        <v>137</v>
      </c>
      <c r="H224" s="199" t="s">
        <v>137</v>
      </c>
      <c r="I224" s="199">
        <v>0</v>
      </c>
      <c r="J224" s="199" t="str">
        <f>INDEX('[4]TS BYDem'!$J$10:$J$203,MATCH(D224,'[4]TS BYDem'!$D$10:$D$203,0))</f>
        <v/>
      </c>
      <c r="K224" s="199" t="e">
        <f t="shared" ca="1" si="76"/>
        <v>#VALUE!</v>
      </c>
      <c r="L224" s="199" t="e">
        <f t="shared" ca="1" si="76"/>
        <v>#VALUE!</v>
      </c>
      <c r="M224" s="199" t="e">
        <f t="shared" ca="1" si="76"/>
        <v>#VALUE!</v>
      </c>
      <c r="N224" s="199" t="e">
        <f t="shared" ca="1" si="76"/>
        <v>#VALUE!</v>
      </c>
      <c r="O224" s="199" t="e">
        <f t="shared" ca="1" si="76"/>
        <v>#VALUE!</v>
      </c>
      <c r="P224" s="199" t="e">
        <f t="shared" ca="1" si="76"/>
        <v>#VALUE!</v>
      </c>
      <c r="Q224" s="199" t="e">
        <f t="shared" ca="1" si="76"/>
        <v>#VALUE!</v>
      </c>
      <c r="R224" s="199" t="e">
        <f t="shared" ca="1" si="76"/>
        <v>#VALUE!</v>
      </c>
      <c r="S224" s="199" t="e">
        <f t="shared" ca="1" si="76"/>
        <v>#VALUE!</v>
      </c>
      <c r="T224" s="199" t="e">
        <f t="shared" ca="1" si="76"/>
        <v>#VALUE!</v>
      </c>
      <c r="U224" s="199" t="e">
        <f t="shared" ca="1" si="76"/>
        <v>#VALUE!</v>
      </c>
      <c r="V224" s="199" t="e">
        <f t="shared" ca="1" si="76"/>
        <v>#VALUE!</v>
      </c>
      <c r="W224" s="199" t="e">
        <f t="shared" ca="1" si="76"/>
        <v>#VALUE!</v>
      </c>
      <c r="X224" s="199" t="e">
        <f t="shared" ca="1" si="76"/>
        <v>#VALUE!</v>
      </c>
      <c r="Y224" s="199" t="e">
        <f t="shared" ca="1" si="76"/>
        <v>#VALUE!</v>
      </c>
      <c r="Z224" s="199" t="e">
        <f t="shared" ca="1" si="76"/>
        <v>#VALUE!</v>
      </c>
      <c r="AA224" s="199" t="e">
        <f t="shared" ca="1" si="77"/>
        <v>#VALUE!</v>
      </c>
      <c r="AB224" s="199" t="e">
        <f t="shared" ca="1" si="77"/>
        <v>#VALUE!</v>
      </c>
      <c r="AC224" s="199" t="e">
        <f t="shared" ca="1" si="77"/>
        <v>#VALUE!</v>
      </c>
      <c r="AD224" s="199" t="e">
        <f t="shared" ca="1" si="77"/>
        <v>#VALUE!</v>
      </c>
      <c r="AE224" s="199" t="e">
        <f t="shared" ca="1" si="77"/>
        <v>#VALUE!</v>
      </c>
      <c r="AF224" s="199" t="e">
        <f t="shared" ca="1" si="77"/>
        <v>#VALUE!</v>
      </c>
      <c r="AG224" s="199" t="e">
        <f t="shared" ca="1" si="77"/>
        <v>#VALUE!</v>
      </c>
      <c r="AH224" s="199" t="e">
        <f t="shared" ca="1" si="77"/>
        <v>#VALUE!</v>
      </c>
      <c r="AI224" s="199" t="e">
        <f t="shared" ca="1" si="77"/>
        <v>#VALUE!</v>
      </c>
      <c r="AJ224" s="199" t="e">
        <f t="shared" ca="1" si="77"/>
        <v>#VALUE!</v>
      </c>
      <c r="AK224" s="199" t="e">
        <f t="shared" ca="1" si="77"/>
        <v>#VALUE!</v>
      </c>
      <c r="AL224" s="199" t="e">
        <f t="shared" ca="1" si="77"/>
        <v>#VALUE!</v>
      </c>
      <c r="AM224" s="199" t="e">
        <f t="shared" ca="1" si="77"/>
        <v>#VALUE!</v>
      </c>
      <c r="AN224" s="199" t="e">
        <f t="shared" ca="1" si="77"/>
        <v>#VALUE!</v>
      </c>
      <c r="AO224" s="199" t="e">
        <f t="shared" ca="1" si="77"/>
        <v>#VALUE!</v>
      </c>
      <c r="AP224" s="199" t="e">
        <f t="shared" ca="1" si="77"/>
        <v>#VALUE!</v>
      </c>
    </row>
    <row r="225" spans="1:42">
      <c r="A225" s="61" t="str">
        <f>'[4]TS BYDem'!A164</f>
        <v>*</v>
      </c>
      <c r="B225" s="199" t="s">
        <v>288</v>
      </c>
      <c r="C225" s="199" t="s">
        <v>137</v>
      </c>
      <c r="D225" s="199" t="str">
        <f>'[4]TS BYDem'!D164</f>
        <v>IPPS</v>
      </c>
      <c r="E225" s="199" t="s">
        <v>137</v>
      </c>
      <c r="F225" s="199" t="s">
        <v>137</v>
      </c>
      <c r="G225" s="199" t="s">
        <v>137</v>
      </c>
      <c r="H225" s="199" t="s">
        <v>137</v>
      </c>
      <c r="I225" s="199">
        <v>0</v>
      </c>
      <c r="J225" s="199" t="str">
        <f>INDEX('[4]TS BYDem'!$J$10:$J$203,MATCH(D225,'[4]TS BYDem'!$D$10:$D$203,0))</f>
        <v/>
      </c>
      <c r="K225" s="199" t="e">
        <f t="shared" ca="1" si="76"/>
        <v>#VALUE!</v>
      </c>
      <c r="L225" s="199" t="e">
        <f t="shared" ca="1" si="76"/>
        <v>#VALUE!</v>
      </c>
      <c r="M225" s="199" t="e">
        <f t="shared" ca="1" si="76"/>
        <v>#VALUE!</v>
      </c>
      <c r="N225" s="199" t="e">
        <f t="shared" ca="1" si="76"/>
        <v>#VALUE!</v>
      </c>
      <c r="O225" s="199" t="e">
        <f t="shared" ca="1" si="76"/>
        <v>#VALUE!</v>
      </c>
      <c r="P225" s="199" t="e">
        <f t="shared" ca="1" si="76"/>
        <v>#VALUE!</v>
      </c>
      <c r="Q225" s="199" t="e">
        <f t="shared" ca="1" si="76"/>
        <v>#VALUE!</v>
      </c>
      <c r="R225" s="199" t="e">
        <f t="shared" ca="1" si="76"/>
        <v>#VALUE!</v>
      </c>
      <c r="S225" s="199" t="e">
        <f t="shared" ca="1" si="76"/>
        <v>#VALUE!</v>
      </c>
      <c r="T225" s="199" t="e">
        <f t="shared" ca="1" si="76"/>
        <v>#VALUE!</v>
      </c>
      <c r="U225" s="199" t="e">
        <f t="shared" ca="1" si="76"/>
        <v>#VALUE!</v>
      </c>
      <c r="V225" s="199" t="e">
        <f t="shared" ca="1" si="76"/>
        <v>#VALUE!</v>
      </c>
      <c r="W225" s="199" t="e">
        <f t="shared" ca="1" si="76"/>
        <v>#VALUE!</v>
      </c>
      <c r="X225" s="199" t="e">
        <f t="shared" ca="1" si="76"/>
        <v>#VALUE!</v>
      </c>
      <c r="Y225" s="199" t="e">
        <f t="shared" ca="1" si="76"/>
        <v>#VALUE!</v>
      </c>
      <c r="Z225" s="199" t="e">
        <f t="shared" ca="1" si="76"/>
        <v>#VALUE!</v>
      </c>
      <c r="AA225" s="199" t="e">
        <f t="shared" ca="1" si="77"/>
        <v>#VALUE!</v>
      </c>
      <c r="AB225" s="199" t="e">
        <f t="shared" ca="1" si="77"/>
        <v>#VALUE!</v>
      </c>
      <c r="AC225" s="199" t="e">
        <f t="shared" ca="1" si="77"/>
        <v>#VALUE!</v>
      </c>
      <c r="AD225" s="199" t="e">
        <f t="shared" ca="1" si="77"/>
        <v>#VALUE!</v>
      </c>
      <c r="AE225" s="199" t="e">
        <f t="shared" ca="1" si="77"/>
        <v>#VALUE!</v>
      </c>
      <c r="AF225" s="199" t="e">
        <f t="shared" ca="1" si="77"/>
        <v>#VALUE!</v>
      </c>
      <c r="AG225" s="199" t="e">
        <f t="shared" ca="1" si="77"/>
        <v>#VALUE!</v>
      </c>
      <c r="AH225" s="199" t="e">
        <f t="shared" ca="1" si="77"/>
        <v>#VALUE!</v>
      </c>
      <c r="AI225" s="199" t="e">
        <f t="shared" ca="1" si="77"/>
        <v>#VALUE!</v>
      </c>
      <c r="AJ225" s="199" t="e">
        <f t="shared" ca="1" si="77"/>
        <v>#VALUE!</v>
      </c>
      <c r="AK225" s="199" t="e">
        <f t="shared" ca="1" si="77"/>
        <v>#VALUE!</v>
      </c>
      <c r="AL225" s="199" t="e">
        <f t="shared" ca="1" si="77"/>
        <v>#VALUE!</v>
      </c>
      <c r="AM225" s="199" t="e">
        <f t="shared" ca="1" si="77"/>
        <v>#VALUE!</v>
      </c>
      <c r="AN225" s="199" t="e">
        <f t="shared" ca="1" si="77"/>
        <v>#VALUE!</v>
      </c>
      <c r="AO225" s="199" t="e">
        <f t="shared" ca="1" si="77"/>
        <v>#VALUE!</v>
      </c>
      <c r="AP225" s="199" t="e">
        <f t="shared" ca="1" si="77"/>
        <v>#VALUE!</v>
      </c>
    </row>
    <row r="226" spans="1:42">
      <c r="A226" s="61" t="str">
        <f>'[4]TS BYDem'!A165</f>
        <v>*</v>
      </c>
      <c r="B226" s="199" t="s">
        <v>288</v>
      </c>
      <c r="C226" s="199" t="s">
        <v>137</v>
      </c>
      <c r="D226" s="199" t="str">
        <f>'[4]TS BYDem'!D165</f>
        <v>IPPS</v>
      </c>
      <c r="E226" s="199" t="s">
        <v>137</v>
      </c>
      <c r="F226" s="199" t="s">
        <v>137</v>
      </c>
      <c r="G226" s="199" t="s">
        <v>137</v>
      </c>
      <c r="H226" s="199" t="s">
        <v>137</v>
      </c>
      <c r="I226" s="199">
        <v>0</v>
      </c>
      <c r="J226" s="199" t="str">
        <f>INDEX('[4]TS BYDem'!$J$10:$J$203,MATCH(D226,'[4]TS BYDem'!$D$10:$D$203,0))</f>
        <v/>
      </c>
      <c r="K226" s="199" t="e">
        <f t="shared" ca="1" si="76"/>
        <v>#VALUE!</v>
      </c>
      <c r="L226" s="199" t="e">
        <f t="shared" ca="1" si="76"/>
        <v>#VALUE!</v>
      </c>
      <c r="M226" s="199" t="e">
        <f t="shared" ca="1" si="76"/>
        <v>#VALUE!</v>
      </c>
      <c r="N226" s="199" t="e">
        <f t="shared" ca="1" si="76"/>
        <v>#VALUE!</v>
      </c>
      <c r="O226" s="199" t="e">
        <f t="shared" ca="1" si="76"/>
        <v>#VALUE!</v>
      </c>
      <c r="P226" s="199" t="e">
        <f t="shared" ca="1" si="76"/>
        <v>#VALUE!</v>
      </c>
      <c r="Q226" s="199" t="e">
        <f t="shared" ca="1" si="76"/>
        <v>#VALUE!</v>
      </c>
      <c r="R226" s="199" t="e">
        <f t="shared" ca="1" si="76"/>
        <v>#VALUE!</v>
      </c>
      <c r="S226" s="199" t="e">
        <f t="shared" ca="1" si="76"/>
        <v>#VALUE!</v>
      </c>
      <c r="T226" s="199" t="e">
        <f t="shared" ca="1" si="76"/>
        <v>#VALUE!</v>
      </c>
      <c r="U226" s="199" t="e">
        <f t="shared" ca="1" si="76"/>
        <v>#VALUE!</v>
      </c>
      <c r="V226" s="199" t="e">
        <f t="shared" ca="1" si="76"/>
        <v>#VALUE!</v>
      </c>
      <c r="W226" s="199" t="e">
        <f t="shared" ca="1" si="76"/>
        <v>#VALUE!</v>
      </c>
      <c r="X226" s="199" t="e">
        <f t="shared" ca="1" si="76"/>
        <v>#VALUE!</v>
      </c>
      <c r="Y226" s="199" t="e">
        <f t="shared" ca="1" si="76"/>
        <v>#VALUE!</v>
      </c>
      <c r="Z226" s="199" t="e">
        <f t="shared" ca="1" si="76"/>
        <v>#VALUE!</v>
      </c>
      <c r="AA226" s="199" t="e">
        <f t="shared" ca="1" si="77"/>
        <v>#VALUE!</v>
      </c>
      <c r="AB226" s="199" t="e">
        <f t="shared" ca="1" si="77"/>
        <v>#VALUE!</v>
      </c>
      <c r="AC226" s="199" t="e">
        <f t="shared" ca="1" si="77"/>
        <v>#VALUE!</v>
      </c>
      <c r="AD226" s="199" t="e">
        <f t="shared" ca="1" si="77"/>
        <v>#VALUE!</v>
      </c>
      <c r="AE226" s="199" t="e">
        <f t="shared" ca="1" si="77"/>
        <v>#VALUE!</v>
      </c>
      <c r="AF226" s="199" t="e">
        <f t="shared" ca="1" si="77"/>
        <v>#VALUE!</v>
      </c>
      <c r="AG226" s="199" t="e">
        <f t="shared" ca="1" si="77"/>
        <v>#VALUE!</v>
      </c>
      <c r="AH226" s="199" t="e">
        <f t="shared" ca="1" si="77"/>
        <v>#VALUE!</v>
      </c>
      <c r="AI226" s="199" t="e">
        <f t="shared" ca="1" si="77"/>
        <v>#VALUE!</v>
      </c>
      <c r="AJ226" s="199" t="e">
        <f t="shared" ca="1" si="77"/>
        <v>#VALUE!</v>
      </c>
      <c r="AK226" s="199" t="e">
        <f t="shared" ca="1" si="77"/>
        <v>#VALUE!</v>
      </c>
      <c r="AL226" s="199" t="e">
        <f t="shared" ca="1" si="77"/>
        <v>#VALUE!</v>
      </c>
      <c r="AM226" s="199" t="e">
        <f t="shared" ca="1" si="77"/>
        <v>#VALUE!</v>
      </c>
      <c r="AN226" s="199" t="e">
        <f t="shared" ca="1" si="77"/>
        <v>#VALUE!</v>
      </c>
      <c r="AO226" s="199" t="e">
        <f t="shared" ca="1" si="77"/>
        <v>#VALUE!</v>
      </c>
      <c r="AP226" s="199" t="e">
        <f t="shared" ca="1" si="77"/>
        <v>#VALUE!</v>
      </c>
    </row>
    <row r="227" spans="1:42">
      <c r="A227" s="61" t="str">
        <f>'[4]TS BYDem'!A166</f>
        <v>*</v>
      </c>
      <c r="B227" s="199" t="s">
        <v>288</v>
      </c>
      <c r="C227" s="199" t="s">
        <v>137</v>
      </c>
      <c r="D227" s="199" t="str">
        <f>'[4]TS BYDem'!D166</f>
        <v>IPPS</v>
      </c>
      <c r="E227" s="199" t="s">
        <v>137</v>
      </c>
      <c r="F227" s="199" t="s">
        <v>137</v>
      </c>
      <c r="G227" s="199" t="s">
        <v>137</v>
      </c>
      <c r="H227" s="199" t="s">
        <v>137</v>
      </c>
      <c r="I227" s="199">
        <v>0</v>
      </c>
      <c r="J227" s="199" t="str">
        <f>INDEX('[4]TS BYDem'!$J$10:$J$203,MATCH(D227,'[4]TS BYDem'!$D$10:$D$203,0))</f>
        <v/>
      </c>
      <c r="K227" s="199" t="e">
        <f t="shared" ca="1" si="76"/>
        <v>#VALUE!</v>
      </c>
      <c r="L227" s="199" t="e">
        <f t="shared" ca="1" si="76"/>
        <v>#VALUE!</v>
      </c>
      <c r="M227" s="199" t="e">
        <f t="shared" ca="1" si="76"/>
        <v>#VALUE!</v>
      </c>
      <c r="N227" s="199" t="e">
        <f t="shared" ca="1" si="76"/>
        <v>#VALUE!</v>
      </c>
      <c r="O227" s="199" t="e">
        <f t="shared" ca="1" si="76"/>
        <v>#VALUE!</v>
      </c>
      <c r="P227" s="199" t="e">
        <f t="shared" ca="1" si="76"/>
        <v>#VALUE!</v>
      </c>
      <c r="Q227" s="199" t="e">
        <f t="shared" ca="1" si="76"/>
        <v>#VALUE!</v>
      </c>
      <c r="R227" s="199" t="e">
        <f t="shared" ca="1" si="76"/>
        <v>#VALUE!</v>
      </c>
      <c r="S227" s="199" t="e">
        <f t="shared" ca="1" si="76"/>
        <v>#VALUE!</v>
      </c>
      <c r="T227" s="199" t="e">
        <f t="shared" ca="1" si="76"/>
        <v>#VALUE!</v>
      </c>
      <c r="U227" s="199" t="e">
        <f t="shared" ca="1" si="76"/>
        <v>#VALUE!</v>
      </c>
      <c r="V227" s="199" t="e">
        <f t="shared" ca="1" si="76"/>
        <v>#VALUE!</v>
      </c>
      <c r="W227" s="199" t="e">
        <f t="shared" ca="1" si="76"/>
        <v>#VALUE!</v>
      </c>
      <c r="X227" s="199" t="e">
        <f t="shared" ca="1" si="76"/>
        <v>#VALUE!</v>
      </c>
      <c r="Y227" s="199" t="e">
        <f t="shared" ca="1" si="76"/>
        <v>#VALUE!</v>
      </c>
      <c r="Z227" s="199" t="e">
        <f t="shared" ref="Z227:AO228" ca="1" si="78">Z$211/Y$211*Y227</f>
        <v>#VALUE!</v>
      </c>
      <c r="AA227" s="199" t="e">
        <f t="shared" ca="1" si="78"/>
        <v>#VALUE!</v>
      </c>
      <c r="AB227" s="199" t="e">
        <f t="shared" ca="1" si="78"/>
        <v>#VALUE!</v>
      </c>
      <c r="AC227" s="199" t="e">
        <f t="shared" ca="1" si="78"/>
        <v>#VALUE!</v>
      </c>
      <c r="AD227" s="199" t="e">
        <f t="shared" ca="1" si="78"/>
        <v>#VALUE!</v>
      </c>
      <c r="AE227" s="199" t="e">
        <f t="shared" ca="1" si="78"/>
        <v>#VALUE!</v>
      </c>
      <c r="AF227" s="199" t="e">
        <f t="shared" ca="1" si="78"/>
        <v>#VALUE!</v>
      </c>
      <c r="AG227" s="199" t="e">
        <f t="shared" ca="1" si="78"/>
        <v>#VALUE!</v>
      </c>
      <c r="AH227" s="199" t="e">
        <f t="shared" ca="1" si="78"/>
        <v>#VALUE!</v>
      </c>
      <c r="AI227" s="199" t="e">
        <f t="shared" ca="1" si="78"/>
        <v>#VALUE!</v>
      </c>
      <c r="AJ227" s="199" t="e">
        <f t="shared" ca="1" si="78"/>
        <v>#VALUE!</v>
      </c>
      <c r="AK227" s="199" t="e">
        <f t="shared" ca="1" si="78"/>
        <v>#VALUE!</v>
      </c>
      <c r="AL227" s="199" t="e">
        <f t="shared" ca="1" si="78"/>
        <v>#VALUE!</v>
      </c>
      <c r="AM227" s="199" t="e">
        <f t="shared" ca="1" si="78"/>
        <v>#VALUE!</v>
      </c>
      <c r="AN227" s="199" t="e">
        <f t="shared" ca="1" si="78"/>
        <v>#VALUE!</v>
      </c>
      <c r="AO227" s="199" t="e">
        <f t="shared" ca="1" si="78"/>
        <v>#VALUE!</v>
      </c>
      <c r="AP227" s="199" t="e">
        <f t="shared" ca="1" si="77"/>
        <v>#VALUE!</v>
      </c>
    </row>
    <row r="228" spans="1:42">
      <c r="A228" s="61" t="str">
        <f>'[4]TS BYDem'!A167</f>
        <v>*</v>
      </c>
      <c r="B228" s="199" t="s">
        <v>288</v>
      </c>
      <c r="C228" s="199" t="s">
        <v>137</v>
      </c>
      <c r="D228" s="199" t="str">
        <f>'[4]TS BYDem'!D167</f>
        <v>IPPS</v>
      </c>
      <c r="E228" s="199" t="s">
        <v>137</v>
      </c>
      <c r="F228" s="199" t="s">
        <v>137</v>
      </c>
      <c r="G228" s="199" t="s">
        <v>137</v>
      </c>
      <c r="H228" s="199" t="s">
        <v>137</v>
      </c>
      <c r="I228" s="199">
        <v>0</v>
      </c>
      <c r="J228" s="199" t="str">
        <f>INDEX('[4]TS BYDem'!$J$10:$J$203,MATCH(D228,'[4]TS BYDem'!$D$10:$D$203,0))</f>
        <v/>
      </c>
      <c r="K228" s="199" t="e">
        <f t="shared" ref="K228:Z229" ca="1" si="79">K$211/J$211*J228</f>
        <v>#VALUE!</v>
      </c>
      <c r="L228" s="199" t="e">
        <f t="shared" ca="1" si="79"/>
        <v>#VALUE!</v>
      </c>
      <c r="M228" s="199" t="e">
        <f t="shared" ca="1" si="79"/>
        <v>#VALUE!</v>
      </c>
      <c r="N228" s="199" t="e">
        <f t="shared" ca="1" si="79"/>
        <v>#VALUE!</v>
      </c>
      <c r="O228" s="199" t="e">
        <f t="shared" ca="1" si="79"/>
        <v>#VALUE!</v>
      </c>
      <c r="P228" s="199" t="e">
        <f t="shared" ca="1" si="79"/>
        <v>#VALUE!</v>
      </c>
      <c r="Q228" s="199" t="e">
        <f t="shared" ca="1" si="79"/>
        <v>#VALUE!</v>
      </c>
      <c r="R228" s="199" t="e">
        <f t="shared" ca="1" si="79"/>
        <v>#VALUE!</v>
      </c>
      <c r="S228" s="199" t="e">
        <f t="shared" ca="1" si="79"/>
        <v>#VALUE!</v>
      </c>
      <c r="T228" s="199" t="e">
        <f t="shared" ca="1" si="79"/>
        <v>#VALUE!</v>
      </c>
      <c r="U228" s="199" t="e">
        <f t="shared" ca="1" si="79"/>
        <v>#VALUE!</v>
      </c>
      <c r="V228" s="199" t="e">
        <f t="shared" ca="1" si="79"/>
        <v>#VALUE!</v>
      </c>
      <c r="W228" s="199" t="e">
        <f t="shared" ca="1" si="79"/>
        <v>#VALUE!</v>
      </c>
      <c r="X228" s="199" t="e">
        <f t="shared" ca="1" si="79"/>
        <v>#VALUE!</v>
      </c>
      <c r="Y228" s="199" t="e">
        <f t="shared" ca="1" si="79"/>
        <v>#VALUE!</v>
      </c>
      <c r="Z228" s="199" t="e">
        <f t="shared" ca="1" si="79"/>
        <v>#VALUE!</v>
      </c>
      <c r="AA228" s="199" t="e">
        <f t="shared" ca="1" si="78"/>
        <v>#VALUE!</v>
      </c>
      <c r="AB228" s="199" t="e">
        <f t="shared" ca="1" si="78"/>
        <v>#VALUE!</v>
      </c>
      <c r="AC228" s="199" t="e">
        <f t="shared" ca="1" si="78"/>
        <v>#VALUE!</v>
      </c>
      <c r="AD228" s="199" t="e">
        <f t="shared" ca="1" si="78"/>
        <v>#VALUE!</v>
      </c>
      <c r="AE228" s="199" t="e">
        <f t="shared" ca="1" si="78"/>
        <v>#VALUE!</v>
      </c>
      <c r="AF228" s="199" t="e">
        <f t="shared" ca="1" si="78"/>
        <v>#VALUE!</v>
      </c>
      <c r="AG228" s="199" t="e">
        <f t="shared" ca="1" si="78"/>
        <v>#VALUE!</v>
      </c>
      <c r="AH228" s="199" t="e">
        <f t="shared" ca="1" si="78"/>
        <v>#VALUE!</v>
      </c>
      <c r="AI228" s="199" t="e">
        <f t="shared" ca="1" si="78"/>
        <v>#VALUE!</v>
      </c>
      <c r="AJ228" s="199" t="e">
        <f t="shared" ca="1" si="78"/>
        <v>#VALUE!</v>
      </c>
      <c r="AK228" s="199" t="e">
        <f t="shared" ca="1" si="78"/>
        <v>#VALUE!</v>
      </c>
      <c r="AL228" s="199" t="e">
        <f t="shared" ca="1" si="78"/>
        <v>#VALUE!</v>
      </c>
      <c r="AM228" s="199" t="e">
        <f t="shared" ca="1" si="78"/>
        <v>#VALUE!</v>
      </c>
      <c r="AN228" s="199" t="e">
        <f t="shared" ca="1" si="78"/>
        <v>#VALUE!</v>
      </c>
      <c r="AO228" s="199" t="e">
        <f t="shared" ca="1" si="78"/>
        <v>#VALUE!</v>
      </c>
      <c r="AP228" s="199" t="e">
        <f t="shared" ref="L228:AP229" ca="1" si="80">AP$211/AO$211*AO228</f>
        <v>#VALUE!</v>
      </c>
    </row>
    <row r="229" spans="1:42">
      <c r="A229" s="61" t="str">
        <f>'[4]TS BYDem'!A168</f>
        <v>*</v>
      </c>
      <c r="B229" s="199" t="s">
        <v>288</v>
      </c>
      <c r="C229" s="199" t="s">
        <v>137</v>
      </c>
      <c r="D229" s="199" t="str">
        <f>'[4]TS BYDem'!D168</f>
        <v>IPPS</v>
      </c>
      <c r="E229" s="199" t="s">
        <v>137</v>
      </c>
      <c r="F229" s="199" t="s">
        <v>137</v>
      </c>
      <c r="G229" s="199" t="s">
        <v>137</v>
      </c>
      <c r="H229" s="199" t="s">
        <v>137</v>
      </c>
      <c r="I229" s="199">
        <v>0</v>
      </c>
      <c r="J229" s="199" t="str">
        <f>INDEX('[4]TS BYDem'!$J$10:$J$203,MATCH(D229,'[4]TS BYDem'!$D$10:$D$203,0))</f>
        <v/>
      </c>
      <c r="K229" s="199" t="e">
        <f t="shared" ca="1" si="79"/>
        <v>#VALUE!</v>
      </c>
      <c r="L229" s="199" t="e">
        <f t="shared" ca="1" si="80"/>
        <v>#VALUE!</v>
      </c>
      <c r="M229" s="199" t="e">
        <f t="shared" ca="1" si="80"/>
        <v>#VALUE!</v>
      </c>
      <c r="N229" s="199" t="e">
        <f t="shared" ca="1" si="80"/>
        <v>#VALUE!</v>
      </c>
      <c r="O229" s="199" t="e">
        <f t="shared" ca="1" si="80"/>
        <v>#VALUE!</v>
      </c>
      <c r="P229" s="199" t="e">
        <f t="shared" ca="1" si="80"/>
        <v>#VALUE!</v>
      </c>
      <c r="Q229" s="199" t="e">
        <f t="shared" ca="1" si="80"/>
        <v>#VALUE!</v>
      </c>
      <c r="R229" s="199" t="e">
        <f t="shared" ca="1" si="80"/>
        <v>#VALUE!</v>
      </c>
      <c r="S229" s="199" t="e">
        <f t="shared" ca="1" si="80"/>
        <v>#VALUE!</v>
      </c>
      <c r="T229" s="199" t="e">
        <f t="shared" ca="1" si="80"/>
        <v>#VALUE!</v>
      </c>
      <c r="U229" s="199" t="e">
        <f t="shared" ca="1" si="80"/>
        <v>#VALUE!</v>
      </c>
      <c r="V229" s="199" t="e">
        <f t="shared" ca="1" si="80"/>
        <v>#VALUE!</v>
      </c>
      <c r="W229" s="199" t="e">
        <f t="shared" ca="1" si="80"/>
        <v>#VALUE!</v>
      </c>
      <c r="X229" s="199" t="e">
        <f t="shared" ca="1" si="80"/>
        <v>#VALUE!</v>
      </c>
      <c r="Y229" s="199" t="e">
        <f t="shared" ca="1" si="80"/>
        <v>#VALUE!</v>
      </c>
      <c r="Z229" s="199" t="e">
        <f t="shared" ca="1" si="80"/>
        <v>#VALUE!</v>
      </c>
      <c r="AA229" s="199" t="e">
        <f t="shared" ca="1" si="80"/>
        <v>#VALUE!</v>
      </c>
      <c r="AB229" s="199" t="e">
        <f t="shared" ca="1" si="80"/>
        <v>#VALUE!</v>
      </c>
      <c r="AC229" s="199" t="e">
        <f t="shared" ca="1" si="80"/>
        <v>#VALUE!</v>
      </c>
      <c r="AD229" s="199" t="e">
        <f t="shared" ca="1" si="80"/>
        <v>#VALUE!</v>
      </c>
      <c r="AE229" s="199" t="e">
        <f t="shared" ca="1" si="80"/>
        <v>#VALUE!</v>
      </c>
      <c r="AF229" s="199" t="e">
        <f t="shared" ca="1" si="80"/>
        <v>#VALUE!</v>
      </c>
      <c r="AG229" s="199" t="e">
        <f t="shared" ca="1" si="80"/>
        <v>#VALUE!</v>
      </c>
      <c r="AH229" s="199" t="e">
        <f t="shared" ca="1" si="80"/>
        <v>#VALUE!</v>
      </c>
      <c r="AI229" s="199" t="e">
        <f t="shared" ca="1" si="80"/>
        <v>#VALUE!</v>
      </c>
      <c r="AJ229" s="199" t="e">
        <f t="shared" ca="1" si="80"/>
        <v>#VALUE!</v>
      </c>
      <c r="AK229" s="199" t="e">
        <f t="shared" ca="1" si="80"/>
        <v>#VALUE!</v>
      </c>
      <c r="AL229" s="199" t="e">
        <f t="shared" ca="1" si="80"/>
        <v>#VALUE!</v>
      </c>
      <c r="AM229" s="199" t="e">
        <f t="shared" ca="1" si="80"/>
        <v>#VALUE!</v>
      </c>
      <c r="AN229" s="199" t="e">
        <f t="shared" ca="1" si="80"/>
        <v>#VALUE!</v>
      </c>
      <c r="AO229" s="199" t="e">
        <f t="shared" ca="1" si="80"/>
        <v>#VALUE!</v>
      </c>
      <c r="AP229" s="199" t="e">
        <f t="shared" ca="1" si="80"/>
        <v>#VALUE!</v>
      </c>
    </row>
    <row r="230" spans="1:42" s="5" customFormat="1">
      <c r="A230" s="61"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240.59417139393693</v>
      </c>
      <c r="T230" s="5">
        <f t="shared" ca="1" si="81"/>
        <v>249.7968040999923</v>
      </c>
      <c r="U230" s="5">
        <f t="shared" ca="1" si="81"/>
        <v>259.56069095638566</v>
      </c>
      <c r="V230" s="5">
        <f t="shared" ca="1" si="81"/>
        <v>270.67932921019093</v>
      </c>
      <c r="W230" s="5">
        <f t="shared" ca="1" si="81"/>
        <v>282.67855587229479</v>
      </c>
      <c r="X230" s="5">
        <f t="shared" ca="1" si="81"/>
        <v>295.97447315762054</v>
      </c>
      <c r="Y230" s="5">
        <f t="shared" ca="1" si="81"/>
        <v>310.18000923832312</v>
      </c>
      <c r="Z230" s="5">
        <f t="shared" ca="1" si="81"/>
        <v>325.51773041540525</v>
      </c>
      <c r="AA230" s="5">
        <f t="shared" ca="1" si="81"/>
        <v>342.87790189288529</v>
      </c>
      <c r="AB230" s="5">
        <f t="shared" ca="1" si="81"/>
        <v>361.07995459585732</v>
      </c>
      <c r="AC230" s="5">
        <f t="shared" ca="1" si="81"/>
        <v>379.78520067496476</v>
      </c>
      <c r="AD230" s="5">
        <f t="shared" ca="1" si="81"/>
        <v>399.56457107626096</v>
      </c>
      <c r="AE230" s="5">
        <f t="shared" ca="1" si="81"/>
        <v>420.26323706861029</v>
      </c>
      <c r="AF230" s="5">
        <f t="shared" ca="1" si="81"/>
        <v>442.34568484540824</v>
      </c>
      <c r="AG230" s="5">
        <f t="shared" ca="1" si="81"/>
        <v>464.31201107380878</v>
      </c>
      <c r="AH230" s="5">
        <f t="shared" ca="1" si="81"/>
        <v>487.28472405452015</v>
      </c>
      <c r="AI230" s="5">
        <f t="shared" ca="1" si="81"/>
        <v>513.10241496972685</v>
      </c>
      <c r="AJ230" s="5">
        <f t="shared" ca="1" si="81"/>
        <v>540.24582689519559</v>
      </c>
      <c r="AK230" s="5">
        <f t="shared" ca="1" si="81"/>
        <v>568.79237419648973</v>
      </c>
      <c r="AL230" s="5">
        <f t="shared" ca="1" si="81"/>
        <v>598.4033690242585</v>
      </c>
      <c r="AM230" s="5">
        <f t="shared" ca="1" si="81"/>
        <v>773.82432138961917</v>
      </c>
      <c r="AN230" s="5">
        <f t="shared" ca="1" si="81"/>
        <v>994.85201186705478</v>
      </c>
      <c r="AO230" s="5">
        <f t="shared" ca="1" si="81"/>
        <v>1383.6995316911634</v>
      </c>
      <c r="AP230" s="5">
        <f t="shared" ca="1" si="81"/>
        <v>1780.1481745339552</v>
      </c>
    </row>
    <row r="231" spans="1:42">
      <c r="A231" s="61" t="str">
        <f>'[4]TS BYDem'!A170</f>
        <v>*</v>
      </c>
      <c r="B231" s="199" t="s">
        <v>288</v>
      </c>
      <c r="C231" s="199" t="s">
        <v>137</v>
      </c>
      <c r="D231" s="199">
        <f>'[4]TS BYDem'!D170</f>
        <v>0</v>
      </c>
      <c r="E231" s="199" t="s">
        <v>137</v>
      </c>
      <c r="F231" s="199" t="s">
        <v>137</v>
      </c>
      <c r="G231" s="199" t="s">
        <v>137</v>
      </c>
      <c r="H231" s="199" t="s">
        <v>137</v>
      </c>
      <c r="I231" s="199">
        <v>0</v>
      </c>
      <c r="J231" s="199" t="str">
        <f>INDEX('[4]TS BYDem'!$J$10:$J$203,MATCH(D231,'[4]TS BYDem'!$D$10:$D$203,0))</f>
        <v/>
      </c>
      <c r="K231" s="199" t="e">
        <f t="shared" ref="K231:Z253" ca="1" si="82">K$230/J$230*J231</f>
        <v>#VALUE!</v>
      </c>
      <c r="L231" s="199" t="e">
        <f t="shared" ca="1" si="82"/>
        <v>#VALUE!</v>
      </c>
      <c r="M231" s="199" t="e">
        <f t="shared" ca="1" si="82"/>
        <v>#VALUE!</v>
      </c>
      <c r="N231" s="199" t="e">
        <f t="shared" ca="1" si="82"/>
        <v>#VALUE!</v>
      </c>
      <c r="O231" s="199" t="e">
        <f t="shared" ca="1" si="82"/>
        <v>#VALUE!</v>
      </c>
      <c r="P231" s="199" t="e">
        <f t="shared" ca="1" si="82"/>
        <v>#VALUE!</v>
      </c>
      <c r="Q231" s="199" t="e">
        <f t="shared" ca="1" si="82"/>
        <v>#VALUE!</v>
      </c>
      <c r="R231" s="199" t="e">
        <f t="shared" ca="1" si="82"/>
        <v>#VALUE!</v>
      </c>
      <c r="S231" s="199" t="e">
        <f t="shared" ca="1" si="82"/>
        <v>#VALUE!</v>
      </c>
      <c r="T231" s="199" t="e">
        <f t="shared" ca="1" si="82"/>
        <v>#VALUE!</v>
      </c>
      <c r="U231" s="199" t="e">
        <f t="shared" ca="1" si="82"/>
        <v>#VALUE!</v>
      </c>
      <c r="V231" s="199" t="e">
        <f t="shared" ca="1" si="82"/>
        <v>#VALUE!</v>
      </c>
      <c r="W231" s="199" t="e">
        <f t="shared" ca="1" si="82"/>
        <v>#VALUE!</v>
      </c>
      <c r="X231" s="199" t="e">
        <f t="shared" ca="1" si="82"/>
        <v>#VALUE!</v>
      </c>
      <c r="Y231" s="199" t="e">
        <f t="shared" ca="1" si="82"/>
        <v>#VALUE!</v>
      </c>
      <c r="Z231" s="199" t="e">
        <f t="shared" ca="1" si="82"/>
        <v>#VALUE!</v>
      </c>
      <c r="AA231" s="199" t="e">
        <f t="shared" ref="AA231:AP246" ca="1" si="83">AA$230/Z$230*Z231</f>
        <v>#VALUE!</v>
      </c>
      <c r="AB231" s="199" t="e">
        <f t="shared" ca="1" si="83"/>
        <v>#VALUE!</v>
      </c>
      <c r="AC231" s="199" t="e">
        <f t="shared" ca="1" si="83"/>
        <v>#VALUE!</v>
      </c>
      <c r="AD231" s="199" t="e">
        <f t="shared" ca="1" si="83"/>
        <v>#VALUE!</v>
      </c>
      <c r="AE231" s="199" t="e">
        <f t="shared" ca="1" si="83"/>
        <v>#VALUE!</v>
      </c>
      <c r="AF231" s="199" t="e">
        <f t="shared" ca="1" si="83"/>
        <v>#VALUE!</v>
      </c>
      <c r="AG231" s="199" t="e">
        <f t="shared" ca="1" si="83"/>
        <v>#VALUE!</v>
      </c>
      <c r="AH231" s="199" t="e">
        <f t="shared" ca="1" si="83"/>
        <v>#VALUE!</v>
      </c>
      <c r="AI231" s="199" t="e">
        <f t="shared" ca="1" si="83"/>
        <v>#VALUE!</v>
      </c>
      <c r="AJ231" s="199" t="e">
        <f t="shared" ca="1" si="83"/>
        <v>#VALUE!</v>
      </c>
      <c r="AK231" s="199" t="e">
        <f t="shared" ca="1" si="83"/>
        <v>#VALUE!</v>
      </c>
      <c r="AL231" s="199" t="e">
        <f t="shared" ca="1" si="83"/>
        <v>#VALUE!</v>
      </c>
      <c r="AM231" s="199" t="e">
        <f t="shared" ca="1" si="83"/>
        <v>#VALUE!</v>
      </c>
      <c r="AN231" s="199" t="e">
        <f t="shared" ca="1" si="83"/>
        <v>#VALUE!</v>
      </c>
      <c r="AO231" s="199" t="e">
        <f t="shared" ca="1" si="83"/>
        <v>#VALUE!</v>
      </c>
      <c r="AP231" s="199" t="e">
        <f t="shared" ca="1" si="83"/>
        <v>#VALUE!</v>
      </c>
    </row>
    <row r="232" spans="1:42">
      <c r="A232" s="61" t="str">
        <f>'[4]TS BYDem'!A171</f>
        <v>*</v>
      </c>
      <c r="B232" s="199" t="s">
        <v>288</v>
      </c>
      <c r="C232" s="199" t="s">
        <v>137</v>
      </c>
      <c r="D232" s="199">
        <f>'[4]TS BYDem'!D171</f>
        <v>2</v>
      </c>
      <c r="E232" s="199" t="s">
        <v>137</v>
      </c>
      <c r="F232" s="199" t="s">
        <v>137</v>
      </c>
      <c r="G232" s="199" t="s">
        <v>137</v>
      </c>
      <c r="H232" s="199" t="s">
        <v>137</v>
      </c>
      <c r="I232" s="199">
        <v>0</v>
      </c>
      <c r="J232" s="199" t="str">
        <f>INDEX('[4]TS BYDem'!$J$10:$J$203,MATCH(D232,'[4]TS BYDem'!$D$10:$D$203,0))</f>
        <v/>
      </c>
      <c r="K232" s="199" t="e">
        <f t="shared" ca="1" si="82"/>
        <v>#VALUE!</v>
      </c>
      <c r="L232" s="199" t="e">
        <f t="shared" ca="1" si="82"/>
        <v>#VALUE!</v>
      </c>
      <c r="M232" s="199" t="e">
        <f t="shared" ca="1" si="82"/>
        <v>#VALUE!</v>
      </c>
      <c r="N232" s="199" t="e">
        <f t="shared" ca="1" si="82"/>
        <v>#VALUE!</v>
      </c>
      <c r="O232" s="199" t="e">
        <f t="shared" ca="1" si="82"/>
        <v>#VALUE!</v>
      </c>
      <c r="P232" s="199" t="e">
        <f t="shared" ca="1" si="82"/>
        <v>#VALUE!</v>
      </c>
      <c r="Q232" s="199" t="e">
        <f t="shared" ca="1" si="82"/>
        <v>#VALUE!</v>
      </c>
      <c r="R232" s="199" t="e">
        <f t="shared" ca="1" si="82"/>
        <v>#VALUE!</v>
      </c>
      <c r="S232" s="199" t="e">
        <f t="shared" ca="1" si="82"/>
        <v>#VALUE!</v>
      </c>
      <c r="T232" s="199" t="e">
        <f t="shared" ca="1" si="82"/>
        <v>#VALUE!</v>
      </c>
      <c r="U232" s="199" t="e">
        <f t="shared" ca="1" si="82"/>
        <v>#VALUE!</v>
      </c>
      <c r="V232" s="199" t="e">
        <f t="shared" ca="1" si="82"/>
        <v>#VALUE!</v>
      </c>
      <c r="W232" s="199" t="e">
        <f t="shared" ca="1" si="82"/>
        <v>#VALUE!</v>
      </c>
      <c r="X232" s="199" t="e">
        <f t="shared" ca="1" si="82"/>
        <v>#VALUE!</v>
      </c>
      <c r="Y232" s="199" t="e">
        <f t="shared" ca="1" si="82"/>
        <v>#VALUE!</v>
      </c>
      <c r="Z232" s="199" t="e">
        <f t="shared" ca="1" si="82"/>
        <v>#VALUE!</v>
      </c>
      <c r="AA232" s="199" t="e">
        <f t="shared" ca="1" si="83"/>
        <v>#VALUE!</v>
      </c>
      <c r="AB232" s="199" t="e">
        <f t="shared" ca="1" si="83"/>
        <v>#VALUE!</v>
      </c>
      <c r="AC232" s="199" t="e">
        <f t="shared" ca="1" si="83"/>
        <v>#VALUE!</v>
      </c>
      <c r="AD232" s="199" t="e">
        <f t="shared" ca="1" si="83"/>
        <v>#VALUE!</v>
      </c>
      <c r="AE232" s="199" t="e">
        <f t="shared" ca="1" si="83"/>
        <v>#VALUE!</v>
      </c>
      <c r="AF232" s="199" t="e">
        <f t="shared" ca="1" si="83"/>
        <v>#VALUE!</v>
      </c>
      <c r="AG232" s="199" t="e">
        <f t="shared" ca="1" si="83"/>
        <v>#VALUE!</v>
      </c>
      <c r="AH232" s="199" t="e">
        <f t="shared" ca="1" si="83"/>
        <v>#VALUE!</v>
      </c>
      <c r="AI232" s="199" t="e">
        <f t="shared" ca="1" si="83"/>
        <v>#VALUE!</v>
      </c>
      <c r="AJ232" s="199" t="e">
        <f t="shared" ca="1" si="83"/>
        <v>#VALUE!</v>
      </c>
      <c r="AK232" s="199" t="e">
        <f t="shared" ca="1" si="83"/>
        <v>#VALUE!</v>
      </c>
      <c r="AL232" s="199" t="e">
        <f t="shared" ca="1" si="83"/>
        <v>#VALUE!</v>
      </c>
      <c r="AM232" s="199" t="e">
        <f t="shared" ca="1" si="83"/>
        <v>#VALUE!</v>
      </c>
      <c r="AN232" s="199" t="e">
        <f t="shared" ca="1" si="83"/>
        <v>#VALUE!</v>
      </c>
      <c r="AO232" s="199" t="e">
        <f t="shared" ca="1" si="83"/>
        <v>#VALUE!</v>
      </c>
      <c r="AP232" s="199" t="e">
        <f t="shared" ca="1" si="83"/>
        <v>#VALUE!</v>
      </c>
    </row>
    <row r="233" spans="1:42">
      <c r="A233" s="61" t="str">
        <f>'[4]TS BYDem'!A172</f>
        <v/>
      </c>
      <c r="B233" s="199" t="s">
        <v>288</v>
      </c>
      <c r="C233" s="199" t="s">
        <v>137</v>
      </c>
      <c r="D233" s="199" t="str">
        <f>'[4]TS BYDem'!D172</f>
        <v>IOTK</v>
      </c>
      <c r="E233" s="199" t="s">
        <v>137</v>
      </c>
      <c r="F233" s="199" t="s">
        <v>137</v>
      </c>
      <c r="G233" s="199" t="s">
        <v>137</v>
      </c>
      <c r="H233" s="199" t="s">
        <v>137</v>
      </c>
      <c r="I233" s="199">
        <v>0</v>
      </c>
      <c r="J233" s="199">
        <f>INDEX('[4]TS BYDem'!$J$10:$J$203,MATCH(D233,'[4]TS BYDem'!$D$10:$D$203,0))</f>
        <v>4.0241553496851505</v>
      </c>
      <c r="K233" s="199">
        <f t="shared" ca="1" si="82"/>
        <v>4.1289030027364033</v>
      </c>
      <c r="L233" s="199">
        <f t="shared" ca="1" si="82"/>
        <v>4.1975955908711562</v>
      </c>
      <c r="M233" s="206">
        <f t="shared" ref="M233:M241" si="84">O233</f>
        <v>2.1816720000000003</v>
      </c>
      <c r="N233" s="206">
        <f t="shared" ref="N233:N241" si="85">O233</f>
        <v>2.1816720000000003</v>
      </c>
      <c r="O233" s="206">
        <f>INDEX('[4]TS BYDem'!$O$10:$O$203,MATCH(D233,'[4]TS BYDem'!$D$10:$D$203,0))</f>
        <v>2.1816720000000003</v>
      </c>
      <c r="P233" s="199">
        <f t="shared" ca="1" si="82"/>
        <v>2.2006776165359949</v>
      </c>
      <c r="Q233" s="199">
        <f t="shared" ca="1" si="82"/>
        <v>2.2000728923734858</v>
      </c>
      <c r="R233" s="199">
        <f t="shared" ca="1" si="82"/>
        <v>1.9890241596578764</v>
      </c>
      <c r="S233" s="199">
        <f t="shared" ca="1" si="82"/>
        <v>2.0784729828674795</v>
      </c>
      <c r="T233" s="199">
        <f t="shared" ca="1" si="82"/>
        <v>2.1579737593824286</v>
      </c>
      <c r="U233" s="199">
        <f t="shared" ca="1" si="82"/>
        <v>2.2423231636976317</v>
      </c>
      <c r="V233" s="199">
        <f t="shared" ca="1" si="82"/>
        <v>2.3383761523586593</v>
      </c>
      <c r="W233" s="199">
        <f t="shared" ca="1" si="82"/>
        <v>2.442036470844307</v>
      </c>
      <c r="X233" s="199">
        <f t="shared" ca="1" si="82"/>
        <v>2.5568987914893975</v>
      </c>
      <c r="Y233" s="199">
        <f t="shared" ca="1" si="82"/>
        <v>2.6796192330521542</v>
      </c>
      <c r="Z233" s="199">
        <f t="shared" ca="1" si="82"/>
        <v>2.8121205272465275</v>
      </c>
      <c r="AA233" s="199">
        <f t="shared" ca="1" si="83"/>
        <v>2.9620936009283869</v>
      </c>
      <c r="AB233" s="199">
        <f t="shared" ca="1" si="83"/>
        <v>3.1193396163104983</v>
      </c>
      <c r="AC233" s="199">
        <f t="shared" ca="1" si="83"/>
        <v>3.2809326773063745</v>
      </c>
      <c r="AD233" s="199">
        <f t="shared" ca="1" si="83"/>
        <v>3.4518050087474799</v>
      </c>
      <c r="AE233" s="199">
        <f t="shared" ca="1" si="83"/>
        <v>3.6306190581371243</v>
      </c>
      <c r="AF233" s="199">
        <f t="shared" ca="1" si="83"/>
        <v>3.8213874829652799</v>
      </c>
      <c r="AG233" s="199">
        <f t="shared" ca="1" si="83"/>
        <v>4.0111527434205225</v>
      </c>
      <c r="AH233" s="199">
        <f t="shared" ca="1" si="83"/>
        <v>4.2096120951036404</v>
      </c>
      <c r="AI233" s="199">
        <f t="shared" ca="1" si="83"/>
        <v>4.4326489739123875</v>
      </c>
      <c r="AJ233" s="199">
        <f t="shared" ca="1" si="83"/>
        <v>4.667138645973294</v>
      </c>
      <c r="AK233" s="199">
        <f t="shared" ca="1" si="83"/>
        <v>4.9137498875346663</v>
      </c>
      <c r="AL233" s="199">
        <f t="shared" ca="1" si="83"/>
        <v>5.1695568025100682</v>
      </c>
      <c r="AM233" s="199">
        <f t="shared" ca="1" si="83"/>
        <v>6.6850037811623269</v>
      </c>
      <c r="AN233" s="199">
        <f t="shared" ca="1" si="83"/>
        <v>8.5944435670944088</v>
      </c>
      <c r="AO233" s="199">
        <f t="shared" ca="1" si="83"/>
        <v>11.953664863798705</v>
      </c>
      <c r="AP233" s="199">
        <f t="shared" ca="1" si="83"/>
        <v>15.378551628383008</v>
      </c>
    </row>
    <row r="234" spans="1:42">
      <c r="A234" s="61" t="str">
        <f>'[4]TS BYDem'!A173</f>
        <v/>
      </c>
      <c r="B234" s="199" t="s">
        <v>288</v>
      </c>
      <c r="C234" s="199" t="s">
        <v>137</v>
      </c>
      <c r="D234" s="199" t="str">
        <f>'[4]TS BYDem'!D173</f>
        <v>IOTA</v>
      </c>
      <c r="E234" s="199" t="s">
        <v>137</v>
      </c>
      <c r="F234" s="199" t="s">
        <v>137</v>
      </c>
      <c r="G234" s="199" t="s">
        <v>137</v>
      </c>
      <c r="H234" s="199" t="s">
        <v>137</v>
      </c>
      <c r="I234" s="199">
        <v>0</v>
      </c>
      <c r="J234" s="199">
        <f>INDEX('[4]TS BYDem'!$J$10:$J$203,MATCH(D234,'[4]TS BYDem'!$D$10:$D$203,0))</f>
        <v>0.22789646617646991</v>
      </c>
      <c r="K234" s="199">
        <f t="shared" ca="1" si="82"/>
        <v>0.23382854828968336</v>
      </c>
      <c r="L234" s="199">
        <f t="shared" ca="1" si="82"/>
        <v>0.23771875548301416</v>
      </c>
      <c r="M234" s="206">
        <f t="shared" si="84"/>
        <v>0.12355272</v>
      </c>
      <c r="N234" s="206">
        <f t="shared" si="85"/>
        <v>0.12355272</v>
      </c>
      <c r="O234" s="206">
        <f>INDEX('[4]TS BYDem'!$O$10:$O$203,MATCH(D234,'[4]TS BYDem'!$D$10:$D$203,0))</f>
        <v>0.12355272</v>
      </c>
      <c r="P234" s="199">
        <f t="shared" ca="1" si="82"/>
        <v>0.12462904843905918</v>
      </c>
      <c r="Q234" s="199">
        <f t="shared" ca="1" si="82"/>
        <v>0.12459480162508911</v>
      </c>
      <c r="R234" s="199">
        <f t="shared" ca="1" si="82"/>
        <v>0.11264266354953673</v>
      </c>
      <c r="S234" s="199">
        <f t="shared" ca="1" si="82"/>
        <v>0.11770834042871268</v>
      </c>
      <c r="T234" s="199">
        <f t="shared" ca="1" si="82"/>
        <v>0.1222106382904142</v>
      </c>
      <c r="U234" s="199">
        <f t="shared" ca="1" si="82"/>
        <v>0.12698752424463788</v>
      </c>
      <c r="V234" s="199">
        <f t="shared" ca="1" si="82"/>
        <v>0.13242720904290228</v>
      </c>
      <c r="W234" s="199">
        <f t="shared" ca="1" si="82"/>
        <v>0.13829771308978378</v>
      </c>
      <c r="X234" s="199">
        <f t="shared" ca="1" si="82"/>
        <v>0.14480261031595393</v>
      </c>
      <c r="Y234" s="199">
        <f t="shared" ca="1" si="82"/>
        <v>0.15175252962310901</v>
      </c>
      <c r="Z234" s="199">
        <f t="shared" ca="1" si="82"/>
        <v>0.15925635939276964</v>
      </c>
      <c r="AA234" s="199">
        <f t="shared" ca="1" si="83"/>
        <v>0.16774965315102208</v>
      </c>
      <c r="AB234" s="199">
        <f t="shared" ca="1" si="83"/>
        <v>0.17665482904805047</v>
      </c>
      <c r="AC234" s="199">
        <f t="shared" ca="1" si="83"/>
        <v>0.18580618737284282</v>
      </c>
      <c r="AD234" s="199">
        <f t="shared" ca="1" si="83"/>
        <v>0.19548305049538831</v>
      </c>
      <c r="AE234" s="199">
        <f t="shared" ca="1" si="83"/>
        <v>0.20560966997636659</v>
      </c>
      <c r="AF234" s="199">
        <f t="shared" ca="1" si="83"/>
        <v>0.21641329113373312</v>
      </c>
      <c r="AG234" s="199">
        <f t="shared" ca="1" si="83"/>
        <v>0.22716010096158701</v>
      </c>
      <c r="AH234" s="199">
        <f t="shared" ca="1" si="83"/>
        <v>0.23839927564498845</v>
      </c>
      <c r="AI234" s="199">
        <f t="shared" ca="1" si="83"/>
        <v>0.25103032790084129</v>
      </c>
      <c r="AJ234" s="199">
        <f t="shared" ca="1" si="83"/>
        <v>0.26430997616833196</v>
      </c>
      <c r="AK234" s="199">
        <f t="shared" ca="1" si="83"/>
        <v>0.2782760946671185</v>
      </c>
      <c r="AL234" s="199">
        <f t="shared" ca="1" si="83"/>
        <v>0.29276298368619175</v>
      </c>
      <c r="AM234" s="199">
        <f t="shared" ca="1" si="83"/>
        <v>0.37858596543059164</v>
      </c>
      <c r="AN234" s="199">
        <f t="shared" ca="1" si="83"/>
        <v>0.4867215968307867</v>
      </c>
      <c r="AO234" s="199">
        <f t="shared" ca="1" si="83"/>
        <v>0.67696143503274486</v>
      </c>
      <c r="AP234" s="199">
        <f t="shared" ca="1" si="83"/>
        <v>0.87092004817733759</v>
      </c>
    </row>
    <row r="235" spans="1:42">
      <c r="A235" s="61" t="str">
        <f>'[4]TS BYDem'!A174</f>
        <v/>
      </c>
      <c r="B235" s="199" t="s">
        <v>288</v>
      </c>
      <c r="C235" s="199" t="s">
        <v>137</v>
      </c>
      <c r="D235" s="199" t="str">
        <f>'[4]TS BYDem'!D174</f>
        <v>IOTL</v>
      </c>
      <c r="E235" s="199" t="s">
        <v>137</v>
      </c>
      <c r="F235" s="199" t="s">
        <v>137</v>
      </c>
      <c r="G235" s="199" t="s">
        <v>137</v>
      </c>
      <c r="H235" s="199" t="s">
        <v>137</v>
      </c>
      <c r="I235" s="199">
        <v>0</v>
      </c>
      <c r="J235" s="199">
        <f>INDEX('[4]TS BYDem'!$J$10:$J$203,MATCH(D235,'[4]TS BYDem'!$D$10:$D$203,0))</f>
        <v>1.0095834302163471</v>
      </c>
      <c r="K235" s="199">
        <f t="shared" ca="1" si="82"/>
        <v>1.0358626082512781</v>
      </c>
      <c r="L235" s="199">
        <f t="shared" ca="1" si="82"/>
        <v>1.0530962617097481</v>
      </c>
      <c r="M235" s="206">
        <f t="shared" si="84"/>
        <v>0.54733968</v>
      </c>
      <c r="N235" s="206">
        <f t="shared" si="85"/>
        <v>0.54733968</v>
      </c>
      <c r="O235" s="206">
        <f>INDEX('[4]TS BYDem'!$O$10:$O$203,MATCH(D235,'[4]TS BYDem'!$D$10:$D$203,0))</f>
        <v>0.54733968</v>
      </c>
      <c r="P235" s="199">
        <f t="shared" ca="1" si="82"/>
        <v>0.55210782483250187</v>
      </c>
      <c r="Q235" s="199">
        <f t="shared" ca="1" si="82"/>
        <v>0.55195611113328591</v>
      </c>
      <c r="R235" s="199">
        <f t="shared" ca="1" si="82"/>
        <v>0.49900803010691386</v>
      </c>
      <c r="S235" s="199">
        <f t="shared" ca="1" si="82"/>
        <v>0.52144902502820389</v>
      </c>
      <c r="T235" s="199">
        <f t="shared" ca="1" si="82"/>
        <v>0.54139424574765382</v>
      </c>
      <c r="U235" s="199">
        <f t="shared" ca="1" si="82"/>
        <v>0.56255589422921926</v>
      </c>
      <c r="V235" s="199">
        <f t="shared" ca="1" si="82"/>
        <v>0.58665374765391842</v>
      </c>
      <c r="W235" s="199">
        <f t="shared" ca="1" si="82"/>
        <v>0.61266013429161303</v>
      </c>
      <c r="X235" s="199">
        <f t="shared" ca="1" si="82"/>
        <v>0.64147688851770257</v>
      </c>
      <c r="Y235" s="199">
        <f t="shared" ca="1" si="82"/>
        <v>0.67226509463412065</v>
      </c>
      <c r="Z235" s="199">
        <f t="shared" ca="1" si="82"/>
        <v>0.70550712916723757</v>
      </c>
      <c r="AA235" s="199">
        <f t="shared" ca="1" si="83"/>
        <v>0.74313249822255179</v>
      </c>
      <c r="AB235" s="199">
        <f t="shared" ca="1" si="83"/>
        <v>0.78258250892100689</v>
      </c>
      <c r="AC235" s="199">
        <f t="shared" ca="1" si="83"/>
        <v>0.8231231100268116</v>
      </c>
      <c r="AD235" s="199">
        <f t="shared" ca="1" si="83"/>
        <v>0.86599170219457489</v>
      </c>
      <c r="AE235" s="199">
        <f t="shared" ca="1" si="83"/>
        <v>0.91085271914507526</v>
      </c>
      <c r="AF235" s="199">
        <f t="shared" ca="1" si="83"/>
        <v>0.95871285971595233</v>
      </c>
      <c r="AG235" s="199">
        <f t="shared" ca="1" si="83"/>
        <v>1.0063213255773142</v>
      </c>
      <c r="AH235" s="199">
        <f t="shared" ca="1" si="83"/>
        <v>1.0561109722534623</v>
      </c>
      <c r="AI235" s="199">
        <f t="shared" ca="1" si="83"/>
        <v>1.1120666493100402</v>
      </c>
      <c r="AJ235" s="199">
        <f t="shared" ca="1" si="83"/>
        <v>1.1708956126322634</v>
      </c>
      <c r="AK235" s="199">
        <f t="shared" ca="1" si="83"/>
        <v>1.2327656453597331</v>
      </c>
      <c r="AL235" s="199">
        <f t="shared" ca="1" si="83"/>
        <v>1.2969426962566706</v>
      </c>
      <c r="AM235" s="199">
        <f t="shared" ca="1" si="83"/>
        <v>1.6771392905900506</v>
      </c>
      <c r="AN235" s="199">
        <f t="shared" ca="1" si="83"/>
        <v>2.1561811270399542</v>
      </c>
      <c r="AO235" s="199">
        <f t="shared" ca="1" si="83"/>
        <v>2.9989453508037989</v>
      </c>
      <c r="AP235" s="199">
        <f t="shared" ca="1" si="83"/>
        <v>3.8581837815870728</v>
      </c>
    </row>
    <row r="236" spans="1:42">
      <c r="A236" s="61" t="str">
        <f>'[4]TS BYDem'!A175</f>
        <v/>
      </c>
      <c r="B236" s="199" t="s">
        <v>288</v>
      </c>
      <c r="C236" s="199" t="s">
        <v>137</v>
      </c>
      <c r="D236" s="199" t="str">
        <f>'[4]TS BYDem'!D175</f>
        <v>IOTC</v>
      </c>
      <c r="E236" s="199" t="s">
        <v>137</v>
      </c>
      <c r="F236" s="199" t="s">
        <v>137</v>
      </c>
      <c r="G236" s="199" t="s">
        <v>137</v>
      </c>
      <c r="H236" s="199" t="s">
        <v>137</v>
      </c>
      <c r="I236" s="199">
        <v>0</v>
      </c>
      <c r="J236" s="199">
        <f>INDEX('[4]TS BYDem'!$J$10:$J$203,MATCH(D236,'[4]TS BYDem'!$D$10:$D$203,0))</f>
        <v>4.2868722274366169</v>
      </c>
      <c r="K236" s="199">
        <f t="shared" ca="1" si="82"/>
        <v>4.3984583283036507</v>
      </c>
      <c r="L236" s="199">
        <f t="shared" ca="1" si="82"/>
        <v>4.4716355102751804</v>
      </c>
      <c r="M236" s="206">
        <f t="shared" si="84"/>
        <v>2.3241024000000006</v>
      </c>
      <c r="N236" s="206">
        <f t="shared" si="85"/>
        <v>2.3241024000000006</v>
      </c>
      <c r="O236" s="206">
        <f>INDEX('[4]TS BYDem'!$O$10:$O$203,MATCH(D236,'[4]TS BYDem'!$D$10:$D$203,0))</f>
        <v>2.3241024000000006</v>
      </c>
      <c r="P236" s="199">
        <f t="shared" ca="1" si="82"/>
        <v>2.3443487977191744</v>
      </c>
      <c r="Q236" s="199">
        <f t="shared" ca="1" si="82"/>
        <v>2.3437045941553825</v>
      </c>
      <c r="R236" s="199">
        <f t="shared" ca="1" si="82"/>
        <v>2.1188775503920181</v>
      </c>
      <c r="S236" s="199">
        <f t="shared" ca="1" si="82"/>
        <v>2.2141660377075332</v>
      </c>
      <c r="T236" s="199">
        <f t="shared" ca="1" si="82"/>
        <v>2.298857020357655</v>
      </c>
      <c r="U236" s="199">
        <f t="shared" ca="1" si="82"/>
        <v>2.3887131733483584</v>
      </c>
      <c r="V236" s="199">
        <f t="shared" ca="1" si="82"/>
        <v>2.4910369788857016</v>
      </c>
      <c r="W236" s="199">
        <f t="shared" ca="1" si="82"/>
        <v>2.6014647585781843</v>
      </c>
      <c r="X236" s="199">
        <f t="shared" ca="1" si="82"/>
        <v>2.723825862850882</v>
      </c>
      <c r="Y236" s="199">
        <f t="shared" ca="1" si="82"/>
        <v>2.8545581052617774</v>
      </c>
      <c r="Z236" s="199">
        <f t="shared" ca="1" si="82"/>
        <v>2.9957097430149546</v>
      </c>
      <c r="AA236" s="199">
        <f t="shared" ca="1" si="83"/>
        <v>3.1554738049268214</v>
      </c>
      <c r="AB236" s="199">
        <f t="shared" ca="1" si="83"/>
        <v>3.3229856223494232</v>
      </c>
      <c r="AC236" s="199">
        <f t="shared" ca="1" si="83"/>
        <v>3.4951282821460663</v>
      </c>
      <c r="AD236" s="199">
        <f t="shared" ca="1" si="83"/>
        <v>3.6771560093185598</v>
      </c>
      <c r="AE236" s="199">
        <f t="shared" ca="1" si="83"/>
        <v>3.8676439292901188</v>
      </c>
      <c r="AF236" s="199">
        <f t="shared" ca="1" si="83"/>
        <v>4.0708666657909935</v>
      </c>
      <c r="AG236" s="199">
        <f t="shared" ca="1" si="83"/>
        <v>4.2730207463588581</v>
      </c>
      <c r="AH236" s="199">
        <f t="shared" ca="1" si="83"/>
        <v>4.4844365116751748</v>
      </c>
      <c r="AI236" s="199">
        <f t="shared" ca="1" si="83"/>
        <v>4.7220343473387931</v>
      </c>
      <c r="AJ236" s="199">
        <f t="shared" ca="1" si="83"/>
        <v>4.971832671565334</v>
      </c>
      <c r="AK236" s="199">
        <f t="shared" ca="1" si="83"/>
        <v>5.2345439216431489</v>
      </c>
      <c r="AL236" s="199">
        <f t="shared" ca="1" si="83"/>
        <v>5.5070511844355972</v>
      </c>
      <c r="AM236" s="199">
        <f t="shared" ca="1" si="83"/>
        <v>7.1214340798288847</v>
      </c>
      <c r="AN236" s="199">
        <f t="shared" ca="1" si="83"/>
        <v>9.1555315927181908</v>
      </c>
      <c r="AO236" s="199">
        <f t="shared" ca="1" si="83"/>
        <v>12.734059564751369</v>
      </c>
      <c r="AP236" s="199">
        <f t="shared" ca="1" si="83"/>
        <v>16.382539973033921</v>
      </c>
    </row>
    <row r="237" spans="1:42">
      <c r="A237" s="61" t="str">
        <f>'[4]TS BYDem'!A176</f>
        <v/>
      </c>
      <c r="B237" s="199" t="s">
        <v>288</v>
      </c>
      <c r="C237" s="199" t="s">
        <v>137</v>
      </c>
      <c r="D237" s="199" t="str">
        <f>'[4]TS BYDem'!D176</f>
        <v>IOTH</v>
      </c>
      <c r="E237" s="199" t="s">
        <v>137</v>
      </c>
      <c r="F237" s="199" t="s">
        <v>137</v>
      </c>
      <c r="G237" s="199" t="s">
        <v>137</v>
      </c>
      <c r="H237" s="199" t="s">
        <v>137</v>
      </c>
      <c r="I237" s="199">
        <v>0</v>
      </c>
      <c r="J237" s="199">
        <f>INDEX('[4]TS BYDem'!$J$10:$J$203,MATCH(D237,'[4]TS BYDem'!$D$10:$D$203,0))</f>
        <v>3.1863804172999206</v>
      </c>
      <c r="K237" s="199">
        <f t="shared" ca="1" si="82"/>
        <v>3.269321020094182</v>
      </c>
      <c r="L237" s="199">
        <f t="shared" ca="1" si="82"/>
        <v>3.3237127367716583</v>
      </c>
      <c r="M237" s="206">
        <f t="shared" si="84"/>
        <v>1.7274772800000002</v>
      </c>
      <c r="N237" s="206">
        <f t="shared" si="85"/>
        <v>1.7274772800000002</v>
      </c>
      <c r="O237" s="206">
        <f>INDEX('[4]TS BYDem'!$O$10:$O$203,MATCH(D237,'[4]TS BYDem'!$D$10:$D$203,0))</f>
        <v>1.7274772800000002</v>
      </c>
      <c r="P237" s="199">
        <f t="shared" ca="1" si="82"/>
        <v>1.7425261832074133</v>
      </c>
      <c r="Q237" s="199">
        <f t="shared" ca="1" si="82"/>
        <v>1.7420473544689956</v>
      </c>
      <c r="R237" s="199">
        <f t="shared" ca="1" si="82"/>
        <v>1.5749361247612266</v>
      </c>
      <c r="S237" s="199">
        <f t="shared" ca="1" si="82"/>
        <v>1.6457629079886438</v>
      </c>
      <c r="T237" s="199">
        <f t="shared" ca="1" si="82"/>
        <v>1.7087126938280972</v>
      </c>
      <c r="U237" s="199">
        <f t="shared" ca="1" si="82"/>
        <v>1.7755016884780936</v>
      </c>
      <c r="V237" s="199">
        <f t="shared" ca="1" si="82"/>
        <v>1.8515577388779807</v>
      </c>
      <c r="W237" s="199">
        <f t="shared" ca="1" si="82"/>
        <v>1.9336373755151655</v>
      </c>
      <c r="X237" s="199">
        <f t="shared" ca="1" si="82"/>
        <v>2.0245869083699981</v>
      </c>
      <c r="Y237" s="199">
        <f t="shared" ca="1" si="82"/>
        <v>2.1217586072281351</v>
      </c>
      <c r="Z237" s="199">
        <f t="shared" ca="1" si="82"/>
        <v>2.226674916962768</v>
      </c>
      <c r="AA237" s="199">
        <f t="shared" ca="1" si="83"/>
        <v>2.3454256170667147</v>
      </c>
      <c r="AB237" s="199">
        <f t="shared" ca="1" si="83"/>
        <v>2.4699351303863741</v>
      </c>
      <c r="AC237" s="199">
        <f t="shared" ca="1" si="83"/>
        <v>2.5978866929842486</v>
      </c>
      <c r="AD237" s="199">
        <f t="shared" ca="1" si="83"/>
        <v>2.7331857069263714</v>
      </c>
      <c r="AE237" s="199">
        <f t="shared" ca="1" si="83"/>
        <v>2.8747730801270213</v>
      </c>
      <c r="AF237" s="199">
        <f t="shared" ca="1" si="83"/>
        <v>3.0258260888432837</v>
      </c>
      <c r="AG237" s="199">
        <f t="shared" ca="1" si="83"/>
        <v>3.1760847784949426</v>
      </c>
      <c r="AH237" s="199">
        <f t="shared" ca="1" si="83"/>
        <v>3.3332275667033056</v>
      </c>
      <c r="AI237" s="199">
        <f t="shared" ca="1" si="83"/>
        <v>3.5098311719859621</v>
      </c>
      <c r="AJ237" s="199">
        <f t="shared" ca="1" si="83"/>
        <v>3.6955032532520122</v>
      </c>
      <c r="AK237" s="199">
        <f t="shared" ca="1" si="83"/>
        <v>3.8907733565442864</v>
      </c>
      <c r="AL237" s="199">
        <f t="shared" ca="1" si="83"/>
        <v>4.0933247179253271</v>
      </c>
      <c r="AM237" s="199">
        <f t="shared" ca="1" si="83"/>
        <v>5.2932760509700838</v>
      </c>
      <c r="AN237" s="199">
        <f t="shared" ca="1" si="83"/>
        <v>6.8051961964941281</v>
      </c>
      <c r="AO237" s="199">
        <f t="shared" ca="1" si="83"/>
        <v>9.46507287298299</v>
      </c>
      <c r="AP237" s="199">
        <f t="shared" ca="1" si="83"/>
        <v>12.176944351551761</v>
      </c>
    </row>
    <row r="238" spans="1:42">
      <c r="A238" s="61" t="str">
        <f>'[4]TS BYDem'!A177</f>
        <v/>
      </c>
      <c r="B238" s="199" t="s">
        <v>288</v>
      </c>
      <c r="C238" s="199" t="s">
        <v>137</v>
      </c>
      <c r="D238" s="199" t="str">
        <f>'[4]TS BYDem'!D177</f>
        <v>IOTP</v>
      </c>
      <c r="E238" s="199" t="s">
        <v>137</v>
      </c>
      <c r="F238" s="199" t="s">
        <v>137</v>
      </c>
      <c r="G238" s="199" t="s">
        <v>137</v>
      </c>
      <c r="H238" s="199" t="s">
        <v>137</v>
      </c>
      <c r="I238" s="199">
        <v>0</v>
      </c>
      <c r="J238" s="199">
        <f>INDEX('[4]TS BYDem'!$J$10:$J$203,MATCH(D238,'[4]TS BYDem'!$D$10:$D$203,0))</f>
        <v>4.3369135374845138</v>
      </c>
      <c r="K238" s="199">
        <f t="shared" ca="1" si="82"/>
        <v>4.4498021998402679</v>
      </c>
      <c r="L238" s="199">
        <f t="shared" ca="1" si="82"/>
        <v>4.5238335901616598</v>
      </c>
      <c r="M238" s="206">
        <f t="shared" si="84"/>
        <v>2.3512320000000004</v>
      </c>
      <c r="N238" s="206">
        <f t="shared" si="85"/>
        <v>2.3512320000000004</v>
      </c>
      <c r="O238" s="206">
        <f>INDEX('[4]TS BYDem'!$O$10:$O$203,MATCH(D238,'[4]TS BYDem'!$D$10:$D$203,0))</f>
        <v>2.3512320000000004</v>
      </c>
      <c r="P238" s="199">
        <f t="shared" ca="1" si="82"/>
        <v>2.3717147369921605</v>
      </c>
      <c r="Q238" s="199">
        <f t="shared" ca="1" si="82"/>
        <v>2.3710630135424098</v>
      </c>
      <c r="R238" s="199">
        <f t="shared" ca="1" si="82"/>
        <v>2.1436115295794731</v>
      </c>
      <c r="S238" s="199">
        <f t="shared" ca="1" si="82"/>
        <v>2.2400123338675426</v>
      </c>
      <c r="T238" s="199">
        <f t="shared" ca="1" si="82"/>
        <v>2.3256919272100784</v>
      </c>
      <c r="U238" s="199">
        <f t="shared" ca="1" si="82"/>
        <v>2.416596984710401</v>
      </c>
      <c r="V238" s="199">
        <f t="shared" ca="1" si="82"/>
        <v>2.5201152315575186</v>
      </c>
      <c r="W238" s="199">
        <f t="shared" ca="1" si="82"/>
        <v>2.6318320514798743</v>
      </c>
      <c r="X238" s="199">
        <f t="shared" ca="1" si="82"/>
        <v>2.7556214954911638</v>
      </c>
      <c r="Y238" s="199">
        <f t="shared" ca="1" si="82"/>
        <v>2.8878797952064663</v>
      </c>
      <c r="Z238" s="199">
        <f t="shared" ca="1" si="82"/>
        <v>3.0306791174470344</v>
      </c>
      <c r="AA238" s="199">
        <f t="shared" ca="1" si="83"/>
        <v>3.1923081294979503</v>
      </c>
      <c r="AB238" s="199">
        <f t="shared" ca="1" si="83"/>
        <v>3.3617753377854074</v>
      </c>
      <c r="AC238" s="199">
        <f t="shared" ca="1" si="83"/>
        <v>3.5359274449726725</v>
      </c>
      <c r="AD238" s="199">
        <f t="shared" ca="1" si="83"/>
        <v>3.7200800094273352</v>
      </c>
      <c r="AE238" s="199">
        <f t="shared" ca="1" si="83"/>
        <v>3.9127915237954491</v>
      </c>
      <c r="AF238" s="199">
        <f t="shared" ca="1" si="83"/>
        <v>4.1183865101387465</v>
      </c>
      <c r="AG238" s="199">
        <f t="shared" ca="1" si="83"/>
        <v>4.3229003659661585</v>
      </c>
      <c r="AH238" s="199">
        <f t="shared" ca="1" si="83"/>
        <v>4.5367840195935596</v>
      </c>
      <c r="AI238" s="199">
        <f t="shared" ca="1" si="83"/>
        <v>4.7771553708485817</v>
      </c>
      <c r="AJ238" s="199">
        <f t="shared" ca="1" si="83"/>
        <v>5.0298696288209568</v>
      </c>
      <c r="AK238" s="199">
        <f t="shared" ca="1" si="83"/>
        <v>5.2956475471876168</v>
      </c>
      <c r="AL238" s="199">
        <f t="shared" ca="1" si="83"/>
        <v>5.5713358286118835</v>
      </c>
      <c r="AM238" s="199">
        <f t="shared" ca="1" si="83"/>
        <v>7.2045636605272705</v>
      </c>
      <c r="AN238" s="199">
        <f t="shared" ca="1" si="83"/>
        <v>9.2624055023608083</v>
      </c>
      <c r="AO238" s="199">
        <f t="shared" ca="1" si="83"/>
        <v>12.882706174456628</v>
      </c>
      <c r="AP238" s="199">
        <f t="shared" ca="1" si="83"/>
        <v>16.573775848205511</v>
      </c>
    </row>
    <row r="239" spans="1:42">
      <c r="A239" s="61" t="str">
        <f>'[4]TS BYDem'!A178</f>
        <v/>
      </c>
      <c r="B239" s="199" t="s">
        <v>288</v>
      </c>
      <c r="C239" s="199" t="s">
        <v>137</v>
      </c>
      <c r="D239" s="199" t="str">
        <f>'[4]TS BYDem'!D178</f>
        <v>IOTF</v>
      </c>
      <c r="E239" s="199" t="s">
        <v>137</v>
      </c>
      <c r="F239" s="199" t="s">
        <v>137</v>
      </c>
      <c r="G239" s="199" t="s">
        <v>137</v>
      </c>
      <c r="H239" s="199" t="s">
        <v>137</v>
      </c>
      <c r="I239" s="199">
        <v>0</v>
      </c>
      <c r="J239" s="199">
        <f>INDEX('[4]TS BYDem'!$J$10:$J$203,MATCH(D239,'[4]TS BYDem'!$D$10:$D$203,0))</f>
        <v>1.8465243407674456</v>
      </c>
      <c r="K239" s="199">
        <f t="shared" ca="1" si="82"/>
        <v>1.8945888597012226</v>
      </c>
      <c r="L239" s="199">
        <f t="shared" ca="1" si="82"/>
        <v>1.9261091478111381</v>
      </c>
      <c r="M239" s="206">
        <f t="shared" si="84"/>
        <v>1.0010822400000001</v>
      </c>
      <c r="N239" s="206">
        <f t="shared" si="85"/>
        <v>1.0010822400000001</v>
      </c>
      <c r="O239" s="206">
        <f>INDEX('[4]TS BYDem'!$O$10:$O$203,MATCH(D239,'[4]TS BYDem'!$D$10:$D$203,0))</f>
        <v>1.0010822400000001</v>
      </c>
      <c r="P239" s="199">
        <f t="shared" ca="1" si="82"/>
        <v>1.0098031591732006</v>
      </c>
      <c r="Q239" s="199">
        <f t="shared" ca="1" si="82"/>
        <v>1.009525675381326</v>
      </c>
      <c r="R239" s="199">
        <f t="shared" ca="1" si="82"/>
        <v>0.91268383201710646</v>
      </c>
      <c r="S239" s="199">
        <f t="shared" ca="1" si="82"/>
        <v>0.95372832830437304</v>
      </c>
      <c r="T239" s="199">
        <f t="shared" ca="1" si="82"/>
        <v>0.99020806285444496</v>
      </c>
      <c r="U239" s="199">
        <f t="shared" ca="1" si="82"/>
        <v>1.0289126392593899</v>
      </c>
      <c r="V239" s="199">
        <f t="shared" ca="1" si="82"/>
        <v>1.0729875235900665</v>
      </c>
      <c r="W239" s="199">
        <f t="shared" ca="1" si="82"/>
        <v>1.1205531080723927</v>
      </c>
      <c r="X239" s="199">
        <f t="shared" ca="1" si="82"/>
        <v>1.1732588444264302</v>
      </c>
      <c r="Y239" s="199">
        <f t="shared" ca="1" si="82"/>
        <v>1.229570358959061</v>
      </c>
      <c r="Z239" s="199">
        <f t="shared" ca="1" si="82"/>
        <v>1.2903699165437952</v>
      </c>
      <c r="AA239" s="199">
        <f t="shared" ca="1" si="83"/>
        <v>1.3591865766747044</v>
      </c>
      <c r="AB239" s="199">
        <f t="shared" ca="1" si="83"/>
        <v>1.431340499587864</v>
      </c>
      <c r="AC239" s="199">
        <f t="shared" ca="1" si="83"/>
        <v>1.5054891083018267</v>
      </c>
      <c r="AD239" s="199">
        <f t="shared" ca="1" si="83"/>
        <v>1.5838956040138696</v>
      </c>
      <c r="AE239" s="199">
        <f t="shared" ca="1" si="83"/>
        <v>1.6659462372467551</v>
      </c>
      <c r="AF239" s="199">
        <f t="shared" ca="1" si="83"/>
        <v>1.7534822564321511</v>
      </c>
      <c r="AG239" s="199">
        <f t="shared" ca="1" si="83"/>
        <v>1.8405579635094376</v>
      </c>
      <c r="AH239" s="199">
        <f t="shared" ca="1" si="83"/>
        <v>1.931623042188489</v>
      </c>
      <c r="AI239" s="199">
        <f t="shared" ca="1" si="83"/>
        <v>2.0339657675113005</v>
      </c>
      <c r="AJ239" s="199">
        <f t="shared" ca="1" si="83"/>
        <v>2.1415637227326156</v>
      </c>
      <c r="AK239" s="199">
        <f t="shared" ca="1" si="83"/>
        <v>2.2547237825910362</v>
      </c>
      <c r="AL239" s="199">
        <f t="shared" ca="1" si="83"/>
        <v>2.3721033701051377</v>
      </c>
      <c r="AM239" s="199">
        <f t="shared" ca="1" si="83"/>
        <v>3.0674815277706506</v>
      </c>
      <c r="AN239" s="199">
        <f t="shared" ca="1" si="83"/>
        <v>3.9436472658128534</v>
      </c>
      <c r="AO239" s="199">
        <f t="shared" ca="1" si="83"/>
        <v>5.4850598981244207</v>
      </c>
      <c r="AP239" s="199">
        <f t="shared" ca="1" si="83"/>
        <v>7.0566037938321191</v>
      </c>
    </row>
    <row r="240" spans="1:42">
      <c r="A240" s="61" t="str">
        <f>'[4]TS BYDem'!A179</f>
        <v/>
      </c>
      <c r="B240" s="199" t="s">
        <v>288</v>
      </c>
      <c r="C240" s="199" t="s">
        <v>137</v>
      </c>
      <c r="D240" s="199" t="str">
        <f>'[4]TS BYDem'!D179</f>
        <v>IOTO</v>
      </c>
      <c r="E240" s="199" t="s">
        <v>137</v>
      </c>
      <c r="F240" s="199" t="s">
        <v>137</v>
      </c>
      <c r="G240" s="199" t="s">
        <v>137</v>
      </c>
      <c r="H240" s="199" t="s">
        <v>137</v>
      </c>
      <c r="I240" s="199">
        <v>0</v>
      </c>
      <c r="J240" s="199">
        <f>INDEX('[4]TS BYDem'!$J$10:$J$203,MATCH(D240,'[4]TS BYDem'!$D$10:$D$203,0))</f>
        <v>12.304490923310874</v>
      </c>
      <c r="K240" s="199">
        <f t="shared" ca="1" si="82"/>
        <v>12.624773425900665</v>
      </c>
      <c r="L240" s="199">
        <f t="shared" ca="1" si="82"/>
        <v>12.834811869687117</v>
      </c>
      <c r="M240" s="206">
        <f t="shared" si="84"/>
        <v>6.6708069120000006</v>
      </c>
      <c r="N240" s="206">
        <f t="shared" si="85"/>
        <v>6.6708069120000006</v>
      </c>
      <c r="O240" s="206">
        <f>INDEX('[4]TS BYDem'!$O$10:$O$203,MATCH(D240,'[4]TS BYDem'!$D$10:$D$203,0))</f>
        <v>6.6708069120000006</v>
      </c>
      <c r="P240" s="199">
        <f t="shared" ca="1" si="82"/>
        <v>6.7289195880370656</v>
      </c>
      <c r="Q240" s="199">
        <f t="shared" ca="1" si="82"/>
        <v>6.7270705483449769</v>
      </c>
      <c r="R240" s="199">
        <f t="shared" ca="1" si="82"/>
        <v>6.0817556958061312</v>
      </c>
      <c r="S240" s="199">
        <f t="shared" ca="1" si="82"/>
        <v>6.355259608464352</v>
      </c>
      <c r="T240" s="199">
        <f t="shared" ca="1" si="82"/>
        <v>6.5983457962530245</v>
      </c>
      <c r="U240" s="199">
        <f t="shared" ca="1" si="82"/>
        <v>6.8562574297749004</v>
      </c>
      <c r="V240" s="199">
        <f t="shared" ca="1" si="82"/>
        <v>7.1499546219643033</v>
      </c>
      <c r="W240" s="199">
        <f t="shared" ca="1" si="82"/>
        <v>7.4669124272870917</v>
      </c>
      <c r="X240" s="199">
        <f t="shared" ca="1" si="82"/>
        <v>7.8181221244769672</v>
      </c>
      <c r="Y240" s="199">
        <f t="shared" ca="1" si="82"/>
        <v>8.1933592682000054</v>
      </c>
      <c r="Z240" s="199">
        <f t="shared" ca="1" si="82"/>
        <v>8.5985029145229959</v>
      </c>
      <c r="AA240" s="199">
        <f t="shared" ca="1" si="83"/>
        <v>9.0570692877132988</v>
      </c>
      <c r="AB240" s="199">
        <f t="shared" ca="1" si="83"/>
        <v>9.5378738295030114</v>
      </c>
      <c r="AC240" s="199">
        <f t="shared" ca="1" si="83"/>
        <v>10.031970150225158</v>
      </c>
      <c r="AD240" s="199">
        <f t="shared" ca="1" si="83"/>
        <v>10.554439306746797</v>
      </c>
      <c r="AE240" s="199">
        <f t="shared" ca="1" si="83"/>
        <v>11.101191520934425</v>
      </c>
      <c r="AF240" s="199">
        <f t="shared" ca="1" si="83"/>
        <v>11.684496127188257</v>
      </c>
      <c r="AG240" s="199">
        <f t="shared" ca="1" si="83"/>
        <v>12.264733399840752</v>
      </c>
      <c r="AH240" s="199">
        <f t="shared" ca="1" si="83"/>
        <v>12.871554230359171</v>
      </c>
      <c r="AI240" s="199">
        <f t="shared" ca="1" si="83"/>
        <v>13.553524734077556</v>
      </c>
      <c r="AJ240" s="199">
        <f t="shared" ca="1" si="83"/>
        <v>14.270513963061797</v>
      </c>
      <c r="AK240" s="199">
        <f t="shared" ca="1" si="83"/>
        <v>15.02456680637853</v>
      </c>
      <c r="AL240" s="199">
        <f t="shared" ca="1" si="83"/>
        <v>15.806736874360933</v>
      </c>
      <c r="AM240" s="199">
        <f t="shared" ca="1" si="83"/>
        <v>20.440455499325179</v>
      </c>
      <c r="AN240" s="199">
        <f t="shared" ca="1" si="83"/>
        <v>26.278869395659516</v>
      </c>
      <c r="AO240" s="199">
        <f t="shared" ca="1" si="83"/>
        <v>36.550219371729526</v>
      </c>
      <c r="AP240" s="199">
        <f t="shared" ca="1" si="83"/>
        <v>47.022351893027995</v>
      </c>
    </row>
    <row r="241" spans="1:42">
      <c r="A241" s="61" t="str">
        <f>'[4]TS BYDem'!A180</f>
        <v/>
      </c>
      <c r="B241" s="199" t="s">
        <v>288</v>
      </c>
      <c r="C241" s="199" t="s">
        <v>137</v>
      </c>
      <c r="D241" s="199" t="str">
        <f>'[4]TS BYDem'!D180</f>
        <v>IOTE</v>
      </c>
      <c r="E241" s="199" t="s">
        <v>137</v>
      </c>
      <c r="F241" s="199" t="s">
        <v>137</v>
      </c>
      <c r="G241" s="199" t="s">
        <v>137</v>
      </c>
      <c r="H241" s="199" t="s">
        <v>137</v>
      </c>
      <c r="I241" s="199">
        <v>0</v>
      </c>
      <c r="J241" s="199">
        <f>INDEX('[4]TS BYDem'!$J$10:$J$203,MATCH(D241,'[4]TS BYDem'!$D$10:$D$203,0))</f>
        <v>0.41264064265496897</v>
      </c>
      <c r="K241" s="199">
        <f t="shared" ca="1" si="82"/>
        <v>0.42338156469095606</v>
      </c>
      <c r="L241" s="199">
        <f t="shared" ca="1" si="82"/>
        <v>0.43042536674391985</v>
      </c>
      <c r="M241" s="206">
        <f t="shared" si="84"/>
        <v>0.22371068160000002</v>
      </c>
      <c r="N241" s="206">
        <f t="shared" si="85"/>
        <v>0.22371068160000002</v>
      </c>
      <c r="O241" s="206">
        <f>INDEX('[4]TS BYDem'!$O$10:$O$203,MATCH(D241,'[4]TS BYDem'!$D$10:$D$203,0))</f>
        <v>0.22371068160000002</v>
      </c>
      <c r="P241" s="199">
        <f t="shared" ca="1" si="82"/>
        <v>0.22565953524504639</v>
      </c>
      <c r="Q241" s="199">
        <f t="shared" ca="1" si="82"/>
        <v>0.22559752626543128</v>
      </c>
      <c r="R241" s="199">
        <f t="shared" ca="1" si="82"/>
        <v>0.20395639237975771</v>
      </c>
      <c r="S241" s="199">
        <f t="shared" ca="1" si="82"/>
        <v>0.21312855813544335</v>
      </c>
      <c r="T241" s="199">
        <f t="shared" ca="1" si="82"/>
        <v>0.22128064190508814</v>
      </c>
      <c r="U241" s="199">
        <f t="shared" ca="1" si="82"/>
        <v>0.22992990849140726</v>
      </c>
      <c r="V241" s="199">
        <f t="shared" ca="1" si="82"/>
        <v>0.23977927153180725</v>
      </c>
      <c r="W241" s="199">
        <f t="shared" ca="1" si="82"/>
        <v>0.25040869726734277</v>
      </c>
      <c r="X241" s="199">
        <f t="shared" ca="1" si="82"/>
        <v>0.26218678675177076</v>
      </c>
      <c r="Y241" s="199">
        <f t="shared" ca="1" si="82"/>
        <v>0.27477065528391365</v>
      </c>
      <c r="Z241" s="199">
        <f t="shared" ca="1" si="82"/>
        <v>0.28835746156694125</v>
      </c>
      <c r="AA241" s="199">
        <f t="shared" ca="1" si="83"/>
        <v>0.30373584041353957</v>
      </c>
      <c r="AB241" s="199">
        <f t="shared" ca="1" si="83"/>
        <v>0.31985999348513616</v>
      </c>
      <c r="AC241" s="199">
        <f t="shared" ca="1" si="83"/>
        <v>0.33642989666820761</v>
      </c>
      <c r="AD241" s="199">
        <f t="shared" ca="1" si="83"/>
        <v>0.35395130489697468</v>
      </c>
      <c r="AE241" s="199">
        <f t="shared" ca="1" si="83"/>
        <v>0.37228706429096853</v>
      </c>
      <c r="AF241" s="199">
        <f t="shared" ca="1" si="83"/>
        <v>0.39184863649158574</v>
      </c>
      <c r="AG241" s="199">
        <f t="shared" ca="1" si="83"/>
        <v>0.41130734328181079</v>
      </c>
      <c r="AH241" s="199">
        <f t="shared" ca="1" si="83"/>
        <v>0.43165755029502101</v>
      </c>
      <c r="AI241" s="199">
        <f t="shared" ca="1" si="83"/>
        <v>0.45452795986173927</v>
      </c>
      <c r="AJ241" s="199">
        <f t="shared" ca="1" si="83"/>
        <v>0.47857274952989554</v>
      </c>
      <c r="AK241" s="199">
        <f t="shared" ca="1" si="83"/>
        <v>0.50386049623972029</v>
      </c>
      <c r="AL241" s="199">
        <f t="shared" ca="1" si="83"/>
        <v>0.53009117587769539</v>
      </c>
      <c r="AM241" s="199">
        <f t="shared" ca="1" si="83"/>
        <v>0.68548652243893715</v>
      </c>
      <c r="AN241" s="199">
        <f t="shared" ca="1" si="83"/>
        <v>0.88128225891308365</v>
      </c>
      <c r="AO241" s="199">
        <f t="shared" ca="1" si="83"/>
        <v>1.2257399436296468</v>
      </c>
      <c r="AP241" s="199">
        <f t="shared" ca="1" si="83"/>
        <v>1.5769310266650312</v>
      </c>
    </row>
    <row r="242" spans="1:42">
      <c r="A242" s="61" t="str">
        <f>'[4]TS BYDem'!A181</f>
        <v>*</v>
      </c>
      <c r="B242" s="199" t="s">
        <v>288</v>
      </c>
      <c r="C242" s="199" t="s">
        <v>137</v>
      </c>
      <c r="D242" s="199" t="str">
        <f>'[4]TS BYDem'!D181</f>
        <v xml:space="preserve"> </v>
      </c>
      <c r="E242" s="199" t="s">
        <v>137</v>
      </c>
      <c r="F242" s="199" t="s">
        <v>137</v>
      </c>
      <c r="G242" s="199" t="s">
        <v>137</v>
      </c>
      <c r="H242" s="199" t="s">
        <v>137</v>
      </c>
      <c r="I242" s="199">
        <v>0</v>
      </c>
      <c r="J242" s="199" t="str">
        <f>INDEX('[4]TS BYDem'!$J$10:$J$203,MATCH(D242,'[4]TS BYDem'!$D$10:$D$203,0))</f>
        <v/>
      </c>
      <c r="K242" s="199" t="e">
        <f t="shared" ca="1" si="82"/>
        <v>#VALUE!</v>
      </c>
      <c r="L242" s="199" t="e">
        <f t="shared" ca="1" si="82"/>
        <v>#VALUE!</v>
      </c>
      <c r="M242" s="199" t="e">
        <f t="shared" ca="1" si="82"/>
        <v>#VALUE!</v>
      </c>
      <c r="N242" s="199" t="e">
        <f t="shared" ca="1" si="82"/>
        <v>#VALUE!</v>
      </c>
      <c r="O242" s="199" t="e">
        <f t="shared" ca="1" si="82"/>
        <v>#VALUE!</v>
      </c>
      <c r="P242" s="199" t="e">
        <f t="shared" ca="1" si="82"/>
        <v>#VALUE!</v>
      </c>
      <c r="Q242" s="199" t="e">
        <f t="shared" ca="1" si="82"/>
        <v>#VALUE!</v>
      </c>
      <c r="R242" s="199" t="e">
        <f t="shared" ca="1" si="82"/>
        <v>#VALUE!</v>
      </c>
      <c r="S242" s="199" t="e">
        <f t="shared" ca="1" si="82"/>
        <v>#VALUE!</v>
      </c>
      <c r="T242" s="199" t="e">
        <f t="shared" ca="1" si="82"/>
        <v>#VALUE!</v>
      </c>
      <c r="U242" s="199" t="e">
        <f t="shared" ca="1" si="82"/>
        <v>#VALUE!</v>
      </c>
      <c r="V242" s="199" t="e">
        <f t="shared" ca="1" si="82"/>
        <v>#VALUE!</v>
      </c>
      <c r="W242" s="199" t="e">
        <f t="shared" ca="1" si="82"/>
        <v>#VALUE!</v>
      </c>
      <c r="X242" s="199" t="e">
        <f t="shared" ca="1" si="82"/>
        <v>#VALUE!</v>
      </c>
      <c r="Y242" s="199" t="e">
        <f t="shared" ca="1" si="82"/>
        <v>#VALUE!</v>
      </c>
      <c r="Z242" s="199" t="e">
        <f t="shared" ca="1" si="82"/>
        <v>#VALUE!</v>
      </c>
      <c r="AA242" s="199" t="e">
        <f t="shared" ca="1" si="83"/>
        <v>#VALUE!</v>
      </c>
      <c r="AB242" s="199" t="e">
        <f t="shared" ca="1" si="83"/>
        <v>#VALUE!</v>
      </c>
      <c r="AC242" s="199" t="e">
        <f t="shared" ca="1" si="83"/>
        <v>#VALUE!</v>
      </c>
      <c r="AD242" s="199" t="e">
        <f t="shared" ca="1" si="83"/>
        <v>#VALUE!</v>
      </c>
      <c r="AE242" s="199" t="e">
        <f t="shared" ca="1" si="83"/>
        <v>#VALUE!</v>
      </c>
      <c r="AF242" s="199" t="e">
        <f t="shared" ca="1" si="83"/>
        <v>#VALUE!</v>
      </c>
      <c r="AG242" s="199" t="e">
        <f t="shared" ca="1" si="83"/>
        <v>#VALUE!</v>
      </c>
      <c r="AH242" s="199" t="e">
        <f t="shared" ca="1" si="83"/>
        <v>#VALUE!</v>
      </c>
      <c r="AI242" s="199" t="e">
        <f t="shared" ca="1" si="83"/>
        <v>#VALUE!</v>
      </c>
      <c r="AJ242" s="199" t="e">
        <f t="shared" ca="1" si="83"/>
        <v>#VALUE!</v>
      </c>
      <c r="AK242" s="199" t="e">
        <f t="shared" ca="1" si="83"/>
        <v>#VALUE!</v>
      </c>
      <c r="AL242" s="199" t="e">
        <f t="shared" ca="1" si="83"/>
        <v>#VALUE!</v>
      </c>
      <c r="AM242" s="199" t="e">
        <f t="shared" ca="1" si="83"/>
        <v>#VALUE!</v>
      </c>
      <c r="AN242" s="199" t="e">
        <f t="shared" ca="1" si="83"/>
        <v>#VALUE!</v>
      </c>
      <c r="AO242" s="199" t="e">
        <f t="shared" ca="1" si="83"/>
        <v>#VALUE!</v>
      </c>
      <c r="AP242" s="199" t="e">
        <f t="shared" ca="1" si="83"/>
        <v>#VALUE!</v>
      </c>
    </row>
    <row r="243" spans="1:42">
      <c r="A243" s="61" t="str">
        <f>'[4]TS BYDem'!A182</f>
        <v/>
      </c>
      <c r="B243" s="199" t="s">
        <v>288</v>
      </c>
      <c r="C243" s="199" t="s">
        <v>137</v>
      </c>
      <c r="D243" s="199" t="str">
        <f>'[4]TS BYDem'!D182</f>
        <v>IOTS</v>
      </c>
      <c r="E243" s="199" t="s">
        <v>137</v>
      </c>
      <c r="F243" s="199" t="s">
        <v>137</v>
      </c>
      <c r="G243" s="199" t="s">
        <v>137</v>
      </c>
      <c r="H243" s="199" t="s">
        <v>137</v>
      </c>
      <c r="I243" s="199">
        <v>0</v>
      </c>
      <c r="J243" s="199">
        <f>INDEX('[4]TS BYDem'!$J$10:$J$203,MATCH(D243,'[4]TS BYDem'!$D$10:$D$203,0))</f>
        <v>73.690487252999532</v>
      </c>
      <c r="K243" s="199">
        <f t="shared" ca="1" si="82"/>
        <v>75.608630296994804</v>
      </c>
      <c r="L243" s="199">
        <f t="shared" ca="1" si="82"/>
        <v>76.866531608065117</v>
      </c>
      <c r="M243" s="206">
        <f t="shared" ref="M243" si="86">O243</f>
        <v>61.561340800000004</v>
      </c>
      <c r="N243" s="206">
        <f t="shared" ref="N243" si="87">O243</f>
        <v>61.561340800000004</v>
      </c>
      <c r="O243" s="206">
        <f>INDEX('[4]TS BYDem'!$O$10:$O$203,MATCH(D243,'[4]TS BYDem'!$D$10:$D$203,0))</f>
        <v>61.561340800000004</v>
      </c>
      <c r="P243" s="199">
        <f t="shared" ca="1" si="82"/>
        <v>62.097631881650443</v>
      </c>
      <c r="Q243" s="199">
        <f t="shared" ca="1" si="82"/>
        <v>62.080568074507021</v>
      </c>
      <c r="R243" s="199">
        <f t="shared" ca="1" si="82"/>
        <v>56.125299381452457</v>
      </c>
      <c r="S243" s="199">
        <f t="shared" ca="1" si="82"/>
        <v>58.649322007110818</v>
      </c>
      <c r="T243" s="199">
        <f t="shared" ca="1" si="82"/>
        <v>60.892635574366302</v>
      </c>
      <c r="U243" s="199">
        <f t="shared" ca="1" si="82"/>
        <v>63.272765321333402</v>
      </c>
      <c r="V243" s="199">
        <f t="shared" ca="1" si="82"/>
        <v>65.983141019339357</v>
      </c>
      <c r="W243" s="199">
        <f t="shared" ca="1" si="82"/>
        <v>68.908176585515889</v>
      </c>
      <c r="X243" s="199">
        <f t="shared" ca="1" si="82"/>
        <v>72.149304704825894</v>
      </c>
      <c r="Y243" s="199">
        <f t="shared" ca="1" si="82"/>
        <v>75.612169391255094</v>
      </c>
      <c r="Z243" s="199">
        <f t="shared" ca="1" si="82"/>
        <v>79.351025336759676</v>
      </c>
      <c r="AA243" s="199">
        <f t="shared" ca="1" si="83"/>
        <v>83.582891309166371</v>
      </c>
      <c r="AB243" s="199">
        <f t="shared" ca="1" si="83"/>
        <v>88.019981551136851</v>
      </c>
      <c r="AC243" s="199">
        <f t="shared" ca="1" si="83"/>
        <v>92.579734574910503</v>
      </c>
      <c r="AD243" s="199">
        <f t="shared" ca="1" si="83"/>
        <v>97.401325459853993</v>
      </c>
      <c r="AE243" s="199">
        <f t="shared" ca="1" si="83"/>
        <v>102.44701181156219</v>
      </c>
      <c r="AF243" s="199">
        <f t="shared" ca="1" si="83"/>
        <v>107.83002081324771</v>
      </c>
      <c r="AG243" s="199">
        <f t="shared" ca="1" si="83"/>
        <v>113.18472301911824</v>
      </c>
      <c r="AH243" s="199">
        <f t="shared" ca="1" si="83"/>
        <v>118.78475078860488</v>
      </c>
      <c r="AI243" s="199">
        <f t="shared" ca="1" si="83"/>
        <v>125.07829505525613</v>
      </c>
      <c r="AJ243" s="199">
        <f t="shared" ca="1" si="83"/>
        <v>131.69500857398018</v>
      </c>
      <c r="AK243" s="199">
        <f t="shared" ca="1" si="83"/>
        <v>138.65376254197847</v>
      </c>
      <c r="AL243" s="199">
        <f t="shared" ca="1" si="83"/>
        <v>145.87199547149186</v>
      </c>
      <c r="AM243" s="199">
        <f t="shared" ca="1" si="83"/>
        <v>188.63412832975013</v>
      </c>
      <c r="AN243" s="199">
        <f t="shared" ca="1" si="83"/>
        <v>242.5137552392232</v>
      </c>
      <c r="AO243" s="199">
        <f t="shared" ca="1" si="83"/>
        <v>337.30259933175</v>
      </c>
      <c r="AP243" s="199">
        <f t="shared" ca="1" si="83"/>
        <v>433.94435909948027</v>
      </c>
    </row>
    <row r="244" spans="1:42">
      <c r="A244" s="61" t="str">
        <f>'[4]TS BYDem'!A183</f>
        <v>*</v>
      </c>
      <c r="B244" s="199" t="s">
        <v>288</v>
      </c>
      <c r="C244" s="199" t="s">
        <v>137</v>
      </c>
      <c r="D244" s="199" t="str">
        <f>'[4]TS BYDem'!D183</f>
        <v>IOTS</v>
      </c>
      <c r="E244" s="199" t="s">
        <v>137</v>
      </c>
      <c r="F244" s="199" t="s">
        <v>137</v>
      </c>
      <c r="G244" s="199" t="s">
        <v>137</v>
      </c>
      <c r="H244" s="199" t="s">
        <v>137</v>
      </c>
      <c r="I244" s="199">
        <v>0</v>
      </c>
      <c r="J244" s="199">
        <f>INDEX('[4]TS BYDem'!$J$10:$J$203,MATCH(D244,'[4]TS BYDem'!$D$10:$D$203,0))</f>
        <v>73.690487252999532</v>
      </c>
      <c r="K244" s="199">
        <f t="shared" ca="1" si="82"/>
        <v>75.608630296994804</v>
      </c>
      <c r="L244" s="199">
        <f t="shared" ca="1" si="82"/>
        <v>76.866531608065117</v>
      </c>
      <c r="M244" s="199">
        <f t="shared" ca="1" si="82"/>
        <v>77.748939990457714</v>
      </c>
      <c r="N244" s="199">
        <f t="shared" ca="1" si="82"/>
        <v>78.56250800259275</v>
      </c>
      <c r="O244" s="199">
        <f t="shared" ca="1" si="82"/>
        <v>79.022486840222939</v>
      </c>
      <c r="P244" s="199">
        <f t="shared" ca="1" si="82"/>
        <v>79.710890542798751</v>
      </c>
      <c r="Q244" s="199">
        <f t="shared" ca="1" si="82"/>
        <v>79.688986788625883</v>
      </c>
      <c r="R244" s="199">
        <f t="shared" ca="1" si="82"/>
        <v>72.044576582295619</v>
      </c>
      <c r="S244" s="199">
        <f t="shared" ca="1" si="82"/>
        <v>75.284508366245859</v>
      </c>
      <c r="T244" s="199">
        <f t="shared" ca="1" si="82"/>
        <v>78.164111288197489</v>
      </c>
      <c r="U244" s="199">
        <f t="shared" ca="1" si="82"/>
        <v>81.21933668068489</v>
      </c>
      <c r="V244" s="199">
        <f t="shared" ca="1" si="82"/>
        <v>84.698478381375978</v>
      </c>
      <c r="W244" s="199">
        <f t="shared" ca="1" si="82"/>
        <v>88.453165682393447</v>
      </c>
      <c r="X244" s="199">
        <f t="shared" ca="1" si="82"/>
        <v>92.613601449829673</v>
      </c>
      <c r="Y244" s="199">
        <f t="shared" ca="1" si="82"/>
        <v>97.058666738479516</v>
      </c>
      <c r="Z244" s="199">
        <f t="shared" ca="1" si="82"/>
        <v>101.85800494183336</v>
      </c>
      <c r="AA244" s="199">
        <f t="shared" ca="1" si="83"/>
        <v>107.29018963385514</v>
      </c>
      <c r="AB244" s="199">
        <f t="shared" ca="1" si="83"/>
        <v>112.98580803167589</v>
      </c>
      <c r="AC244" s="199">
        <f t="shared" ca="1" si="83"/>
        <v>118.83888105824356</v>
      </c>
      <c r="AD244" s="199">
        <f t="shared" ca="1" si="83"/>
        <v>125.02805915773007</v>
      </c>
      <c r="AE244" s="199">
        <f t="shared" ca="1" si="83"/>
        <v>131.50489475205413</v>
      </c>
      <c r="AF244" s="199">
        <f t="shared" ca="1" si="83"/>
        <v>138.41473057545608</v>
      </c>
      <c r="AG244" s="199">
        <f t="shared" ca="1" si="83"/>
        <v>145.28823071528274</v>
      </c>
      <c r="AH244" s="199">
        <f t="shared" ca="1" si="83"/>
        <v>152.47664011261577</v>
      </c>
      <c r="AI244" s="199">
        <f t="shared" ca="1" si="83"/>
        <v>160.55527375715474</v>
      </c>
      <c r="AJ244" s="199">
        <f t="shared" ca="1" si="83"/>
        <v>169.04873978898772</v>
      </c>
      <c r="AK244" s="199">
        <f t="shared" ca="1" si="83"/>
        <v>177.98126199715401</v>
      </c>
      <c r="AL244" s="199">
        <f t="shared" ca="1" si="83"/>
        <v>187.24686130460339</v>
      </c>
      <c r="AM244" s="199">
        <f t="shared" ca="1" si="83"/>
        <v>242.13796726718789</v>
      </c>
      <c r="AN244" s="199">
        <f t="shared" ca="1" si="83"/>
        <v>311.29991294738915</v>
      </c>
      <c r="AO244" s="199">
        <f t="shared" ca="1" si="83"/>
        <v>432.97449130390277</v>
      </c>
      <c r="AP244" s="199">
        <f t="shared" ca="1" si="83"/>
        <v>557.02754294668716</v>
      </c>
    </row>
    <row r="245" spans="1:42">
      <c r="A245" s="61" t="str">
        <f>'[4]TS BYDem'!A184</f>
        <v>*</v>
      </c>
      <c r="B245" s="199" t="s">
        <v>288</v>
      </c>
      <c r="C245" s="199" t="s">
        <v>137</v>
      </c>
      <c r="D245" s="199" t="str">
        <f>'[4]TS BYDem'!D184</f>
        <v>IOTS</v>
      </c>
      <c r="E245" s="199" t="s">
        <v>137</v>
      </c>
      <c r="F245" s="199" t="s">
        <v>137</v>
      </c>
      <c r="G245" s="199" t="s">
        <v>137</v>
      </c>
      <c r="H245" s="199" t="s">
        <v>137</v>
      </c>
      <c r="I245" s="199">
        <v>0</v>
      </c>
      <c r="J245" s="199">
        <f>INDEX('[4]TS BYDem'!$J$10:$J$203,MATCH(D245,'[4]TS BYDem'!$D$10:$D$203,0))</f>
        <v>73.690487252999532</v>
      </c>
      <c r="K245" s="199">
        <f t="shared" ca="1" si="82"/>
        <v>75.608630296994804</v>
      </c>
      <c r="L245" s="199">
        <f t="shared" ca="1" si="82"/>
        <v>76.866531608065117</v>
      </c>
      <c r="M245" s="199">
        <f t="shared" ca="1" si="82"/>
        <v>77.748939990457714</v>
      </c>
      <c r="N245" s="199">
        <f t="shared" ca="1" si="82"/>
        <v>78.56250800259275</v>
      </c>
      <c r="O245" s="199">
        <f t="shared" ca="1" si="82"/>
        <v>79.022486840222939</v>
      </c>
      <c r="P245" s="199">
        <f t="shared" ca="1" si="82"/>
        <v>79.710890542798751</v>
      </c>
      <c r="Q245" s="199">
        <f t="shared" ca="1" si="82"/>
        <v>79.688986788625883</v>
      </c>
      <c r="R245" s="199">
        <f t="shared" ca="1" si="82"/>
        <v>72.044576582295619</v>
      </c>
      <c r="S245" s="199">
        <f t="shared" ca="1" si="82"/>
        <v>75.284508366245859</v>
      </c>
      <c r="T245" s="199">
        <f t="shared" ca="1" si="82"/>
        <v>78.164111288197489</v>
      </c>
      <c r="U245" s="199">
        <f t="shared" ca="1" si="82"/>
        <v>81.21933668068489</v>
      </c>
      <c r="V245" s="199">
        <f t="shared" ca="1" si="82"/>
        <v>84.698478381375978</v>
      </c>
      <c r="W245" s="199">
        <f t="shared" ca="1" si="82"/>
        <v>88.453165682393447</v>
      </c>
      <c r="X245" s="199">
        <f t="shared" ca="1" si="82"/>
        <v>92.613601449829673</v>
      </c>
      <c r="Y245" s="199">
        <f t="shared" ca="1" si="82"/>
        <v>97.058666738479516</v>
      </c>
      <c r="Z245" s="199">
        <f t="shared" ca="1" si="82"/>
        <v>101.85800494183336</v>
      </c>
      <c r="AA245" s="199">
        <f t="shared" ca="1" si="83"/>
        <v>107.29018963385514</v>
      </c>
      <c r="AB245" s="199">
        <f t="shared" ca="1" si="83"/>
        <v>112.98580803167589</v>
      </c>
      <c r="AC245" s="199">
        <f t="shared" ca="1" si="83"/>
        <v>118.83888105824356</v>
      </c>
      <c r="AD245" s="199">
        <f t="shared" ca="1" si="83"/>
        <v>125.02805915773007</v>
      </c>
      <c r="AE245" s="199">
        <f t="shared" ca="1" si="83"/>
        <v>131.50489475205413</v>
      </c>
      <c r="AF245" s="199">
        <f t="shared" ca="1" si="83"/>
        <v>138.41473057545608</v>
      </c>
      <c r="AG245" s="199">
        <f t="shared" ca="1" si="83"/>
        <v>145.28823071528274</v>
      </c>
      <c r="AH245" s="199">
        <f t="shared" ca="1" si="83"/>
        <v>152.47664011261577</v>
      </c>
      <c r="AI245" s="199">
        <f t="shared" ca="1" si="83"/>
        <v>160.55527375715474</v>
      </c>
      <c r="AJ245" s="199">
        <f t="shared" ca="1" si="83"/>
        <v>169.04873978898772</v>
      </c>
      <c r="AK245" s="199">
        <f t="shared" ca="1" si="83"/>
        <v>177.98126199715401</v>
      </c>
      <c r="AL245" s="199">
        <f t="shared" ca="1" si="83"/>
        <v>187.24686130460339</v>
      </c>
      <c r="AM245" s="199">
        <f t="shared" ca="1" si="83"/>
        <v>242.13796726718789</v>
      </c>
      <c r="AN245" s="199">
        <f t="shared" ca="1" si="83"/>
        <v>311.29991294738915</v>
      </c>
      <c r="AO245" s="199">
        <f t="shared" ca="1" si="83"/>
        <v>432.97449130390277</v>
      </c>
      <c r="AP245" s="199">
        <f t="shared" ca="1" si="83"/>
        <v>557.02754294668716</v>
      </c>
    </row>
    <row r="246" spans="1:42">
      <c r="A246" s="61" t="str">
        <f>'[4]TS BYDem'!A185</f>
        <v>*</v>
      </c>
      <c r="B246" s="199" t="s">
        <v>288</v>
      </c>
      <c r="C246" s="199" t="s">
        <v>137</v>
      </c>
      <c r="D246" s="199" t="str">
        <f>'[4]TS BYDem'!D185</f>
        <v>IOTS</v>
      </c>
      <c r="E246" s="199" t="s">
        <v>137</v>
      </c>
      <c r="F246" s="199" t="s">
        <v>137</v>
      </c>
      <c r="G246" s="199" t="s">
        <v>137</v>
      </c>
      <c r="H246" s="199" t="s">
        <v>137</v>
      </c>
      <c r="I246" s="199">
        <v>0</v>
      </c>
      <c r="J246" s="199">
        <f>INDEX('[4]TS BYDem'!$J$10:$J$203,MATCH(D246,'[4]TS BYDem'!$D$10:$D$203,0))</f>
        <v>73.690487252999532</v>
      </c>
      <c r="K246" s="199">
        <f t="shared" ca="1" si="82"/>
        <v>75.608630296994804</v>
      </c>
      <c r="L246" s="199">
        <f t="shared" ca="1" si="82"/>
        <v>76.866531608065117</v>
      </c>
      <c r="M246" s="199">
        <f t="shared" ca="1" si="82"/>
        <v>77.748939990457714</v>
      </c>
      <c r="N246" s="199">
        <f t="shared" ca="1" si="82"/>
        <v>78.56250800259275</v>
      </c>
      <c r="O246" s="199">
        <f t="shared" ca="1" si="82"/>
        <v>79.022486840222939</v>
      </c>
      <c r="P246" s="199">
        <f t="shared" ca="1" si="82"/>
        <v>79.710890542798751</v>
      </c>
      <c r="Q246" s="199">
        <f t="shared" ca="1" si="82"/>
        <v>79.688986788625883</v>
      </c>
      <c r="R246" s="199">
        <f t="shared" ca="1" si="82"/>
        <v>72.044576582295619</v>
      </c>
      <c r="S246" s="199">
        <f t="shared" ca="1" si="82"/>
        <v>75.284508366245859</v>
      </c>
      <c r="T246" s="199">
        <f t="shared" ca="1" si="82"/>
        <v>78.164111288197489</v>
      </c>
      <c r="U246" s="199">
        <f t="shared" ca="1" si="82"/>
        <v>81.21933668068489</v>
      </c>
      <c r="V246" s="199">
        <f t="shared" ca="1" si="82"/>
        <v>84.698478381375978</v>
      </c>
      <c r="W246" s="199">
        <f t="shared" ca="1" si="82"/>
        <v>88.453165682393447</v>
      </c>
      <c r="X246" s="199">
        <f t="shared" ca="1" si="82"/>
        <v>92.613601449829673</v>
      </c>
      <c r="Y246" s="199">
        <f t="shared" ca="1" si="82"/>
        <v>97.058666738479516</v>
      </c>
      <c r="Z246" s="199">
        <f t="shared" ca="1" si="82"/>
        <v>101.85800494183336</v>
      </c>
      <c r="AA246" s="199">
        <f t="shared" ca="1" si="83"/>
        <v>107.29018963385514</v>
      </c>
      <c r="AB246" s="199">
        <f t="shared" ca="1" si="83"/>
        <v>112.98580803167589</v>
      </c>
      <c r="AC246" s="199">
        <f t="shared" ca="1" si="83"/>
        <v>118.83888105824356</v>
      </c>
      <c r="AD246" s="199">
        <f t="shared" ca="1" si="83"/>
        <v>125.02805915773007</v>
      </c>
      <c r="AE246" s="199">
        <f t="shared" ca="1" si="83"/>
        <v>131.50489475205413</v>
      </c>
      <c r="AF246" s="199">
        <f t="shared" ca="1" si="83"/>
        <v>138.41473057545608</v>
      </c>
      <c r="AG246" s="199">
        <f t="shared" ca="1" si="83"/>
        <v>145.28823071528274</v>
      </c>
      <c r="AH246" s="199">
        <f t="shared" ca="1" si="83"/>
        <v>152.47664011261577</v>
      </c>
      <c r="AI246" s="199">
        <f t="shared" ca="1" si="83"/>
        <v>160.55527375715474</v>
      </c>
      <c r="AJ246" s="199">
        <f t="shared" ca="1" si="83"/>
        <v>169.04873978898772</v>
      </c>
      <c r="AK246" s="199">
        <f t="shared" ca="1" si="83"/>
        <v>177.98126199715401</v>
      </c>
      <c r="AL246" s="199">
        <f t="shared" ca="1" si="83"/>
        <v>187.24686130460339</v>
      </c>
      <c r="AM246" s="199">
        <f t="shared" ca="1" si="83"/>
        <v>242.13796726718789</v>
      </c>
      <c r="AN246" s="199">
        <f t="shared" ca="1" si="83"/>
        <v>311.29991294738915</v>
      </c>
      <c r="AO246" s="199">
        <f t="shared" ca="1" si="83"/>
        <v>432.97449130390277</v>
      </c>
      <c r="AP246" s="199">
        <f t="shared" ref="L246:AP253" ca="1" si="88">AP$230/AO$230*AO246</f>
        <v>557.02754294668716</v>
      </c>
    </row>
    <row r="247" spans="1:42">
      <c r="A247" s="61" t="str">
        <f>'[4]TS BYDem'!A186</f>
        <v>*</v>
      </c>
      <c r="B247" s="199" t="s">
        <v>288</v>
      </c>
      <c r="C247" s="199" t="s">
        <v>137</v>
      </c>
      <c r="D247" s="199" t="str">
        <f>'[4]TS BYDem'!D186</f>
        <v>IOTS</v>
      </c>
      <c r="E247" s="199" t="s">
        <v>137</v>
      </c>
      <c r="F247" s="199" t="s">
        <v>137</v>
      </c>
      <c r="G247" s="199" t="s">
        <v>137</v>
      </c>
      <c r="H247" s="199" t="s">
        <v>137</v>
      </c>
      <c r="I247" s="199">
        <v>0</v>
      </c>
      <c r="J247" s="199">
        <f>INDEX('[4]TS BYDem'!$J$10:$J$203,MATCH(D247,'[4]TS BYDem'!$D$10:$D$203,0))</f>
        <v>73.690487252999532</v>
      </c>
      <c r="K247" s="199">
        <f t="shared" ca="1" si="82"/>
        <v>75.608630296994804</v>
      </c>
      <c r="L247" s="199">
        <f t="shared" ca="1" si="88"/>
        <v>76.866531608065117</v>
      </c>
      <c r="M247" s="199">
        <f t="shared" ca="1" si="88"/>
        <v>77.748939990457714</v>
      </c>
      <c r="N247" s="199">
        <f t="shared" ca="1" si="88"/>
        <v>78.56250800259275</v>
      </c>
      <c r="O247" s="199">
        <f t="shared" ca="1" si="88"/>
        <v>79.022486840222939</v>
      </c>
      <c r="P247" s="199">
        <f t="shared" ca="1" si="88"/>
        <v>79.710890542798751</v>
      </c>
      <c r="Q247" s="199">
        <f t="shared" ca="1" si="88"/>
        <v>79.688986788625883</v>
      </c>
      <c r="R247" s="199">
        <f t="shared" ca="1" si="88"/>
        <v>72.044576582295619</v>
      </c>
      <c r="S247" s="199">
        <f t="shared" ca="1" si="88"/>
        <v>75.284508366245859</v>
      </c>
      <c r="T247" s="199">
        <f t="shared" ca="1" si="88"/>
        <v>78.164111288197489</v>
      </c>
      <c r="U247" s="199">
        <f t="shared" ca="1" si="88"/>
        <v>81.21933668068489</v>
      </c>
      <c r="V247" s="199">
        <f t="shared" ca="1" si="88"/>
        <v>84.698478381375978</v>
      </c>
      <c r="W247" s="199">
        <f t="shared" ca="1" si="88"/>
        <v>88.453165682393447</v>
      </c>
      <c r="X247" s="199">
        <f t="shared" ca="1" si="88"/>
        <v>92.613601449829673</v>
      </c>
      <c r="Y247" s="199">
        <f t="shared" ca="1" si="88"/>
        <v>97.058666738479516</v>
      </c>
      <c r="Z247" s="199">
        <f t="shared" ca="1" si="88"/>
        <v>101.85800494183336</v>
      </c>
      <c r="AA247" s="199">
        <f t="shared" ca="1" si="88"/>
        <v>107.29018963385514</v>
      </c>
      <c r="AB247" s="199">
        <f t="shared" ca="1" si="88"/>
        <v>112.98580803167589</v>
      </c>
      <c r="AC247" s="199">
        <f t="shared" ca="1" si="88"/>
        <v>118.83888105824356</v>
      </c>
      <c r="AD247" s="199">
        <f t="shared" ca="1" si="88"/>
        <v>125.02805915773007</v>
      </c>
      <c r="AE247" s="199">
        <f t="shared" ca="1" si="88"/>
        <v>131.50489475205413</v>
      </c>
      <c r="AF247" s="199">
        <f t="shared" ca="1" si="88"/>
        <v>138.41473057545608</v>
      </c>
      <c r="AG247" s="199">
        <f t="shared" ca="1" si="88"/>
        <v>145.28823071528274</v>
      </c>
      <c r="AH247" s="199">
        <f t="shared" ca="1" si="88"/>
        <v>152.47664011261577</v>
      </c>
      <c r="AI247" s="199">
        <f t="shared" ca="1" si="88"/>
        <v>160.55527375715474</v>
      </c>
      <c r="AJ247" s="199">
        <f t="shared" ca="1" si="88"/>
        <v>169.04873978898772</v>
      </c>
      <c r="AK247" s="199">
        <f t="shared" ca="1" si="88"/>
        <v>177.98126199715401</v>
      </c>
      <c r="AL247" s="199">
        <f t="shared" ca="1" si="88"/>
        <v>187.24686130460339</v>
      </c>
      <c r="AM247" s="199">
        <f t="shared" ca="1" si="88"/>
        <v>242.13796726718789</v>
      </c>
      <c r="AN247" s="199">
        <f t="shared" ca="1" si="88"/>
        <v>311.29991294738915</v>
      </c>
      <c r="AO247" s="199">
        <f t="shared" ca="1" si="88"/>
        <v>432.97449130390277</v>
      </c>
      <c r="AP247" s="199">
        <f t="shared" ca="1" si="88"/>
        <v>557.02754294668716</v>
      </c>
    </row>
    <row r="248" spans="1:42">
      <c r="A248" s="61" t="str">
        <f>'[4]TS BYDem'!A187</f>
        <v>*</v>
      </c>
      <c r="B248" s="199" t="s">
        <v>288</v>
      </c>
      <c r="C248" s="199" t="s">
        <v>137</v>
      </c>
      <c r="D248" s="199" t="str">
        <f>'[4]TS BYDem'!D187</f>
        <v>IOTS</v>
      </c>
      <c r="E248" s="199" t="s">
        <v>137</v>
      </c>
      <c r="F248" s="199" t="s">
        <v>137</v>
      </c>
      <c r="G248" s="199" t="s">
        <v>137</v>
      </c>
      <c r="H248" s="199" t="s">
        <v>137</v>
      </c>
      <c r="I248" s="199">
        <v>0</v>
      </c>
      <c r="J248" s="199">
        <f>INDEX('[4]TS BYDem'!$J$10:$J$203,MATCH(D248,'[4]TS BYDem'!$D$10:$D$203,0))</f>
        <v>73.690487252999532</v>
      </c>
      <c r="K248" s="199">
        <f t="shared" ca="1" si="82"/>
        <v>75.608630296994804</v>
      </c>
      <c r="L248" s="199">
        <f t="shared" ca="1" si="88"/>
        <v>76.866531608065117</v>
      </c>
      <c r="M248" s="199">
        <f t="shared" ca="1" si="88"/>
        <v>77.748939990457714</v>
      </c>
      <c r="N248" s="199">
        <f t="shared" ca="1" si="88"/>
        <v>78.56250800259275</v>
      </c>
      <c r="O248" s="199">
        <f t="shared" ca="1" si="88"/>
        <v>79.022486840222939</v>
      </c>
      <c r="P248" s="199">
        <f t="shared" ca="1" si="88"/>
        <v>79.710890542798751</v>
      </c>
      <c r="Q248" s="199">
        <f t="shared" ca="1" si="88"/>
        <v>79.688986788625883</v>
      </c>
      <c r="R248" s="199">
        <f t="shared" ca="1" si="88"/>
        <v>72.044576582295619</v>
      </c>
      <c r="S248" s="199">
        <f t="shared" ca="1" si="88"/>
        <v>75.284508366245859</v>
      </c>
      <c r="T248" s="199">
        <f t="shared" ca="1" si="88"/>
        <v>78.164111288197489</v>
      </c>
      <c r="U248" s="199">
        <f t="shared" ca="1" si="88"/>
        <v>81.21933668068489</v>
      </c>
      <c r="V248" s="199">
        <f t="shared" ca="1" si="88"/>
        <v>84.698478381375978</v>
      </c>
      <c r="W248" s="199">
        <f t="shared" ca="1" si="88"/>
        <v>88.453165682393447</v>
      </c>
      <c r="X248" s="199">
        <f t="shared" ca="1" si="88"/>
        <v>92.613601449829673</v>
      </c>
      <c r="Y248" s="199">
        <f t="shared" ca="1" si="88"/>
        <v>97.058666738479516</v>
      </c>
      <c r="Z248" s="199">
        <f t="shared" ca="1" si="88"/>
        <v>101.85800494183336</v>
      </c>
      <c r="AA248" s="199">
        <f t="shared" ca="1" si="88"/>
        <v>107.29018963385514</v>
      </c>
      <c r="AB248" s="199">
        <f t="shared" ca="1" si="88"/>
        <v>112.98580803167589</v>
      </c>
      <c r="AC248" s="199">
        <f t="shared" ca="1" si="88"/>
        <v>118.83888105824356</v>
      </c>
      <c r="AD248" s="199">
        <f t="shared" ca="1" si="88"/>
        <v>125.02805915773007</v>
      </c>
      <c r="AE248" s="199">
        <f t="shared" ca="1" si="88"/>
        <v>131.50489475205413</v>
      </c>
      <c r="AF248" s="199">
        <f t="shared" ca="1" si="88"/>
        <v>138.41473057545608</v>
      </c>
      <c r="AG248" s="199">
        <f t="shared" ca="1" si="88"/>
        <v>145.28823071528274</v>
      </c>
      <c r="AH248" s="199">
        <f t="shared" ca="1" si="88"/>
        <v>152.47664011261577</v>
      </c>
      <c r="AI248" s="199">
        <f t="shared" ca="1" si="88"/>
        <v>160.55527375715474</v>
      </c>
      <c r="AJ248" s="199">
        <f t="shared" ca="1" si="88"/>
        <v>169.04873978898772</v>
      </c>
      <c r="AK248" s="199">
        <f t="shared" ca="1" si="88"/>
        <v>177.98126199715401</v>
      </c>
      <c r="AL248" s="199">
        <f t="shared" ca="1" si="88"/>
        <v>187.24686130460339</v>
      </c>
      <c r="AM248" s="199">
        <f t="shared" ca="1" si="88"/>
        <v>242.13796726718789</v>
      </c>
      <c r="AN248" s="199">
        <f t="shared" ca="1" si="88"/>
        <v>311.29991294738915</v>
      </c>
      <c r="AO248" s="199">
        <f t="shared" ca="1" si="88"/>
        <v>432.97449130390277</v>
      </c>
      <c r="AP248" s="199">
        <f t="shared" ca="1" si="88"/>
        <v>557.02754294668716</v>
      </c>
    </row>
    <row r="249" spans="1:42">
      <c r="A249" s="61" t="str">
        <f>'[4]TS BYDem'!A184</f>
        <v>*</v>
      </c>
      <c r="B249" s="199" t="s">
        <v>288</v>
      </c>
      <c r="C249" s="199" t="s">
        <v>137</v>
      </c>
      <c r="D249" s="199" t="str">
        <f>'[4]TS BYDem'!D184</f>
        <v>IOTS</v>
      </c>
      <c r="E249" s="199" t="s">
        <v>137</v>
      </c>
      <c r="F249" s="199" t="s">
        <v>137</v>
      </c>
      <c r="G249" s="199" t="s">
        <v>137</v>
      </c>
      <c r="H249" s="199" t="s">
        <v>137</v>
      </c>
      <c r="I249" s="199">
        <v>0</v>
      </c>
      <c r="J249" s="199">
        <f>INDEX('[4]TS BYDem'!$J$10:$J$203,MATCH(D249,'[4]TS BYDem'!$D$10:$D$203,0))</f>
        <v>73.690487252999532</v>
      </c>
      <c r="K249" s="199">
        <f t="shared" ca="1" si="82"/>
        <v>75.608630296994804</v>
      </c>
      <c r="L249" s="199">
        <f t="shared" ca="1" si="88"/>
        <v>76.866531608065117</v>
      </c>
      <c r="M249" s="199">
        <f t="shared" ca="1" si="88"/>
        <v>77.748939990457714</v>
      </c>
      <c r="N249" s="199">
        <f t="shared" ca="1" si="88"/>
        <v>78.56250800259275</v>
      </c>
      <c r="O249" s="199">
        <f t="shared" ca="1" si="88"/>
        <v>79.022486840222939</v>
      </c>
      <c r="P249" s="199">
        <f t="shared" ca="1" si="88"/>
        <v>79.710890542798751</v>
      </c>
      <c r="Q249" s="199">
        <f t="shared" ca="1" si="88"/>
        <v>79.688986788625883</v>
      </c>
      <c r="R249" s="199">
        <f t="shared" ca="1" si="88"/>
        <v>72.044576582295619</v>
      </c>
      <c r="S249" s="199">
        <f t="shared" ca="1" si="88"/>
        <v>75.284508366245859</v>
      </c>
      <c r="T249" s="199">
        <f t="shared" ca="1" si="88"/>
        <v>78.164111288197489</v>
      </c>
      <c r="U249" s="199">
        <f t="shared" ca="1" si="88"/>
        <v>81.21933668068489</v>
      </c>
      <c r="V249" s="199">
        <f t="shared" ca="1" si="88"/>
        <v>84.698478381375978</v>
      </c>
      <c r="W249" s="199">
        <f t="shared" ca="1" si="88"/>
        <v>88.453165682393447</v>
      </c>
      <c r="X249" s="199">
        <f t="shared" ca="1" si="88"/>
        <v>92.613601449829673</v>
      </c>
      <c r="Y249" s="199">
        <f t="shared" ca="1" si="88"/>
        <v>97.058666738479516</v>
      </c>
      <c r="Z249" s="199">
        <f t="shared" ca="1" si="88"/>
        <v>101.85800494183336</v>
      </c>
      <c r="AA249" s="199">
        <f t="shared" ca="1" si="88"/>
        <v>107.29018963385514</v>
      </c>
      <c r="AB249" s="199">
        <f t="shared" ca="1" si="88"/>
        <v>112.98580803167589</v>
      </c>
      <c r="AC249" s="199">
        <f t="shared" ca="1" si="88"/>
        <v>118.83888105824356</v>
      </c>
      <c r="AD249" s="199">
        <f t="shared" ca="1" si="88"/>
        <v>125.02805915773007</v>
      </c>
      <c r="AE249" s="199">
        <f t="shared" ca="1" si="88"/>
        <v>131.50489475205413</v>
      </c>
      <c r="AF249" s="199">
        <f t="shared" ca="1" si="88"/>
        <v>138.41473057545608</v>
      </c>
      <c r="AG249" s="199">
        <f t="shared" ca="1" si="88"/>
        <v>145.28823071528274</v>
      </c>
      <c r="AH249" s="199">
        <f t="shared" ca="1" si="88"/>
        <v>152.47664011261577</v>
      </c>
      <c r="AI249" s="199">
        <f t="shared" ca="1" si="88"/>
        <v>160.55527375715474</v>
      </c>
      <c r="AJ249" s="199">
        <f t="shared" ca="1" si="88"/>
        <v>169.04873978898772</v>
      </c>
      <c r="AK249" s="199">
        <f t="shared" ca="1" si="88"/>
        <v>177.98126199715401</v>
      </c>
      <c r="AL249" s="199">
        <f t="shared" ca="1" si="88"/>
        <v>187.24686130460339</v>
      </c>
      <c r="AM249" s="199">
        <f t="shared" ca="1" si="88"/>
        <v>242.13796726718789</v>
      </c>
      <c r="AN249" s="199">
        <f t="shared" ca="1" si="88"/>
        <v>311.29991294738915</v>
      </c>
      <c r="AO249" s="199">
        <f t="shared" ca="1" si="88"/>
        <v>432.97449130390277</v>
      </c>
      <c r="AP249" s="199">
        <f t="shared" ca="1" si="88"/>
        <v>557.02754294668716</v>
      </c>
    </row>
    <row r="250" spans="1:42">
      <c r="A250" s="61" t="str">
        <f>'[4]TS BYDem'!A185</f>
        <v>*</v>
      </c>
      <c r="B250" s="199" t="s">
        <v>288</v>
      </c>
      <c r="C250" s="199" t="s">
        <v>137</v>
      </c>
      <c r="D250" s="199" t="str">
        <f>'[4]TS BYDem'!D185</f>
        <v>IOTS</v>
      </c>
      <c r="E250" s="199" t="s">
        <v>137</v>
      </c>
      <c r="F250" s="199" t="s">
        <v>137</v>
      </c>
      <c r="G250" s="199" t="s">
        <v>137</v>
      </c>
      <c r="H250" s="199" t="s">
        <v>137</v>
      </c>
      <c r="I250" s="199">
        <v>0</v>
      </c>
      <c r="J250" s="199">
        <f>INDEX('[4]TS BYDem'!$J$10:$J$203,MATCH(D250,'[4]TS BYDem'!$D$10:$D$203,0))</f>
        <v>73.690487252999532</v>
      </c>
      <c r="K250" s="199">
        <f t="shared" ca="1" si="82"/>
        <v>75.608630296994804</v>
      </c>
      <c r="L250" s="199">
        <f t="shared" ca="1" si="88"/>
        <v>76.866531608065117</v>
      </c>
      <c r="M250" s="199">
        <f t="shared" ca="1" si="88"/>
        <v>77.748939990457714</v>
      </c>
      <c r="N250" s="199">
        <f t="shared" ca="1" si="88"/>
        <v>78.56250800259275</v>
      </c>
      <c r="O250" s="199">
        <f t="shared" ca="1" si="88"/>
        <v>79.022486840222939</v>
      </c>
      <c r="P250" s="199">
        <f t="shared" ca="1" si="88"/>
        <v>79.710890542798751</v>
      </c>
      <c r="Q250" s="199">
        <f t="shared" ca="1" si="88"/>
        <v>79.688986788625883</v>
      </c>
      <c r="R250" s="199">
        <f t="shared" ca="1" si="88"/>
        <v>72.044576582295619</v>
      </c>
      <c r="S250" s="199">
        <f t="shared" ca="1" si="88"/>
        <v>75.284508366245859</v>
      </c>
      <c r="T250" s="199">
        <f t="shared" ca="1" si="88"/>
        <v>78.164111288197489</v>
      </c>
      <c r="U250" s="199">
        <f t="shared" ca="1" si="88"/>
        <v>81.21933668068489</v>
      </c>
      <c r="V250" s="199">
        <f t="shared" ca="1" si="88"/>
        <v>84.698478381375978</v>
      </c>
      <c r="W250" s="199">
        <f t="shared" ca="1" si="88"/>
        <v>88.453165682393447</v>
      </c>
      <c r="X250" s="199">
        <f t="shared" ca="1" si="88"/>
        <v>92.613601449829673</v>
      </c>
      <c r="Y250" s="199">
        <f t="shared" ca="1" si="88"/>
        <v>97.058666738479516</v>
      </c>
      <c r="Z250" s="199">
        <f t="shared" ca="1" si="88"/>
        <v>101.85800494183336</v>
      </c>
      <c r="AA250" s="199">
        <f t="shared" ca="1" si="88"/>
        <v>107.29018963385514</v>
      </c>
      <c r="AB250" s="199">
        <f t="shared" ca="1" si="88"/>
        <v>112.98580803167589</v>
      </c>
      <c r="AC250" s="199">
        <f t="shared" ca="1" si="88"/>
        <v>118.83888105824356</v>
      </c>
      <c r="AD250" s="199">
        <f t="shared" ca="1" si="88"/>
        <v>125.02805915773007</v>
      </c>
      <c r="AE250" s="199">
        <f t="shared" ca="1" si="88"/>
        <v>131.50489475205413</v>
      </c>
      <c r="AF250" s="199">
        <f t="shared" ca="1" si="88"/>
        <v>138.41473057545608</v>
      </c>
      <c r="AG250" s="199">
        <f t="shared" ca="1" si="88"/>
        <v>145.28823071528274</v>
      </c>
      <c r="AH250" s="199">
        <f t="shared" ca="1" si="88"/>
        <v>152.47664011261577</v>
      </c>
      <c r="AI250" s="199">
        <f t="shared" ca="1" si="88"/>
        <v>160.55527375715474</v>
      </c>
      <c r="AJ250" s="199">
        <f t="shared" ca="1" si="88"/>
        <v>169.04873978898772</v>
      </c>
      <c r="AK250" s="199">
        <f t="shared" ca="1" si="88"/>
        <v>177.98126199715401</v>
      </c>
      <c r="AL250" s="199">
        <f t="shared" ca="1" si="88"/>
        <v>187.24686130460339</v>
      </c>
      <c r="AM250" s="199">
        <f t="shared" ca="1" si="88"/>
        <v>242.13796726718789</v>
      </c>
      <c r="AN250" s="199">
        <f t="shared" ca="1" si="88"/>
        <v>311.29991294738915</v>
      </c>
      <c r="AO250" s="199">
        <f t="shared" ca="1" si="88"/>
        <v>432.97449130390277</v>
      </c>
      <c r="AP250" s="199">
        <f t="shared" ca="1" si="88"/>
        <v>557.02754294668716</v>
      </c>
    </row>
    <row r="251" spans="1:42">
      <c r="A251" s="61" t="str">
        <f>'[4]TS BYDem'!A186</f>
        <v>*</v>
      </c>
      <c r="B251" s="199" t="s">
        <v>288</v>
      </c>
      <c r="C251" s="199" t="s">
        <v>137</v>
      </c>
      <c r="D251" s="199" t="str">
        <f>'[4]TS BYDem'!D186</f>
        <v>IOTS</v>
      </c>
      <c r="E251" s="199" t="s">
        <v>137</v>
      </c>
      <c r="F251" s="199" t="s">
        <v>137</v>
      </c>
      <c r="G251" s="199" t="s">
        <v>137</v>
      </c>
      <c r="H251" s="199" t="s">
        <v>137</v>
      </c>
      <c r="I251" s="199">
        <v>0</v>
      </c>
      <c r="J251" s="199">
        <f>INDEX('[4]TS BYDem'!$J$10:$J$203,MATCH(D251,'[4]TS BYDem'!$D$10:$D$203,0))</f>
        <v>73.690487252999532</v>
      </c>
      <c r="K251" s="199">
        <f t="shared" ca="1" si="82"/>
        <v>75.608630296994804</v>
      </c>
      <c r="L251" s="199">
        <f t="shared" ca="1" si="88"/>
        <v>76.866531608065117</v>
      </c>
      <c r="M251" s="199">
        <f t="shared" ca="1" si="88"/>
        <v>77.748939990457714</v>
      </c>
      <c r="N251" s="199">
        <f t="shared" ca="1" si="88"/>
        <v>78.56250800259275</v>
      </c>
      <c r="O251" s="199">
        <f t="shared" ca="1" si="88"/>
        <v>79.022486840222939</v>
      </c>
      <c r="P251" s="199">
        <f t="shared" ca="1" si="88"/>
        <v>79.710890542798751</v>
      </c>
      <c r="Q251" s="199">
        <f t="shared" ca="1" si="88"/>
        <v>79.688986788625883</v>
      </c>
      <c r="R251" s="199">
        <f t="shared" ca="1" si="88"/>
        <v>72.044576582295619</v>
      </c>
      <c r="S251" s="199">
        <f t="shared" ca="1" si="88"/>
        <v>75.284508366245859</v>
      </c>
      <c r="T251" s="199">
        <f t="shared" ca="1" si="88"/>
        <v>78.164111288197489</v>
      </c>
      <c r="U251" s="199">
        <f t="shared" ca="1" si="88"/>
        <v>81.21933668068489</v>
      </c>
      <c r="V251" s="199">
        <f t="shared" ca="1" si="88"/>
        <v>84.698478381375978</v>
      </c>
      <c r="W251" s="199">
        <f t="shared" ca="1" si="88"/>
        <v>88.453165682393447</v>
      </c>
      <c r="X251" s="199">
        <f t="shared" ca="1" si="88"/>
        <v>92.613601449829673</v>
      </c>
      <c r="Y251" s="199">
        <f t="shared" ca="1" si="88"/>
        <v>97.058666738479516</v>
      </c>
      <c r="Z251" s="199">
        <f t="shared" ca="1" si="88"/>
        <v>101.85800494183336</v>
      </c>
      <c r="AA251" s="199">
        <f t="shared" ca="1" si="88"/>
        <v>107.29018963385514</v>
      </c>
      <c r="AB251" s="199">
        <f t="shared" ca="1" si="88"/>
        <v>112.98580803167589</v>
      </c>
      <c r="AC251" s="199">
        <f t="shared" ca="1" si="88"/>
        <v>118.83888105824356</v>
      </c>
      <c r="AD251" s="199">
        <f t="shared" ca="1" si="88"/>
        <v>125.02805915773007</v>
      </c>
      <c r="AE251" s="199">
        <f t="shared" ca="1" si="88"/>
        <v>131.50489475205413</v>
      </c>
      <c r="AF251" s="199">
        <f t="shared" ca="1" si="88"/>
        <v>138.41473057545608</v>
      </c>
      <c r="AG251" s="199">
        <f t="shared" ca="1" si="88"/>
        <v>145.28823071528274</v>
      </c>
      <c r="AH251" s="199">
        <f t="shared" ca="1" si="88"/>
        <v>152.47664011261577</v>
      </c>
      <c r="AI251" s="199">
        <f t="shared" ca="1" si="88"/>
        <v>160.55527375715474</v>
      </c>
      <c r="AJ251" s="199">
        <f t="shared" ca="1" si="88"/>
        <v>169.04873978898772</v>
      </c>
      <c r="AK251" s="199">
        <f t="shared" ca="1" si="88"/>
        <v>177.98126199715401</v>
      </c>
      <c r="AL251" s="199">
        <f t="shared" ca="1" si="88"/>
        <v>187.24686130460339</v>
      </c>
      <c r="AM251" s="199">
        <f t="shared" ca="1" si="88"/>
        <v>242.13796726718789</v>
      </c>
      <c r="AN251" s="199">
        <f t="shared" ca="1" si="88"/>
        <v>311.29991294738915</v>
      </c>
      <c r="AO251" s="199">
        <f t="shared" ca="1" si="88"/>
        <v>432.97449130390277</v>
      </c>
      <c r="AP251" s="199">
        <f t="shared" ca="1" si="88"/>
        <v>557.02754294668716</v>
      </c>
    </row>
    <row r="252" spans="1:42">
      <c r="A252" s="61" t="str">
        <f>'[4]TS BYDem'!A187</f>
        <v>*</v>
      </c>
      <c r="B252" s="199" t="s">
        <v>288</v>
      </c>
      <c r="C252" s="199" t="s">
        <v>137</v>
      </c>
      <c r="D252" s="199" t="str">
        <f>'[4]TS BYDem'!D187</f>
        <v>IOTS</v>
      </c>
      <c r="E252" s="199" t="s">
        <v>137</v>
      </c>
      <c r="F252" s="199" t="s">
        <v>137</v>
      </c>
      <c r="G252" s="199" t="s">
        <v>137</v>
      </c>
      <c r="H252" s="199" t="s">
        <v>137</v>
      </c>
      <c r="I252" s="199">
        <v>0</v>
      </c>
      <c r="J252" s="199">
        <f>INDEX('[4]TS BYDem'!$J$10:$J$203,MATCH(D252,'[4]TS BYDem'!$D$10:$D$203,0))</f>
        <v>73.690487252999532</v>
      </c>
      <c r="K252" s="199">
        <f t="shared" ca="1" si="82"/>
        <v>75.608630296994804</v>
      </c>
      <c r="L252" s="199">
        <f t="shared" ca="1" si="88"/>
        <v>76.866531608065117</v>
      </c>
      <c r="M252" s="199">
        <f t="shared" ca="1" si="88"/>
        <v>77.748939990457714</v>
      </c>
      <c r="N252" s="199">
        <f t="shared" ca="1" si="88"/>
        <v>78.56250800259275</v>
      </c>
      <c r="O252" s="199">
        <f t="shared" ca="1" si="88"/>
        <v>79.022486840222939</v>
      </c>
      <c r="P252" s="199">
        <f t="shared" ca="1" si="88"/>
        <v>79.710890542798751</v>
      </c>
      <c r="Q252" s="199">
        <f t="shared" ca="1" si="88"/>
        <v>79.688986788625883</v>
      </c>
      <c r="R252" s="199">
        <f t="shared" ca="1" si="88"/>
        <v>72.044576582295619</v>
      </c>
      <c r="S252" s="199">
        <f t="shared" ca="1" si="88"/>
        <v>75.284508366245859</v>
      </c>
      <c r="T252" s="199">
        <f t="shared" ca="1" si="88"/>
        <v>78.164111288197489</v>
      </c>
      <c r="U252" s="199">
        <f t="shared" ca="1" si="88"/>
        <v>81.21933668068489</v>
      </c>
      <c r="V252" s="199">
        <f t="shared" ca="1" si="88"/>
        <v>84.698478381375978</v>
      </c>
      <c r="W252" s="199">
        <f t="shared" ca="1" si="88"/>
        <v>88.453165682393447</v>
      </c>
      <c r="X252" s="199">
        <f t="shared" ca="1" si="88"/>
        <v>92.613601449829673</v>
      </c>
      <c r="Y252" s="199">
        <f t="shared" ca="1" si="88"/>
        <v>97.058666738479516</v>
      </c>
      <c r="Z252" s="199">
        <f t="shared" ca="1" si="88"/>
        <v>101.85800494183336</v>
      </c>
      <c r="AA252" s="199">
        <f t="shared" ca="1" si="88"/>
        <v>107.29018963385514</v>
      </c>
      <c r="AB252" s="199">
        <f t="shared" ca="1" si="88"/>
        <v>112.98580803167589</v>
      </c>
      <c r="AC252" s="199">
        <f t="shared" ca="1" si="88"/>
        <v>118.83888105824356</v>
      </c>
      <c r="AD252" s="199">
        <f t="shared" ca="1" si="88"/>
        <v>125.02805915773007</v>
      </c>
      <c r="AE252" s="199">
        <f t="shared" ca="1" si="88"/>
        <v>131.50489475205413</v>
      </c>
      <c r="AF252" s="199">
        <f t="shared" ca="1" si="88"/>
        <v>138.41473057545608</v>
      </c>
      <c r="AG252" s="199">
        <f t="shared" ca="1" si="88"/>
        <v>145.28823071528274</v>
      </c>
      <c r="AH252" s="199">
        <f t="shared" ca="1" si="88"/>
        <v>152.47664011261577</v>
      </c>
      <c r="AI252" s="199">
        <f t="shared" ca="1" si="88"/>
        <v>160.55527375715474</v>
      </c>
      <c r="AJ252" s="199">
        <f t="shared" ca="1" si="88"/>
        <v>169.04873978898772</v>
      </c>
      <c r="AK252" s="199">
        <f t="shared" ca="1" si="88"/>
        <v>177.98126199715401</v>
      </c>
      <c r="AL252" s="199">
        <f t="shared" ca="1" si="88"/>
        <v>187.24686130460339</v>
      </c>
      <c r="AM252" s="199">
        <f t="shared" ca="1" si="88"/>
        <v>242.13796726718789</v>
      </c>
      <c r="AN252" s="199">
        <f t="shared" ca="1" si="88"/>
        <v>311.29991294738915</v>
      </c>
      <c r="AO252" s="199">
        <f t="shared" ca="1" si="88"/>
        <v>432.97449130390277</v>
      </c>
      <c r="AP252" s="199">
        <f t="shared" ca="1" si="88"/>
        <v>557.02754294668716</v>
      </c>
    </row>
    <row r="253" spans="1:42">
      <c r="A253" s="61" t="str">
        <f>'[4]TS BYDem'!A188</f>
        <v/>
      </c>
      <c r="B253" s="199" t="s">
        <v>288</v>
      </c>
      <c r="C253" s="199" t="s">
        <v>137</v>
      </c>
      <c r="D253" s="199" t="str">
        <f>'[4]TS BYDem'!D188</f>
        <v>IOTR</v>
      </c>
      <c r="E253" s="199" t="s">
        <v>137</v>
      </c>
      <c r="F253" s="199" t="s">
        <v>137</v>
      </c>
      <c r="G253" s="199" t="s">
        <v>137</v>
      </c>
      <c r="H253" s="199" t="s">
        <v>137</v>
      </c>
      <c r="I253" s="199">
        <v>0</v>
      </c>
      <c r="J253" s="199">
        <f>INDEX('[4]TS BYDem'!$J$10:$J$203,MATCH(D253,'[4]TS BYDem'!$D$10:$D$203,0))</f>
        <v>9.4685659246785185</v>
      </c>
      <c r="K253" s="199">
        <f t="shared" ca="1" si="82"/>
        <v>9.7150300822932927</v>
      </c>
      <c r="L253" s="199">
        <f t="shared" ca="1" si="88"/>
        <v>9.8766591057209254</v>
      </c>
      <c r="M253" s="206">
        <f t="shared" ref="M253" si="89">O253</f>
        <v>37.630000000000003</v>
      </c>
      <c r="N253" s="206">
        <f t="shared" ref="N253" si="90">O253</f>
        <v>37.630000000000003</v>
      </c>
      <c r="O253" s="206">
        <f>INDEX('[4]TS BYDem'!$O$10:$O$203,MATCH(D253,'[4]TS BYDem'!$D$10:$D$203,0))</f>
        <v>37.630000000000003</v>
      </c>
      <c r="P253" s="199">
        <f t="shared" ca="1" si="88"/>
        <v>37.957813415696535</v>
      </c>
      <c r="Q253" s="199">
        <f t="shared" ca="1" si="88"/>
        <v>37.947382988833461</v>
      </c>
      <c r="R253" s="199">
        <f t="shared" ca="1" si="88"/>
        <v>34.307164013621616</v>
      </c>
      <c r="S253" s="199">
        <f t="shared" ca="1" si="88"/>
        <v>35.849998691509661</v>
      </c>
      <c r="T253" s="199">
        <f t="shared" ca="1" si="88"/>
        <v>37.221247082769906</v>
      </c>
      <c r="U253" s="199">
        <f t="shared" ca="1" si="88"/>
        <v>38.676125764982949</v>
      </c>
      <c r="V253" s="199">
        <f t="shared" ca="1" si="88"/>
        <v>40.33287066674383</v>
      </c>
      <c r="W253" s="199">
        <f t="shared" ca="1" si="88"/>
        <v>42.120828611207948</v>
      </c>
      <c r="X253" s="199">
        <f t="shared" ca="1" si="88"/>
        <v>44.102001365808434</v>
      </c>
      <c r="Y253" s="199">
        <f t="shared" ca="1" si="88"/>
        <v>46.218712867815398</v>
      </c>
      <c r="Z253" s="199">
        <f t="shared" ca="1" si="88"/>
        <v>48.504126853297301</v>
      </c>
      <c r="AA253" s="199">
        <f t="shared" ca="1" si="88"/>
        <v>51.090898266529159</v>
      </c>
      <c r="AB253" s="199">
        <f t="shared" ca="1" si="88"/>
        <v>53.803115116187982</v>
      </c>
      <c r="AC253" s="199">
        <f t="shared" ca="1" si="88"/>
        <v>56.590310847386263</v>
      </c>
      <c r="AD253" s="199">
        <f t="shared" ca="1" si="88"/>
        <v>59.537557652647912</v>
      </c>
      <c r="AE253" s="199">
        <f t="shared" ca="1" si="88"/>
        <v>62.621785106881326</v>
      </c>
      <c r="AF253" s="199">
        <f t="shared" ca="1" si="88"/>
        <v>65.912204485359624</v>
      </c>
      <c r="AG253" s="199">
        <f t="shared" ca="1" si="88"/>
        <v>69.185321045012401</v>
      </c>
      <c r="AH253" s="199">
        <f t="shared" ca="1" si="88"/>
        <v>72.608395367750063</v>
      </c>
      <c r="AI253" s="199">
        <f t="shared" ca="1" si="88"/>
        <v>76.455388751527806</v>
      </c>
      <c r="AJ253" s="199">
        <f t="shared" ca="1" si="88"/>
        <v>80.499922650139467</v>
      </c>
      <c r="AK253" s="199">
        <f t="shared" ca="1" si="88"/>
        <v>84.753532276130201</v>
      </c>
      <c r="AL253" s="199">
        <f t="shared" ca="1" si="88"/>
        <v>89.165751074613368</v>
      </c>
      <c r="AM253" s="199">
        <f t="shared" ca="1" si="88"/>
        <v>115.30454270171612</v>
      </c>
      <c r="AN253" s="199">
        <f t="shared" ca="1" si="88"/>
        <v>148.23901641940799</v>
      </c>
      <c r="AO253" s="199">
        <f t="shared" ca="1" si="88"/>
        <v>206.17966808243648</v>
      </c>
      <c r="AP253" s="199">
        <f t="shared" ca="1" si="88"/>
        <v>265.25293342723046</v>
      </c>
    </row>
    <row r="254" spans="1:42">
      <c r="A254" s="61" t="str">
        <f>'[4]TS BYDem'!A189</f>
        <v>*</v>
      </c>
      <c r="B254" s="199" t="s">
        <v>288</v>
      </c>
      <c r="C254" s="199" t="s">
        <v>137</v>
      </c>
      <c r="D254" s="199">
        <f>'[4]TS BYDem'!D189</f>
        <v>0</v>
      </c>
      <c r="E254" s="199" t="s">
        <v>137</v>
      </c>
      <c r="F254" s="199" t="s">
        <v>137</v>
      </c>
      <c r="G254" s="199" t="s">
        <v>137</v>
      </c>
      <c r="H254" s="199" t="s">
        <v>137</v>
      </c>
      <c r="I254" s="199">
        <v>0</v>
      </c>
      <c r="J254" s="199"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[5]ITEMS_Comm!A27</f>
        <v/>
      </c>
      <c r="B9" s="59" t="str">
        <f>[5]ITEMS_Comm!B27</f>
        <v>E</v>
      </c>
      <c r="C9" s="58" t="str">
        <f>[5]ITEMS_Comm!C27</f>
        <v>RLEL</v>
      </c>
      <c r="D9" s="58" t="str">
        <f>[5]ITEMS_Comm!D27</f>
        <v>Residential - Lighting - Low Income Electrified</v>
      </c>
      <c r="E9" s="59" t="str">
        <f>[5]ITEMS_Comm!E27</f>
        <v>PJ</v>
      </c>
      <c r="F9" s="59" t="str">
        <f>[5]ITEMS_Comm!F27</f>
        <v>COM,DEM,DAYNITE,RES</v>
      </c>
    </row>
    <row r="10" spans="1:8">
      <c r="A10" s="58" t="str">
        <f>[5]ITEMS_Comm!A28</f>
        <v/>
      </c>
      <c r="B10" s="59" t="str">
        <f>[5]ITEMS_Comm!B28</f>
        <v>E</v>
      </c>
      <c r="C10" s="58" t="str">
        <f>[5]ITEMS_Comm!C28</f>
        <v>RLNL</v>
      </c>
      <c r="D10" s="58" t="str">
        <f>[5]ITEMS_Comm!D28</f>
        <v>Residential - Lighting - Low Income Electrified paraffin</v>
      </c>
      <c r="E10" s="59" t="str">
        <f>[5]ITEMS_Comm!E28</f>
        <v>PJ</v>
      </c>
      <c r="F10" s="59" t="str">
        <f>[5]ITEMS_Comm!F28</f>
        <v>COM,DEM,DAYNITE,RES</v>
      </c>
    </row>
    <row r="11" spans="1:8">
      <c r="A11" s="58" t="str">
        <f>[5]ITEMS_Comm!A29</f>
        <v/>
      </c>
      <c r="B11" s="59" t="str">
        <f>[5]ITEMS_Comm!B29</f>
        <v>E</v>
      </c>
      <c r="C11" s="58" t="str">
        <f>[5]ITEMS_Comm!C29</f>
        <v>RLEK</v>
      </c>
      <c r="D11" s="58" t="str">
        <f>[5]ITEMS_Comm!D29</f>
        <v>Residential - Cooking - Low Income Electrified</v>
      </c>
      <c r="E11" s="59" t="str">
        <f>[5]ITEMS_Comm!E29</f>
        <v>PJ</v>
      </c>
      <c r="F11" s="59" t="str">
        <f>[5]ITEMS_Comm!F29</f>
        <v>COM,DEM,DAYNITE,RES</v>
      </c>
    </row>
    <row r="12" spans="1:8">
      <c r="A12" s="58" t="str">
        <f>[5]ITEMS_Comm!A30</f>
        <v/>
      </c>
      <c r="B12" s="59" t="str">
        <f>[5]ITEMS_Comm!B30</f>
        <v>E</v>
      </c>
      <c r="C12" s="58" t="str">
        <f>[5]ITEMS_Comm!C30</f>
        <v>RLEH</v>
      </c>
      <c r="D12" s="58" t="str">
        <f>[5]ITEMS_Comm!D30</f>
        <v>Residential - Space Heating - Low Income Electrified</v>
      </c>
      <c r="E12" s="59" t="str">
        <f>[5]ITEMS_Comm!E30</f>
        <v>PJ</v>
      </c>
      <c r="F12" s="59" t="str">
        <f>[5]ITEMS_Comm!F30</f>
        <v>COM,DEM,DAYNITE,RES</v>
      </c>
    </row>
    <row r="13" spans="1:8">
      <c r="A13" s="58" t="str">
        <f>[5]ITEMS_Comm!A31</f>
        <v/>
      </c>
      <c r="B13" s="59" t="str">
        <f>[5]ITEMS_Comm!B31</f>
        <v>E</v>
      </c>
      <c r="C13" s="58" t="str">
        <f>[5]ITEMS_Comm!C31</f>
        <v>RLEWG</v>
      </c>
      <c r="D13" s="58" t="str">
        <f>[5]ITEMS_Comm!D31</f>
        <v>Residential - Water Heating Geyser - Low Income Electrified</v>
      </c>
      <c r="E13" s="59" t="str">
        <f>[5]ITEMS_Comm!E31</f>
        <v>PJ</v>
      </c>
      <c r="F13" s="59" t="str">
        <f>[5]ITEMS_Comm!F31</f>
        <v>COM,DEM,DAYNITE,RES</v>
      </c>
    </row>
    <row r="14" spans="1:8">
      <c r="A14" s="58" t="str">
        <f>[5]ITEMS_Comm!A32</f>
        <v/>
      </c>
      <c r="B14" s="59" t="str">
        <f>[5]ITEMS_Comm!B32</f>
        <v>E</v>
      </c>
      <c r="C14" s="58" t="str">
        <f>[5]ITEMS_Comm!C32</f>
        <v>RLEW</v>
      </c>
      <c r="D14" s="58" t="str">
        <f>[5]ITEMS_Comm!D32</f>
        <v>Residential - Water Heating - Low Income Electrified</v>
      </c>
      <c r="E14" s="59" t="str">
        <f>[5]ITEMS_Comm!E32</f>
        <v>PJ</v>
      </c>
      <c r="F14" s="59" t="str">
        <f>[5]ITEMS_Comm!F32</f>
        <v>COM,DEM,DAYNITE,RES</v>
      </c>
    </row>
    <row r="15" spans="1:8">
      <c r="A15" s="58" t="str">
        <f>[5]ITEMS_Comm!A33</f>
        <v/>
      </c>
      <c r="B15" s="59" t="str">
        <f>[5]ITEMS_Comm!B33</f>
        <v>E</v>
      </c>
      <c r="C15" s="58" t="str">
        <f>[5]ITEMS_Comm!C33</f>
        <v>RLER</v>
      </c>
      <c r="D15" s="58" t="str">
        <f>[5]ITEMS_Comm!D33</f>
        <v>Residential - Refrigeration - Low Income Electrified</v>
      </c>
      <c r="E15" s="59" t="str">
        <f>[5]ITEMS_Comm!E33</f>
        <v>PJ</v>
      </c>
      <c r="F15" s="59" t="str">
        <f>[5]ITEMS_Comm!F33</f>
        <v>COM,DEM,DAYNITE,RES</v>
      </c>
    </row>
    <row r="16" spans="1:8">
      <c r="A16" s="58" t="str">
        <f>[5]ITEMS_Comm!A34</f>
        <v/>
      </c>
      <c r="B16" s="59" t="str">
        <f>[5]ITEMS_Comm!B34</f>
        <v>E</v>
      </c>
      <c r="C16" s="58" t="str">
        <f>[5]ITEMS_Comm!C34</f>
        <v>RLEO</v>
      </c>
      <c r="D16" s="58" t="str">
        <f>[5]ITEMS_Comm!D34</f>
        <v>Residential - Other - Low Income Electrified</v>
      </c>
      <c r="E16" s="59" t="str">
        <f>[5]ITEMS_Comm!E34</f>
        <v>PJ</v>
      </c>
      <c r="F16" s="59" t="str">
        <f>[5]ITEMS_Comm!F34</f>
        <v>COM,DEM,DAYNITE,RES</v>
      </c>
    </row>
    <row r="17" spans="1:6">
      <c r="A17" s="58" t="str">
        <f>[5]ITEMS_Comm!A35</f>
        <v>*</v>
      </c>
      <c r="B17" s="59" t="str">
        <f>[5]ITEMS_Comm!B35</f>
        <v>E</v>
      </c>
      <c r="C17" s="58">
        <f>[5]ITEMS_Comm!C35</f>
        <v>0</v>
      </c>
      <c r="D17" s="58" t="str">
        <f>[5]ITEMS_Comm!D35</f>
        <v/>
      </c>
      <c r="E17" s="59" t="str">
        <f>[5]ITEMS_Comm!E35</f>
        <v/>
      </c>
      <c r="F17" s="59" t="str">
        <f>[5]ITEMS_Comm!F35</f>
        <v/>
      </c>
    </row>
    <row r="18" spans="1:6">
      <c r="A18" s="58" t="str">
        <f>[5]ITEMS_Comm!A36</f>
        <v>*</v>
      </c>
      <c r="B18" s="59" t="str">
        <f>[5]ITEMS_Comm!B36</f>
        <v>E</v>
      </c>
      <c r="C18" s="58">
        <f>[5]ITEMS_Comm!C36</f>
        <v>0</v>
      </c>
      <c r="D18" s="58" t="str">
        <f>[5]ITEMS_Comm!D36</f>
        <v/>
      </c>
      <c r="E18" s="59" t="str">
        <f>[5]ITEMS_Comm!E36</f>
        <v/>
      </c>
      <c r="F18" s="59" t="str">
        <f>[5]ITEMS_Comm!F36</f>
        <v/>
      </c>
    </row>
    <row r="19" spans="1:6">
      <c r="A19" s="58" t="str">
        <f>[5]ITEMS_Comm!A37</f>
        <v>*</v>
      </c>
      <c r="B19" s="59" t="str">
        <f>[5]ITEMS_Comm!B37</f>
        <v>E</v>
      </c>
      <c r="C19" s="58">
        <f>[5]ITEMS_Comm!C37</f>
        <v>0</v>
      </c>
      <c r="D19" s="58" t="str">
        <f>[5]ITEMS_Comm!D37</f>
        <v/>
      </c>
      <c r="E19" s="59" t="str">
        <f>[5]ITEMS_Comm!E37</f>
        <v/>
      </c>
      <c r="F19" s="59" t="str">
        <f>[5]ITEMS_Comm!F37</f>
        <v/>
      </c>
    </row>
    <row r="20" spans="1:6">
      <c r="A20" s="58" t="str">
        <f>[5]ITEMS_Comm!A38</f>
        <v/>
      </c>
      <c r="B20" s="59" t="str">
        <f>[5]ITEMS_Comm!B38</f>
        <v>E</v>
      </c>
      <c r="C20" s="58" t="str">
        <f>[5]ITEMS_Comm!C38</f>
        <v>RMEL</v>
      </c>
      <c r="D20" s="58" t="str">
        <f>[5]ITEMS_Comm!D38</f>
        <v>Residential - Lighting - Middle Income Electrified</v>
      </c>
      <c r="E20" s="59" t="str">
        <f>[5]ITEMS_Comm!E38</f>
        <v>PJ</v>
      </c>
      <c r="F20" s="59" t="str">
        <f>[5]ITEMS_Comm!F38</f>
        <v>COM,DEM,DAYNITE,RES</v>
      </c>
    </row>
    <row r="21" spans="1:6">
      <c r="A21" s="58" t="str">
        <f>[5]ITEMS_Comm!A39</f>
        <v/>
      </c>
      <c r="B21" s="59" t="str">
        <f>[5]ITEMS_Comm!B39</f>
        <v>E</v>
      </c>
      <c r="C21" s="58" t="str">
        <f>[5]ITEMS_Comm!C39</f>
        <v>RMNL</v>
      </c>
      <c r="D21" s="58" t="str">
        <f>[5]ITEMS_Comm!D39</f>
        <v>Residential - Lighting - Middle Income Electrified paraffin</v>
      </c>
      <c r="E21" s="59" t="str">
        <f>[5]ITEMS_Comm!E39</f>
        <v>PJ</v>
      </c>
      <c r="F21" s="59" t="str">
        <f>[5]ITEMS_Comm!F39</f>
        <v>COM,DEM,DAYNITE,RES</v>
      </c>
    </row>
    <row r="22" spans="1:6">
      <c r="A22" s="58" t="str">
        <f>[5]ITEMS_Comm!A40</f>
        <v/>
      </c>
      <c r="B22" s="59" t="str">
        <f>[5]ITEMS_Comm!B40</f>
        <v>E</v>
      </c>
      <c r="C22" s="58" t="str">
        <f>[5]ITEMS_Comm!C40</f>
        <v>RMEK</v>
      </c>
      <c r="D22" s="58" t="str">
        <f>[5]ITEMS_Comm!D40</f>
        <v>Residential - Cooking - Middle Income Electrified</v>
      </c>
      <c r="E22" s="59" t="str">
        <f>[5]ITEMS_Comm!E40</f>
        <v>PJ</v>
      </c>
      <c r="F22" s="59" t="str">
        <f>[5]ITEMS_Comm!F40</f>
        <v>COM,DEM,DAYNITE,RES</v>
      </c>
    </row>
    <row r="23" spans="1:6">
      <c r="A23" s="58" t="str">
        <f>[5]ITEMS_Comm!A41</f>
        <v/>
      </c>
      <c r="B23" s="59" t="str">
        <f>[5]ITEMS_Comm!B41</f>
        <v>E</v>
      </c>
      <c r="C23" s="58" t="str">
        <f>[5]ITEMS_Comm!C41</f>
        <v>RMEH</v>
      </c>
      <c r="D23" s="58" t="str">
        <f>[5]ITEMS_Comm!D41</f>
        <v>Residential - Space Heating - Middle Income Electrified</v>
      </c>
      <c r="E23" s="59" t="str">
        <f>[5]ITEMS_Comm!E41</f>
        <v>PJ</v>
      </c>
      <c r="F23" s="59" t="str">
        <f>[5]ITEMS_Comm!F41</f>
        <v>COM,DEM,DAYNITE,RES</v>
      </c>
    </row>
    <row r="24" spans="1:6">
      <c r="A24" s="58" t="str">
        <f>[5]ITEMS_Comm!A42</f>
        <v/>
      </c>
      <c r="B24" s="59" t="str">
        <f>[5]ITEMS_Comm!B42</f>
        <v>E</v>
      </c>
      <c r="C24" s="58" t="str">
        <f>[5]ITEMS_Comm!C42</f>
        <v>RMEWG</v>
      </c>
      <c r="D24" s="58" t="str">
        <f>[5]ITEMS_Comm!D42</f>
        <v>Residential - Water Heating Geyser - Middle Income Electrified</v>
      </c>
      <c r="E24" s="59" t="str">
        <f>[5]ITEMS_Comm!E42</f>
        <v>PJ</v>
      </c>
      <c r="F24" s="59" t="str">
        <f>[5]ITEMS_Comm!F42</f>
        <v>COM,DEM,DAYNITE,RES</v>
      </c>
    </row>
    <row r="25" spans="1:6">
      <c r="A25" s="58" t="str">
        <f>[5]ITEMS_Comm!A43</f>
        <v/>
      </c>
      <c r="B25" s="59" t="str">
        <f>[5]ITEMS_Comm!B43</f>
        <v>E</v>
      </c>
      <c r="C25" s="58" t="str">
        <f>[5]ITEMS_Comm!C43</f>
        <v>RMEW</v>
      </c>
      <c r="D25" s="58">
        <f>[5]ITEMS_Comm!D43</f>
        <v>0</v>
      </c>
      <c r="E25" s="59" t="str">
        <f>[5]ITEMS_Comm!E43</f>
        <v>PJ</v>
      </c>
      <c r="F25" s="59" t="str">
        <f>[5]ITEMS_Comm!F43</f>
        <v>COM,DEM,DAYNITE,RES</v>
      </c>
    </row>
    <row r="26" spans="1:6">
      <c r="A26" s="58" t="str">
        <f>[5]ITEMS_Comm!A44</f>
        <v/>
      </c>
      <c r="B26" s="59" t="str">
        <f>[5]ITEMS_Comm!B44</f>
        <v>E</v>
      </c>
      <c r="C26" s="58" t="str">
        <f>[5]ITEMS_Comm!C44</f>
        <v>RMER</v>
      </c>
      <c r="D26" s="58" t="str">
        <f>[5]ITEMS_Comm!D44</f>
        <v>Residential - Refrigeration - Middle Income Electrified</v>
      </c>
      <c r="E26" s="59" t="str">
        <f>[5]ITEMS_Comm!E44</f>
        <v>PJ</v>
      </c>
      <c r="F26" s="59" t="str">
        <f>[5]ITEMS_Comm!F44</f>
        <v>COM,DEM,DAYNITE,RES</v>
      </c>
    </row>
    <row r="27" spans="1:6">
      <c r="A27" s="58" t="str">
        <f>[5]ITEMS_Comm!A45</f>
        <v/>
      </c>
      <c r="B27" s="59" t="str">
        <f>[5]ITEMS_Comm!B45</f>
        <v>E</v>
      </c>
      <c r="C27" s="58" t="str">
        <f>[5]ITEMS_Comm!C45</f>
        <v>RMEO</v>
      </c>
      <c r="D27" s="58" t="str">
        <f>[5]ITEMS_Comm!D45</f>
        <v>Residential - Other - Middle Income Electrified</v>
      </c>
      <c r="E27" s="59" t="str">
        <f>[5]ITEMS_Comm!E45</f>
        <v>PJ</v>
      </c>
      <c r="F27" s="59" t="str">
        <f>[5]ITEMS_Comm!F45</f>
        <v>COM,DEM,DAYNITE,RES</v>
      </c>
    </row>
    <row r="28" spans="1:6">
      <c r="A28" s="58" t="str">
        <f>[5]ITEMS_Comm!A46</f>
        <v>*</v>
      </c>
      <c r="B28" s="59" t="str">
        <f>[5]ITEMS_Comm!B46</f>
        <v>E</v>
      </c>
      <c r="C28" s="58">
        <f>[5]ITEMS_Comm!C46</f>
        <v>0</v>
      </c>
      <c r="D28" s="58" t="str">
        <f>[5]ITEMS_Comm!D46</f>
        <v/>
      </c>
      <c r="E28" s="59" t="str">
        <f>[5]ITEMS_Comm!E46</f>
        <v/>
      </c>
      <c r="F28" s="59" t="str">
        <f>[5]ITEMS_Comm!F46</f>
        <v/>
      </c>
    </row>
    <row r="29" spans="1:6">
      <c r="A29" s="58" t="str">
        <f>[5]ITEMS_Comm!A47</f>
        <v>*</v>
      </c>
      <c r="B29" s="59" t="str">
        <f>[5]ITEMS_Comm!B47</f>
        <v>E</v>
      </c>
      <c r="C29" s="58">
        <f>[5]ITEMS_Comm!C47</f>
        <v>0</v>
      </c>
      <c r="D29" s="58" t="str">
        <f>[5]ITEMS_Comm!D47</f>
        <v/>
      </c>
      <c r="E29" s="59" t="str">
        <f>[5]ITEMS_Comm!E47</f>
        <v/>
      </c>
      <c r="F29" s="59" t="str">
        <f>[5]ITEMS_Comm!F47</f>
        <v/>
      </c>
    </row>
    <row r="30" spans="1:6">
      <c r="A30" s="58" t="str">
        <f>[5]ITEMS_Comm!A48</f>
        <v>*</v>
      </c>
      <c r="B30" s="59" t="str">
        <f>[5]ITEMS_Comm!B48</f>
        <v>E</v>
      </c>
      <c r="C30" s="58">
        <f>[5]ITEMS_Comm!C48</f>
        <v>0</v>
      </c>
      <c r="D30" s="58" t="str">
        <f>[5]ITEMS_Comm!D48</f>
        <v/>
      </c>
      <c r="E30" s="59" t="str">
        <f>[5]ITEMS_Comm!E48</f>
        <v/>
      </c>
      <c r="F30" s="59" t="str">
        <f>[5]ITEMS_Comm!F48</f>
        <v/>
      </c>
    </row>
    <row r="31" spans="1:6">
      <c r="A31" s="58" t="str">
        <f>[5]ITEMS_Comm!A49</f>
        <v/>
      </c>
      <c r="B31" s="59" t="str">
        <f>[5]ITEMS_Comm!B49</f>
        <v>E</v>
      </c>
      <c r="C31" s="58" t="str">
        <f>[5]ITEMS_Comm!C49</f>
        <v>RHEL</v>
      </c>
      <c r="D31" s="58" t="str">
        <f>[5]ITEMS_Comm!D49</f>
        <v>Residential - Lighting - High Income Electrified</v>
      </c>
      <c r="E31" s="59" t="str">
        <f>[5]ITEMS_Comm!E49</f>
        <v>PJ</v>
      </c>
      <c r="F31" s="59" t="str">
        <f>[5]ITEMS_Comm!F49</f>
        <v>COM,DEM,DAYNITE,RES</v>
      </c>
    </row>
    <row r="32" spans="1:6">
      <c r="A32" s="58" t="str">
        <f>[5]ITEMS_Comm!A50</f>
        <v/>
      </c>
      <c r="B32" s="59" t="str">
        <f>[5]ITEMS_Comm!B50</f>
        <v>E</v>
      </c>
      <c r="C32" s="58" t="str">
        <f>[5]ITEMS_Comm!C50</f>
        <v>RHEK</v>
      </c>
      <c r="D32" s="58" t="str">
        <f>[5]ITEMS_Comm!D50</f>
        <v>Residential - Cooking - High Income Electrified</v>
      </c>
      <c r="E32" s="59" t="str">
        <f>[5]ITEMS_Comm!E50</f>
        <v>PJ</v>
      </c>
      <c r="F32" s="59" t="str">
        <f>[5]ITEMS_Comm!F50</f>
        <v>COM,DEM,DAYNITE,RES</v>
      </c>
    </row>
    <row r="33" spans="1:6">
      <c r="A33" s="58" t="str">
        <f>[5]ITEMS_Comm!A51</f>
        <v/>
      </c>
      <c r="B33" s="59" t="str">
        <f>[5]ITEMS_Comm!B51</f>
        <v>E</v>
      </c>
      <c r="C33" s="58" t="str">
        <f>[5]ITEMS_Comm!C51</f>
        <v>RHEH</v>
      </c>
      <c r="D33" s="58" t="str">
        <f>[5]ITEMS_Comm!D51</f>
        <v>Residential - Space Heating - High Income Electrified</v>
      </c>
      <c r="E33" s="59" t="str">
        <f>[5]ITEMS_Comm!E51</f>
        <v>PJ</v>
      </c>
      <c r="F33" s="59" t="str">
        <f>[5]ITEMS_Comm!F51</f>
        <v>COM,DEM,DAYNITE,RES</v>
      </c>
    </row>
    <row r="34" spans="1:6">
      <c r="A34" s="58" t="str">
        <f>[5]ITEMS_Comm!A52</f>
        <v/>
      </c>
      <c r="B34" s="59" t="str">
        <f>[5]ITEMS_Comm!B52</f>
        <v>E</v>
      </c>
      <c r="C34" s="58" t="str">
        <f>[5]ITEMS_Comm!C52</f>
        <v>RHEWG</v>
      </c>
      <c r="D34" s="58" t="str">
        <f>[5]ITEMS_Comm!D52</f>
        <v>Residential - Water Heating Geyser - High Income Electrified</v>
      </c>
      <c r="E34" s="59" t="str">
        <f>[5]ITEMS_Comm!E52</f>
        <v>PJ</v>
      </c>
      <c r="F34" s="59" t="str">
        <f>[5]ITEMS_Comm!F52</f>
        <v>COM,DEM,DAYNITE,RES</v>
      </c>
    </row>
    <row r="35" spans="1:6">
      <c r="A35" s="58" t="str">
        <f>[5]ITEMS_Comm!A53</f>
        <v/>
      </c>
      <c r="B35" s="59" t="str">
        <f>[5]ITEMS_Comm!B53</f>
        <v>E</v>
      </c>
      <c r="C35" s="58" t="str">
        <f>[5]ITEMS_Comm!C53</f>
        <v>RHEW</v>
      </c>
      <c r="D35" s="58" t="str">
        <f>[5]ITEMS_Comm!D53</f>
        <v xml:space="preserve">Residential -water heating non geyser high income </v>
      </c>
      <c r="E35" s="59" t="str">
        <f>[5]ITEMS_Comm!E53</f>
        <v>PJ</v>
      </c>
      <c r="F35" s="59" t="str">
        <f>[5]ITEMS_Comm!F53</f>
        <v>COM,DEM,DAYNITE,RES</v>
      </c>
    </row>
    <row r="36" spans="1:6">
      <c r="A36" s="58" t="str">
        <f>[5]ITEMS_Comm!A54</f>
        <v/>
      </c>
      <c r="B36" s="59" t="str">
        <f>[5]ITEMS_Comm!B54</f>
        <v>E</v>
      </c>
      <c r="C36" s="58" t="str">
        <f>[5]ITEMS_Comm!C54</f>
        <v>RHER</v>
      </c>
      <c r="D36" s="58" t="str">
        <f>[5]ITEMS_Comm!D54</f>
        <v>Residential - Refrigeration - High Income Electrified</v>
      </c>
      <c r="E36" s="59" t="str">
        <f>[5]ITEMS_Comm!E54</f>
        <v>PJ</v>
      </c>
      <c r="F36" s="59" t="str">
        <f>[5]ITEMS_Comm!F54</f>
        <v>COM,DEM,DAYNITE,RES</v>
      </c>
    </row>
    <row r="37" spans="1:6">
      <c r="A37" s="58" t="str">
        <f>[5]ITEMS_Comm!A55</f>
        <v/>
      </c>
      <c r="B37" s="59" t="str">
        <f>[5]ITEMS_Comm!B55</f>
        <v>E</v>
      </c>
      <c r="C37" s="58" t="str">
        <f>[5]ITEMS_Comm!C55</f>
        <v>RHEO</v>
      </c>
      <c r="D37" s="58" t="str">
        <f>[5]ITEMS_Comm!D55</f>
        <v>Residential - Other - High Income Electrified</v>
      </c>
      <c r="E37" s="59" t="str">
        <f>[5]ITEMS_Comm!E55</f>
        <v>PJ</v>
      </c>
      <c r="F37" s="59" t="str">
        <f>[5]ITEMS_Comm!F55</f>
        <v>COM,DEM,DAYNITE,RES</v>
      </c>
    </row>
    <row r="38" spans="1:6">
      <c r="A38" s="58" t="str">
        <f>[5]ITEMS_Comm!A56</f>
        <v>*</v>
      </c>
      <c r="B38" s="59" t="str">
        <f>[5]ITEMS_Comm!B56</f>
        <v>E</v>
      </c>
      <c r="C38" s="58">
        <f>[5]ITEMS_Comm!C56</f>
        <v>0</v>
      </c>
      <c r="D38" s="58" t="str">
        <f>[5]ITEMS_Comm!D56</f>
        <v/>
      </c>
      <c r="E38" s="59" t="str">
        <f>[5]ITEMS_Comm!E56</f>
        <v/>
      </c>
      <c r="F38" s="59" t="str">
        <f>[5]ITEMS_Comm!F56</f>
        <v/>
      </c>
    </row>
    <row r="39" spans="1:6">
      <c r="A39" s="58" t="str">
        <f>[5]ITEMS_Comm!A57</f>
        <v>*</v>
      </c>
      <c r="B39" s="59" t="str">
        <f>[5]ITEMS_Comm!B57</f>
        <v>E</v>
      </c>
      <c r="C39" s="58">
        <f>[5]ITEMS_Comm!C57</f>
        <v>0</v>
      </c>
      <c r="D39" s="58" t="str">
        <f>[5]ITEMS_Comm!D57</f>
        <v/>
      </c>
      <c r="E39" s="59" t="str">
        <f>[5]ITEMS_Comm!E57</f>
        <v/>
      </c>
      <c r="F39" s="59" t="str">
        <f>[5]ITEMS_Comm!F57</f>
        <v/>
      </c>
    </row>
    <row r="40" spans="1:6">
      <c r="A40" s="58" t="str">
        <f>[5]ITEMS_Comm!A58</f>
        <v>*</v>
      </c>
      <c r="B40" s="59" t="str">
        <f>[5]ITEMS_Comm!B58</f>
        <v>E</v>
      </c>
      <c r="C40" s="58">
        <f>[5]ITEMS_Comm!C58</f>
        <v>0</v>
      </c>
      <c r="D40" s="58" t="str">
        <f>[5]ITEMS_Comm!D58</f>
        <v/>
      </c>
      <c r="E40" s="59" t="str">
        <f>[5]ITEMS_Comm!E58</f>
        <v/>
      </c>
      <c r="F40" s="59" t="str">
        <f>[5]ITEMS_Comm!F58</f>
        <v/>
      </c>
    </row>
    <row r="41" spans="1:6">
      <c r="A41" s="58" t="str">
        <f>[5]ITEMS_Comm!A59</f>
        <v>*</v>
      </c>
      <c r="B41" s="59" t="str">
        <f>[5]ITEMS_Comm!B59</f>
        <v>E</v>
      </c>
      <c r="C41" s="58">
        <f>[5]ITEMS_Comm!C59</f>
        <v>0</v>
      </c>
      <c r="D41" s="58" t="str">
        <f>[5]ITEMS_Comm!D59</f>
        <v/>
      </c>
      <c r="E41" s="59" t="str">
        <f>[5]ITEMS_Comm!E59</f>
        <v/>
      </c>
      <c r="F41" s="59" t="str">
        <f>[5]ITEMS_Comm!F59</f>
        <v/>
      </c>
    </row>
    <row r="42" spans="1:6">
      <c r="A42" s="58" t="str">
        <f>[5]ITEMS_Comm!A60</f>
        <v>*</v>
      </c>
      <c r="B42" s="59" t="str">
        <f>[5]ITEMS_Comm!B60</f>
        <v>E</v>
      </c>
      <c r="C42" s="58">
        <f>[5]ITEMS_Comm!C60</f>
        <v>0</v>
      </c>
      <c r="D42" s="58" t="str">
        <f>[5]ITEMS_Comm!D60</f>
        <v/>
      </c>
      <c r="E42" s="59" t="str">
        <f>[5]ITEMS_Comm!E60</f>
        <v/>
      </c>
      <c r="F42" s="59" t="str">
        <f>[5]ITEMS_Comm!F60</f>
        <v/>
      </c>
    </row>
    <row r="43" spans="1:6">
      <c r="A43" s="58" t="str">
        <f>[5]ITEMS_Comm!A61</f>
        <v>*</v>
      </c>
      <c r="B43" s="59" t="str">
        <f>[5]ITEMS_Comm!B61</f>
        <v>E</v>
      </c>
      <c r="C43" s="58">
        <f>[5]ITEMS_Comm!C61</f>
        <v>0</v>
      </c>
      <c r="D43" s="58" t="str">
        <f>[5]ITEMS_Comm!D61</f>
        <v/>
      </c>
      <c r="E43" s="59" t="str">
        <f>[5]ITEMS_Comm!E61</f>
        <v/>
      </c>
      <c r="F43" s="59" t="str">
        <f>[5]ITEMS_Comm!F61</f>
        <v/>
      </c>
    </row>
    <row r="44" spans="1:6">
      <c r="A44" s="58" t="str">
        <f>[5]ITEMS_Comm!A62</f>
        <v>*</v>
      </c>
      <c r="B44" s="59" t="str">
        <f>[5]ITEMS_Comm!B62</f>
        <v>E</v>
      </c>
      <c r="C44" s="58">
        <f>[5]ITEMS_Comm!C62</f>
        <v>0</v>
      </c>
      <c r="D44" s="58" t="str">
        <f>[5]ITEMS_Comm!D62</f>
        <v/>
      </c>
      <c r="E44" s="59" t="str">
        <f>[5]ITEMS_Comm!E62</f>
        <v/>
      </c>
      <c r="F44" s="59" t="str">
        <f>[5]ITEMS_Comm!F62</f>
        <v/>
      </c>
    </row>
    <row r="45" spans="1:6">
      <c r="A45" s="58" t="str">
        <f>[5]ITEMS_Comm!A63</f>
        <v>*</v>
      </c>
      <c r="B45" s="59" t="str">
        <f>[5]ITEMS_Comm!B63</f>
        <v>E</v>
      </c>
      <c r="C45" s="58">
        <f>[5]ITEMS_Comm!C63</f>
        <v>0</v>
      </c>
      <c r="D45" s="58" t="str">
        <f>[5]ITEMS_Comm!D63</f>
        <v/>
      </c>
      <c r="E45" s="59" t="str">
        <f>[5]ITEMS_Comm!E63</f>
        <v/>
      </c>
      <c r="F45" s="59" t="str">
        <f>[5]ITEMS_Comm!F63</f>
        <v/>
      </c>
    </row>
    <row r="46" spans="1:6">
      <c r="A46" s="58" t="str">
        <f>[5]ITEMS_Comm!A64</f>
        <v>*</v>
      </c>
      <c r="B46" s="59" t="str">
        <f>[5]ITEMS_Comm!B64</f>
        <v>E</v>
      </c>
      <c r="C46" s="58">
        <f>[5]ITEMS_Comm!C64</f>
        <v>0</v>
      </c>
      <c r="D46" s="58" t="str">
        <f>[5]ITEMS_Comm!D64</f>
        <v/>
      </c>
      <c r="E46" s="59" t="str">
        <f>[5]ITEMS_Comm!E64</f>
        <v/>
      </c>
      <c r="F46" s="59" t="str">
        <f>[5]ITEMS_Comm!F64</f>
        <v/>
      </c>
    </row>
    <row r="47" spans="1:6">
      <c r="A47" s="58" t="str">
        <f>[5]ITEMS_Comm!A65</f>
        <v>*</v>
      </c>
      <c r="B47" s="59" t="str">
        <f>[5]ITEMS_Comm!B65</f>
        <v>E</v>
      </c>
      <c r="C47" s="58">
        <f>[5]ITEMS_Comm!C65</f>
        <v>0</v>
      </c>
      <c r="D47" s="58" t="str">
        <f>[5]ITEMS_Comm!D65</f>
        <v/>
      </c>
      <c r="E47" s="59" t="str">
        <f>[5]ITEMS_Comm!E65</f>
        <v/>
      </c>
      <c r="F47" s="59" t="str">
        <f>[5]ITEMS_Comm!F65</f>
        <v/>
      </c>
    </row>
    <row r="48" spans="1:6">
      <c r="A48" s="58" t="str">
        <f>[5]ITEMS_Comm!A66</f>
        <v>*</v>
      </c>
      <c r="B48" s="59" t="str">
        <f>[5]ITEMS_Comm!B66</f>
        <v>E</v>
      </c>
      <c r="C48" s="58">
        <f>[5]ITEMS_Comm!C66</f>
        <v>0</v>
      </c>
      <c r="D48" s="58" t="str">
        <f>[5]ITEMS_Comm!D66</f>
        <v/>
      </c>
      <c r="E48" s="59" t="str">
        <f>[5]ITEMS_Comm!E66</f>
        <v/>
      </c>
      <c r="F48" s="59" t="str">
        <f>[5]ITEMS_Comm!F66</f>
        <v/>
      </c>
    </row>
    <row r="49" spans="1:6">
      <c r="A49" s="58" t="str">
        <f>[5]ITEMS_Comm!A67</f>
        <v>*</v>
      </c>
      <c r="B49" s="59" t="str">
        <f>[5]ITEMS_Comm!B67</f>
        <v>E</v>
      </c>
      <c r="C49" s="58">
        <f>[5]ITEMS_Comm!C67</f>
        <v>0</v>
      </c>
      <c r="D49" s="58" t="str">
        <f>[5]ITEMS_Comm!D67</f>
        <v/>
      </c>
      <c r="E49" s="59" t="str">
        <f>[5]ITEMS_Comm!E67</f>
        <v/>
      </c>
      <c r="F49" s="59"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51" zoomScale="80" zoomScaleNormal="80" workbookViewId="0">
      <selection activeCell="E78" sqref="E78"/>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01" t="s">
        <v>197</v>
      </c>
      <c r="C2" s="301"/>
      <c r="I2" s="131"/>
      <c r="J2" s="4"/>
      <c r="BB2" s="4" t="s">
        <v>295</v>
      </c>
    </row>
    <row r="3" spans="1:54" ht="15.75" thickBot="1">
      <c r="A3" s="4" t="s">
        <v>16</v>
      </c>
      <c r="C3" s="20"/>
      <c r="D3" s="20"/>
      <c r="E3" s="14"/>
      <c r="F3" s="14"/>
      <c r="G3" s="14"/>
      <c r="H3" s="14"/>
      <c r="I3" s="160"/>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392</v>
      </c>
      <c r="D4" s="15">
        <v>1</v>
      </c>
      <c r="E4" s="9">
        <v>2012</v>
      </c>
      <c r="F4" s="9">
        <v>2020</v>
      </c>
      <c r="G4" s="15">
        <v>2030</v>
      </c>
      <c r="H4" s="15">
        <v>2040</v>
      </c>
      <c r="I4" s="161">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393</v>
      </c>
      <c r="D5" s="15">
        <v>0</v>
      </c>
      <c r="E5" s="4">
        <f>INDEX($E4:$I4,0,COUNT($E4:$I4)-E6)</f>
        <v>2050</v>
      </c>
      <c r="F5" s="4">
        <f>INDEX($E4:$I4,0,COUNT($E4:$I4)-F6)</f>
        <v>2040</v>
      </c>
      <c r="G5" s="4">
        <f>INDEX($E4:$I4,0,COUNT($E4:$I4)-G6)</f>
        <v>2030</v>
      </c>
      <c r="H5" s="4">
        <f>INDEX($E4:$I4,0,COUNT($E4:$I4)-H6)</f>
        <v>2020</v>
      </c>
      <c r="I5" s="131">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391</v>
      </c>
      <c r="D6" s="15">
        <v>-1</v>
      </c>
      <c r="E6" s="4">
        <v>0</v>
      </c>
      <c r="F6" s="4">
        <v>1</v>
      </c>
      <c r="G6" s="4">
        <v>2</v>
      </c>
      <c r="H6" s="4">
        <v>3</v>
      </c>
      <c r="I6" s="131">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394</v>
      </c>
      <c r="I7" s="131"/>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57"/>
      <c r="C8" s="20" t="s">
        <v>44</v>
      </c>
      <c r="D8" s="20"/>
      <c r="I8" s="131"/>
      <c r="J8" s="9"/>
    </row>
    <row r="9" spans="1:54">
      <c r="A9" s="4" t="s">
        <v>16</v>
      </c>
      <c r="C9" s="4" t="s">
        <v>41</v>
      </c>
      <c r="D9" s="4" t="s">
        <v>47</v>
      </c>
      <c r="J9" s="42"/>
      <c r="K9" s="158"/>
      <c r="L9" s="158"/>
      <c r="M9" s="158"/>
      <c r="N9" s="158"/>
      <c r="O9" s="158"/>
      <c r="P9" s="158"/>
      <c r="Q9" s="158"/>
      <c r="R9" s="158"/>
      <c r="S9" s="158"/>
      <c r="T9" s="158"/>
      <c r="U9" s="158"/>
      <c r="V9" s="158"/>
      <c r="W9" s="158"/>
      <c r="X9" s="158"/>
      <c r="Y9" s="158"/>
      <c r="Z9" s="158"/>
      <c r="AA9" s="158"/>
      <c r="AB9" s="158"/>
      <c r="AC9" s="158"/>
      <c r="AD9" s="158"/>
      <c r="AE9" s="158"/>
      <c r="AF9" s="158"/>
      <c r="AG9" s="158"/>
      <c r="AH9" s="158"/>
      <c r="AI9" s="158"/>
      <c r="AJ9" s="158"/>
      <c r="AK9" s="158"/>
      <c r="AL9" s="158"/>
      <c r="AM9" s="158"/>
      <c r="AN9" s="158"/>
      <c r="AO9" s="158"/>
      <c r="AP9" s="158"/>
      <c r="AQ9" s="158"/>
      <c r="AR9" s="158"/>
      <c r="AS9" s="158"/>
      <c r="AT9" s="158"/>
      <c r="AU9" s="158"/>
      <c r="AV9" s="158"/>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199">
        <f>F22/$F$25</f>
        <v>0.47398769619141334</v>
      </c>
      <c r="K17" s="117">
        <f>K22/K$25</f>
        <v>0.49674335943460585</v>
      </c>
      <c r="L17" s="117">
        <f t="shared" ref="L17:AP19" si="3">L22/L$25</f>
        <v>0.48822868689454441</v>
      </c>
      <c r="M17" s="117">
        <f t="shared" si="3"/>
        <v>0.48147500627885359</v>
      </c>
      <c r="N17" s="117">
        <f t="shared" si="3"/>
        <v>0.47737656478533347</v>
      </c>
      <c r="O17" s="117">
        <f t="shared" si="3"/>
        <v>0.47023794558911891</v>
      </c>
      <c r="P17" s="117">
        <f t="shared" si="3"/>
        <v>0.46353394236211093</v>
      </c>
      <c r="Q17" s="117">
        <f t="shared" si="3"/>
        <v>0.46108769196199162</v>
      </c>
      <c r="R17" s="117">
        <f t="shared" si="3"/>
        <v>0.47398769619141334</v>
      </c>
      <c r="S17" s="117">
        <f t="shared" si="3"/>
        <v>0.48048204001899236</v>
      </c>
      <c r="T17" s="117">
        <f t="shared" si="3"/>
        <v>0.46632260330648179</v>
      </c>
      <c r="U17" s="117">
        <f t="shared" si="3"/>
        <v>0.45300257157848828</v>
      </c>
      <c r="V17" s="117">
        <f t="shared" si="3"/>
        <v>0.4383019395470128</v>
      </c>
      <c r="W17" s="117">
        <f t="shared" si="3"/>
        <v>0.42309324660385589</v>
      </c>
      <c r="X17" s="117">
        <f t="shared" si="3"/>
        <v>0.40826007694324618</v>
      </c>
      <c r="Y17" s="117">
        <f t="shared" si="3"/>
        <v>0.39299615998795007</v>
      </c>
      <c r="Z17" s="117">
        <f t="shared" si="3"/>
        <v>0.37789791506907178</v>
      </c>
      <c r="AA17" s="117">
        <f t="shared" si="3"/>
        <v>0.3622695196336565</v>
      </c>
      <c r="AB17" s="117">
        <f t="shared" si="3"/>
        <v>0.34685097544437038</v>
      </c>
      <c r="AC17" s="117">
        <f t="shared" si="3"/>
        <v>0.33263631471972044</v>
      </c>
      <c r="AD17" s="117">
        <f t="shared" si="3"/>
        <v>0.31889658049946829</v>
      </c>
      <c r="AE17" s="117">
        <f t="shared" si="3"/>
        <v>0.30575326561032051</v>
      </c>
      <c r="AF17" s="117">
        <f t="shared" si="3"/>
        <v>0.29312905643528187</v>
      </c>
      <c r="AG17" s="117">
        <f t="shared" si="3"/>
        <v>0.28141052105932723</v>
      </c>
      <c r="AH17" s="117">
        <f t="shared" si="3"/>
        <v>0.27064183869216824</v>
      </c>
      <c r="AI17" s="117">
        <f t="shared" si="3"/>
        <v>0.25930987140118861</v>
      </c>
      <c r="AJ17" s="117">
        <f t="shared" si="3"/>
        <v>0.24835342739275612</v>
      </c>
      <c r="AK17" s="117">
        <f t="shared" si="3"/>
        <v>0.23803758192513913</v>
      </c>
      <c r="AL17" s="117">
        <f t="shared" si="3"/>
        <v>0.22807517013521364</v>
      </c>
      <c r="AM17" s="117">
        <f t="shared" si="3"/>
        <v>0.18524342631999047</v>
      </c>
      <c r="AN17" s="117">
        <f t="shared" si="3"/>
        <v>0.1526060351456778</v>
      </c>
      <c r="AO17" s="117">
        <f t="shared" si="3"/>
        <v>0.1526060351456778</v>
      </c>
      <c r="AP17" s="117">
        <f t="shared" si="3"/>
        <v>0.1526060351456778</v>
      </c>
      <c r="AQ17" s="117"/>
      <c r="AR17" s="117"/>
      <c r="AS17" s="117"/>
      <c r="AT17" s="117"/>
      <c r="AU17" s="117"/>
      <c r="AV17" s="117"/>
    </row>
    <row r="18" spans="1:48">
      <c r="A18" s="4" t="s">
        <v>16</v>
      </c>
      <c r="C18" s="4" t="s">
        <v>51</v>
      </c>
      <c r="D18" s="4" t="s">
        <v>48</v>
      </c>
      <c r="E18" s="199">
        <f t="shared" ref="E18:E19" si="4">E23/$E$25</f>
        <v>0.30001919918083497</v>
      </c>
      <c r="F18" s="199">
        <f t="shared" ref="F18:F19" si="5">F23/$F$25</f>
        <v>0.32375163521226069</v>
      </c>
      <c r="K18" s="117">
        <f t="shared" ref="K18:Z19" si="6">K23/K$25</f>
        <v>0.29644362454654938</v>
      </c>
      <c r="L18" s="117">
        <f t="shared" si="6"/>
        <v>0.29989890368726985</v>
      </c>
      <c r="M18" s="117">
        <f t="shared" si="6"/>
        <v>0.30319595185227066</v>
      </c>
      <c r="N18" s="117">
        <f t="shared" si="6"/>
        <v>0.30522800836475233</v>
      </c>
      <c r="O18" s="117">
        <f t="shared" si="6"/>
        <v>0.30605482173653453</v>
      </c>
      <c r="P18" s="117">
        <f t="shared" si="6"/>
        <v>0.30932373575545169</v>
      </c>
      <c r="Q18" s="117">
        <f t="shared" si="6"/>
        <v>0.31228368417755731</v>
      </c>
      <c r="R18" s="117">
        <f t="shared" si="6"/>
        <v>0.32375163521226069</v>
      </c>
      <c r="S18" s="117">
        <f t="shared" si="6"/>
        <v>0.31007808577642904</v>
      </c>
      <c r="T18" s="117">
        <f t="shared" si="6"/>
        <v>0.31742933525837452</v>
      </c>
      <c r="U18" s="117">
        <f t="shared" si="6"/>
        <v>0.32340320310815612</v>
      </c>
      <c r="V18" s="117">
        <f t="shared" si="6"/>
        <v>0.32959823883114625</v>
      </c>
      <c r="W18" s="117">
        <f t="shared" si="6"/>
        <v>0.33633843730358648</v>
      </c>
      <c r="X18" s="117">
        <f t="shared" si="6"/>
        <v>0.34171991379260791</v>
      </c>
      <c r="Y18" s="117">
        <f t="shared" si="6"/>
        <v>0.34765271854906404</v>
      </c>
      <c r="Z18" s="117">
        <f t="shared" si="6"/>
        <v>0.35335492305300714</v>
      </c>
      <c r="AA18" s="117">
        <f t="shared" si="3"/>
        <v>0.35882669039922793</v>
      </c>
      <c r="AB18" s="117">
        <f t="shared" si="3"/>
        <v>0.36480281687636795</v>
      </c>
      <c r="AC18" s="117">
        <f t="shared" si="3"/>
        <v>0.36945447891612304</v>
      </c>
      <c r="AD18" s="117">
        <f t="shared" si="3"/>
        <v>0.374104262883032</v>
      </c>
      <c r="AE18" s="117">
        <f t="shared" si="3"/>
        <v>0.37845444222098673</v>
      </c>
      <c r="AF18" s="117">
        <f t="shared" si="3"/>
        <v>0.38260088146586679</v>
      </c>
      <c r="AG18" s="117">
        <f t="shared" si="3"/>
        <v>0.38673209101811257</v>
      </c>
      <c r="AH18" s="117">
        <f t="shared" si="3"/>
        <v>0.38955170464331734</v>
      </c>
      <c r="AI18" s="117">
        <f t="shared" si="3"/>
        <v>0.39212763822087277</v>
      </c>
      <c r="AJ18" s="117">
        <f t="shared" si="3"/>
        <v>0.39511646256846666</v>
      </c>
      <c r="AK18" s="117">
        <f t="shared" si="3"/>
        <v>0.39762237118576232</v>
      </c>
      <c r="AL18" s="117">
        <f t="shared" si="3"/>
        <v>0.40005310990863213</v>
      </c>
      <c r="AM18" s="117">
        <f t="shared" si="3"/>
        <v>0.40606127973837347</v>
      </c>
      <c r="AN18" s="117">
        <f t="shared" si="3"/>
        <v>0.40511223227252768</v>
      </c>
      <c r="AO18" s="117">
        <f t="shared" si="3"/>
        <v>0.40511223227252768</v>
      </c>
      <c r="AP18" s="117">
        <f t="shared" si="3"/>
        <v>0.40511223227252768</v>
      </c>
      <c r="AQ18" s="117"/>
      <c r="AR18" s="117"/>
      <c r="AS18" s="117"/>
      <c r="AT18" s="117"/>
      <c r="AU18" s="117"/>
      <c r="AV18" s="117"/>
    </row>
    <row r="19" spans="1:48">
      <c r="A19" s="4" t="s">
        <v>16</v>
      </c>
      <c r="C19" s="4" t="s">
        <v>50</v>
      </c>
      <c r="D19" s="4" t="s">
        <v>48</v>
      </c>
      <c r="E19" s="199">
        <f t="shared" si="4"/>
        <v>0.19994880218444014</v>
      </c>
      <c r="F19" s="199">
        <f t="shared" si="5"/>
        <v>0.20226066859632597</v>
      </c>
      <c r="K19" s="117">
        <f t="shared" si="6"/>
        <v>0.20681301601884478</v>
      </c>
      <c r="L19" s="117">
        <f t="shared" si="3"/>
        <v>0.21187240941818569</v>
      </c>
      <c r="M19" s="117">
        <f t="shared" si="3"/>
        <v>0.21532904186887566</v>
      </c>
      <c r="N19" s="117">
        <f t="shared" si="3"/>
        <v>0.21739542684991425</v>
      </c>
      <c r="O19" s="117">
        <f t="shared" si="3"/>
        <v>0.22370723267434656</v>
      </c>
      <c r="P19" s="117">
        <f t="shared" si="3"/>
        <v>0.22714232188243746</v>
      </c>
      <c r="Q19" s="117">
        <f t="shared" si="3"/>
        <v>0.22662862386045102</v>
      </c>
      <c r="R19" s="117">
        <f t="shared" si="3"/>
        <v>0.20226066859632597</v>
      </c>
      <c r="S19" s="117">
        <f t="shared" si="3"/>
        <v>0.2094398742045786</v>
      </c>
      <c r="T19" s="117">
        <f t="shared" si="3"/>
        <v>0.21624806143514363</v>
      </c>
      <c r="U19" s="117">
        <f t="shared" si="3"/>
        <v>0.22359422531335554</v>
      </c>
      <c r="V19" s="117">
        <f t="shared" si="3"/>
        <v>0.23209982162184095</v>
      </c>
      <c r="W19" s="117">
        <f t="shared" si="3"/>
        <v>0.24056831609255755</v>
      </c>
      <c r="X19" s="117">
        <f t="shared" si="3"/>
        <v>0.25002000926414591</v>
      </c>
      <c r="Y19" s="117">
        <f t="shared" si="3"/>
        <v>0.25935112146298583</v>
      </c>
      <c r="Z19" s="117">
        <f t="shared" si="3"/>
        <v>0.26874716187792114</v>
      </c>
      <c r="AA19" s="117">
        <f t="shared" si="3"/>
        <v>0.27890378996711573</v>
      </c>
      <c r="AB19" s="117">
        <f t="shared" si="3"/>
        <v>0.28834620767926178</v>
      </c>
      <c r="AC19" s="117">
        <f t="shared" si="3"/>
        <v>0.29790920636415652</v>
      </c>
      <c r="AD19" s="117">
        <f t="shared" si="3"/>
        <v>0.3069991566174996</v>
      </c>
      <c r="AE19" s="117">
        <f t="shared" si="3"/>
        <v>0.3157922921686927</v>
      </c>
      <c r="AF19" s="117">
        <f t="shared" si="3"/>
        <v>0.32427006209885145</v>
      </c>
      <c r="AG19" s="117">
        <f t="shared" si="3"/>
        <v>0.3318573879225602</v>
      </c>
      <c r="AH19" s="117">
        <f t="shared" si="3"/>
        <v>0.33980645666451442</v>
      </c>
      <c r="AI19" s="117">
        <f t="shared" si="3"/>
        <v>0.34856249037793868</v>
      </c>
      <c r="AJ19" s="117">
        <f t="shared" si="3"/>
        <v>0.35653011003877721</v>
      </c>
      <c r="AK19" s="117">
        <f t="shared" si="3"/>
        <v>0.3643400468890986</v>
      </c>
      <c r="AL19" s="117">
        <f t="shared" si="3"/>
        <v>0.3718717199561542</v>
      </c>
      <c r="AM19" s="117">
        <f t="shared" si="3"/>
        <v>0.40869529394163606</v>
      </c>
      <c r="AN19" s="117">
        <f t="shared" si="3"/>
        <v>0.44228173258179448</v>
      </c>
      <c r="AO19" s="117">
        <f t="shared" si="3"/>
        <v>0.44228173258179448</v>
      </c>
      <c r="AP19" s="117">
        <f t="shared" si="3"/>
        <v>0.44228173258179448</v>
      </c>
      <c r="AQ19" s="117"/>
      <c r="AR19" s="117"/>
      <c r="AS19" s="117"/>
      <c r="AT19" s="117"/>
      <c r="AU19" s="117"/>
      <c r="AV19" s="117"/>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26.164390783448656</v>
      </c>
      <c r="F22" s="10">
        <f>SUMIF($J$3:$AV$3,F$21,$J22:$AV22)</f>
        <v>28.111589337230718</v>
      </c>
      <c r="G22" s="10">
        <f>SUMIF($J$3:$AV$3,G$21,$J22:$AV22)</f>
        <v>22.876934152996679</v>
      </c>
      <c r="H22" s="10">
        <f>SUMIF($J$3:$AV$3,H$21,$J22:$AV22)</f>
        <v>16.278935059402933</v>
      </c>
      <c r="I22" s="24">
        <f>SUMIF($J$3:$AV$3,I$21,$J22:$AV22)</f>
        <v>11.524488674982097</v>
      </c>
      <c r="J22" s="68">
        <f>INDEX(Drivers!$C$31:$AG$33,$B22,J$21)</f>
        <v>26.164390783448656</v>
      </c>
      <c r="K22" s="68">
        <f>INDEX(Drivers!$C$31:$AG$33,$B22,K$21)</f>
        <v>26.379251330070801</v>
      </c>
      <c r="L22" s="68">
        <f>INDEX(Drivers!$C$31:$AG$33,$B22,L$21)</f>
        <v>26.321563508905001</v>
      </c>
      <c r="M22" s="68">
        <f>INDEX(Drivers!$C$31:$AG$33,$B22,M$21)</f>
        <v>26.360993218184007</v>
      </c>
      <c r="N22" s="68">
        <f>INDEX(Drivers!$C$31:$AG$33,$B22,N$21)</f>
        <v>26.55165611504972</v>
      </c>
      <c r="O22" s="68">
        <f>INDEX(Drivers!$C$31:$AG$33,$B22,O$21)</f>
        <v>26.578764727799523</v>
      </c>
      <c r="P22" s="68">
        <f>INDEX(Drivers!$C$31:$AG$33,$B22,P$21)</f>
        <v>26.623535799649542</v>
      </c>
      <c r="Q22" s="68">
        <f>INDEX(Drivers!$C$31:$AG$33,$B22,Q$21)</f>
        <v>26.911307025844376</v>
      </c>
      <c r="R22" s="68">
        <f>INDEX(Drivers!$C$31:$AG$33,$B22,R$21)</f>
        <v>28.111589337230718</v>
      </c>
      <c r="S22" s="68">
        <f>INDEX(Drivers!$C$31:$AG$33,$B22,S$21)</f>
        <v>28.824876958197162</v>
      </c>
      <c r="T22" s="68">
        <f>INDEX(Drivers!$C$31:$AG$33,$B22,T$21)</f>
        <v>28.297543879976313</v>
      </c>
      <c r="U22" s="68">
        <f>INDEX(Drivers!$C$31:$AG$33,$B22,U$21)</f>
        <v>27.805769254531878</v>
      </c>
      <c r="V22" s="68">
        <f>INDEX(Drivers!$C$31:$AG$33,$B22,V$21)</f>
        <v>27.213199869311914</v>
      </c>
      <c r="W22" s="68">
        <f>INDEX(Drivers!$C$31:$AG$33,$B22,W$21)</f>
        <v>26.571390622809556</v>
      </c>
      <c r="X22" s="68">
        <f>INDEX(Drivers!$C$31:$AG$33,$B22,X$21)</f>
        <v>25.892289016349665</v>
      </c>
      <c r="Y22" s="68">
        <f>INDEX(Drivers!$C$31:$AG$33,$B22,Y$21)</f>
        <v>25.16965032679035</v>
      </c>
      <c r="Z22" s="68">
        <f>INDEX(Drivers!$C$31:$AG$33,$B22,Z$21)</f>
        <v>24.440985496455227</v>
      </c>
      <c r="AA22" s="68">
        <f>INDEX(Drivers!$C$31:$AG$33,$B22,AA$21)</f>
        <v>23.660905169048394</v>
      </c>
      <c r="AB22" s="68">
        <f>INDEX(Drivers!$C$31:$AG$33,$B22,AB$21)</f>
        <v>22.876934152996679</v>
      </c>
      <c r="AC22" s="68">
        <f>INDEX(Drivers!$C$31:$AG$33,$B22,AC$21)</f>
        <v>22.126627431635487</v>
      </c>
      <c r="AD22" s="68">
        <f>INDEX(Drivers!$C$31:$AG$33,$B22,AD$21)</f>
        <v>21.393709090414031</v>
      </c>
      <c r="AE22" s="68">
        <f>INDEX(Drivers!$C$31:$AG$33,$B22,AE$21)</f>
        <v>20.687022591742611</v>
      </c>
      <c r="AF22" s="68">
        <f>INDEX(Drivers!$C$31:$AG$33,$B22,AF$21)</f>
        <v>20.002137821470985</v>
      </c>
      <c r="AG22" s="68">
        <f>INDEX(Drivers!$C$31:$AG$33,$B22,AG$21)</f>
        <v>19.366383894929339</v>
      </c>
      <c r="AH22" s="68">
        <f>INDEX(Drivers!$C$31:$AG$33,$B22,AH$21)</f>
        <v>18.761652894155489</v>
      </c>
      <c r="AI22" s="68">
        <f>INDEX(Drivers!$C$31:$AG$33,$B22,AI$21)</f>
        <v>18.107694833467331</v>
      </c>
      <c r="AJ22" s="68">
        <f>INDEX(Drivers!$C$31:$AG$33,$B22,AJ$21)</f>
        <v>17.469570600365106</v>
      </c>
      <c r="AK22" s="68">
        <f>INDEX(Drivers!$C$31:$AG$33,$B22,AK$21)</f>
        <v>16.866522797396804</v>
      </c>
      <c r="AL22" s="68">
        <f>INDEX(Drivers!$C$31:$AG$33,$B22,AL$21)</f>
        <v>16.278935059402933</v>
      </c>
      <c r="AM22" s="68">
        <f>INDEX(Drivers!$C$31:$AG$33,$B22,AM$21)</f>
        <v>13.637536945162143</v>
      </c>
      <c r="AN22" s="68">
        <f>INDEX(Drivers!$C$31:$AG$33,$B22,AN$21)</f>
        <v>11.524488674982097</v>
      </c>
      <c r="AO22" s="68">
        <f t="shared" ref="AO22:AP24" si="7">AN22</f>
        <v>11.524488674982097</v>
      </c>
      <c r="AP22" s="68">
        <f t="shared" si="7"/>
        <v>11.524488674982097</v>
      </c>
      <c r="AQ22" s="68"/>
      <c r="AR22" s="68"/>
      <c r="AS22" s="68"/>
      <c r="AT22" s="68"/>
      <c r="AU22" s="68"/>
      <c r="AV22" s="68"/>
    </row>
    <row r="23" spans="1:48">
      <c r="A23" s="4" t="s">
        <v>16</v>
      </c>
      <c r="B23" s="56">
        <v>2</v>
      </c>
      <c r="C23" s="4" t="s">
        <v>8</v>
      </c>
      <c r="D23" s="4" t="s">
        <v>47</v>
      </c>
      <c r="E23" s="10">
        <f>SUMIF($J$3:$AV$3,E$21,$J23:$AV23)</f>
        <v>15.698634470069196</v>
      </c>
      <c r="F23" s="10">
        <f t="shared" ref="F23:I24" si="8">SUMIF($J$3:$AV$3,F$21,$J23:$AV23)</f>
        <v>19.201285369797056</v>
      </c>
      <c r="G23" s="10">
        <f t="shared" si="8"/>
        <v>24.06096742215124</v>
      </c>
      <c r="H23" s="10">
        <f t="shared" si="8"/>
        <v>28.553913135980249</v>
      </c>
      <c r="I23" s="24">
        <f t="shared" si="8"/>
        <v>30.593228691543604</v>
      </c>
      <c r="J23" s="68">
        <f>INDEX(Drivers!$C$31:$AG$33,$B23,J$21)</f>
        <v>15.698634470069196</v>
      </c>
      <c r="K23" s="68">
        <f>INDEX(Drivers!$C$31:$AG$33,$B23,K$21)</f>
        <v>15.74245680105571</v>
      </c>
      <c r="L23" s="68">
        <f>INDEX(Drivers!$C$31:$AG$33,$B23,L$21)</f>
        <v>16.168259366046819</v>
      </c>
      <c r="M23" s="68">
        <f>INDEX(Drivers!$C$31:$AG$33,$B23,M$21)</f>
        <v>16.60012737178209</v>
      </c>
      <c r="N23" s="68">
        <f>INDEX(Drivers!$C$31:$AG$33,$B23,N$21)</f>
        <v>16.976763654970718</v>
      </c>
      <c r="O23" s="68">
        <f>INDEX(Drivers!$C$31:$AG$33,$B23,O$21)</f>
        <v>17.298814732088275</v>
      </c>
      <c r="P23" s="68">
        <f>INDEX(Drivers!$C$31:$AG$33,$B23,P$21)</f>
        <v>17.766318277795556</v>
      </c>
      <c r="Q23" s="68">
        <f>INDEX(Drivers!$C$31:$AG$33,$B23,Q$21)</f>
        <v>18.226385675800731</v>
      </c>
      <c r="R23" s="68">
        <f>INDEX(Drivers!$C$31:$AG$33,$B23,R$21)</f>
        <v>19.201285369797056</v>
      </c>
      <c r="S23" s="68">
        <f>INDEX(Drivers!$C$31:$AG$33,$B23,S$21)</f>
        <v>18.602074428391902</v>
      </c>
      <c r="T23" s="68">
        <f>INDEX(Drivers!$C$31:$AG$33,$B23,T$21)</f>
        <v>19.262352885266434</v>
      </c>
      <c r="U23" s="68">
        <f>INDEX(Drivers!$C$31:$AG$33,$B23,U$21)</f>
        <v>19.850825151980047</v>
      </c>
      <c r="V23" s="68">
        <f>INDEX(Drivers!$C$31:$AG$33,$B23,V$21)</f>
        <v>20.464027056679534</v>
      </c>
      <c r="W23" s="68">
        <f>INDEX(Drivers!$C$31:$AG$33,$B23,W$21)</f>
        <v>21.122955922354091</v>
      </c>
      <c r="X23" s="68">
        <f>INDEX(Drivers!$C$31:$AG$33,$B23,X$21)</f>
        <v>21.67224098130535</v>
      </c>
      <c r="Y23" s="68">
        <f>INDEX(Drivers!$C$31:$AG$33,$B23,Y$21)</f>
        <v>22.265605244861177</v>
      </c>
      <c r="Z23" s="68">
        <f>INDEX(Drivers!$C$31:$AG$33,$B23,Z$21)</f>
        <v>22.853639051861556</v>
      </c>
      <c r="AA23" s="68">
        <f>INDEX(Drivers!$C$31:$AG$33,$B23,AA$21)</f>
        <v>23.436043700958507</v>
      </c>
      <c r="AB23" s="68">
        <f>INDEX(Drivers!$C$31:$AG$33,$B23,AB$21)</f>
        <v>24.06096742215124</v>
      </c>
      <c r="AC23" s="68">
        <f>INDEX(Drivers!$C$31:$AG$33,$B23,AC$21)</f>
        <v>24.575734056018984</v>
      </c>
      <c r="AD23" s="68">
        <f>INDEX(Drivers!$C$31:$AG$33,$B23,AD$21)</f>
        <v>25.097408561321046</v>
      </c>
      <c r="AE23" s="68">
        <f>INDEX(Drivers!$C$31:$AG$33,$B23,AE$21)</f>
        <v>25.605926335874379</v>
      </c>
      <c r="AF23" s="68">
        <f>INDEX(Drivers!$C$31:$AG$33,$B23,AF$21)</f>
        <v>26.107393292094784</v>
      </c>
      <c r="AG23" s="68">
        <f>INDEX(Drivers!$C$31:$AG$33,$B23,AG$21)</f>
        <v>26.614506490205308</v>
      </c>
      <c r="AH23" s="68">
        <f>INDEX(Drivers!$C$31:$AG$33,$B23,AH$21)</f>
        <v>27.004818996805</v>
      </c>
      <c r="AI23" s="68">
        <f>INDEX(Drivers!$C$31:$AG$33,$B23,AI$21)</f>
        <v>27.382403802462019</v>
      </c>
      <c r="AJ23" s="68">
        <f>INDEX(Drivers!$C$31:$AG$33,$B23,AJ$21)</f>
        <v>27.793113268738708</v>
      </c>
      <c r="AK23" s="68">
        <f>INDEX(Drivers!$C$31:$AG$33,$B23,AK$21)</f>
        <v>28.17415104842048</v>
      </c>
      <c r="AL23" s="68">
        <f>INDEX(Drivers!$C$31:$AG$33,$B23,AL$21)</f>
        <v>28.553913135980249</v>
      </c>
      <c r="AM23" s="68">
        <f>INDEX(Drivers!$C$31:$AG$33,$B23,AM$21)</f>
        <v>29.894047062518041</v>
      </c>
      <c r="AN23" s="68">
        <f>INDEX(Drivers!$C$31:$AG$33,$B23,AN$21)</f>
        <v>30.593228691543604</v>
      </c>
      <c r="AO23" s="68">
        <f t="shared" si="7"/>
        <v>30.593228691543604</v>
      </c>
      <c r="AP23" s="68">
        <f t="shared" si="7"/>
        <v>30.593228691543604</v>
      </c>
      <c r="AQ23" s="68"/>
      <c r="AR23" s="68"/>
      <c r="AS23" s="68"/>
      <c r="AT23" s="68"/>
      <c r="AU23" s="68"/>
      <c r="AV23" s="68"/>
    </row>
    <row r="24" spans="1:48">
      <c r="A24" s="4" t="s">
        <v>16</v>
      </c>
      <c r="B24" s="56">
        <v>3</v>
      </c>
      <c r="C24" s="4" t="s">
        <v>406</v>
      </c>
      <c r="D24" s="4" t="s">
        <v>47</v>
      </c>
      <c r="E24" s="10">
        <f>SUMIF($J$3:$AV$3,E$21,$J24:$AV24)</f>
        <v>10.46240762855223</v>
      </c>
      <c r="F24" s="10">
        <f t="shared" si="8"/>
        <v>11.995815292972233</v>
      </c>
      <c r="G24" s="10">
        <f t="shared" si="8"/>
        <v>19.018188424852077</v>
      </c>
      <c r="H24" s="10">
        <f t="shared" si="8"/>
        <v>26.542457804616809</v>
      </c>
      <c r="I24" s="24">
        <f t="shared" si="8"/>
        <v>33.400191633474286</v>
      </c>
      <c r="J24" s="68">
        <f>INDEX(Drivers!$C$31:$AG$33,$B24,J$21)</f>
        <v>10.46240762855223</v>
      </c>
      <c r="K24" s="68">
        <f>INDEX(Drivers!$C$31:$AG$33,$B24,K$21)</f>
        <v>10.98267832729683</v>
      </c>
      <c r="L24" s="68">
        <f>INDEX(Drivers!$C$31:$AG$33,$B24,L$21)</f>
        <v>11.422542816477451</v>
      </c>
      <c r="M24" s="68">
        <f>INDEX(Drivers!$C$31:$AG$33,$B24,M$21)</f>
        <v>11.789370867355018</v>
      </c>
      <c r="N24" s="68">
        <f>INDEX(Drivers!$C$31:$AG$33,$B24,N$21)</f>
        <v>12.091520699804388</v>
      </c>
      <c r="O24" s="68">
        <f>INDEX(Drivers!$C$31:$AG$33,$B24,O$21)</f>
        <v>12.644368581760297</v>
      </c>
      <c r="P24" s="68">
        <f>INDEX(Drivers!$C$31:$AG$33,$B24,P$21)</f>
        <v>13.046146539854554</v>
      </c>
      <c r="Q24" s="68">
        <f>INDEX(Drivers!$C$31:$AG$33,$B24,Q$21)</f>
        <v>13.227142220174334</v>
      </c>
      <c r="R24" s="68">
        <f>INDEX(Drivers!$C$31:$AG$33,$B24,R$21)</f>
        <v>11.995815292972233</v>
      </c>
      <c r="S24" s="68">
        <f>INDEX(Drivers!$C$31:$AG$33,$B24,S$21)</f>
        <v>12.564629062615198</v>
      </c>
      <c r="T24" s="68">
        <f>INDEX(Drivers!$C$31:$AG$33,$B24,T$21)</f>
        <v>13.122437051156627</v>
      </c>
      <c r="U24" s="68">
        <f>INDEX(Drivers!$C$31:$AG$33,$B24,U$21)</f>
        <v>13.724446230062442</v>
      </c>
      <c r="V24" s="68">
        <f>INDEX(Drivers!$C$31:$AG$33,$B24,V$21)</f>
        <v>14.410565561162251</v>
      </c>
      <c r="W24" s="68">
        <f>INDEX(Drivers!$C$31:$AG$33,$B24,W$21)</f>
        <v>15.108335454836382</v>
      </c>
      <c r="X24" s="68">
        <f>INDEX(Drivers!$C$31:$AG$33,$B24,X$21)</f>
        <v>15.85653534435013</v>
      </c>
      <c r="Y24" s="68">
        <f>INDEX(Drivers!$C$31:$AG$33,$B24,Y$21)</f>
        <v>16.610281991774265</v>
      </c>
      <c r="Z24" s="68">
        <f>INDEX(Drivers!$C$31:$AG$33,$B24,Z$21)</f>
        <v>17.381534069779672</v>
      </c>
      <c r="AA24" s="68">
        <f>INDEX(Drivers!$C$31:$AG$33,$B24,AA$21)</f>
        <v>18.216040180177025</v>
      </c>
      <c r="AB24" s="68">
        <f>INDEX(Drivers!$C$31:$AG$33,$B24,AB$21)</f>
        <v>19.018188424852077</v>
      </c>
      <c r="AC24" s="68">
        <f>INDEX(Drivers!$C$31:$AG$33,$B24,AC$21)</f>
        <v>19.816615703033193</v>
      </c>
      <c r="AD24" s="68">
        <f>INDEX(Drivers!$C$31:$AG$33,$B24,AD$21)</f>
        <v>20.595550561848036</v>
      </c>
      <c r="AE24" s="68">
        <f>INDEX(Drivers!$C$31:$AG$33,$B24,AE$21)</f>
        <v>21.366255138278458</v>
      </c>
      <c r="AF24" s="68">
        <f>INDEX(Drivers!$C$31:$AG$33,$B24,AF$21)</f>
        <v>22.127094981149391</v>
      </c>
      <c r="AG24" s="68">
        <f>INDEX(Drivers!$C$31:$AG$33,$B24,AG$21)</f>
        <v>22.838085614865363</v>
      </c>
      <c r="AH24" s="68">
        <f>INDEX(Drivers!$C$31:$AG$33,$B24,AH$21)</f>
        <v>23.556338598423054</v>
      </c>
      <c r="AI24" s="68">
        <f>INDEX(Drivers!$C$31:$AG$33,$B24,AI$21)</f>
        <v>24.340234993954709</v>
      </c>
      <c r="AJ24" s="68">
        <f>INDEX(Drivers!$C$31:$AG$33,$B24,AJ$21)</f>
        <v>25.078888557589632</v>
      </c>
      <c r="AK24" s="68">
        <f>INDEX(Drivers!$C$31:$AG$33,$B24,AK$21)</f>
        <v>25.815880236895538</v>
      </c>
      <c r="AL24" s="68">
        <f>INDEX(Drivers!$C$31:$AG$33,$B24,AL$21)</f>
        <v>26.542457804616809</v>
      </c>
      <c r="AM24" s="68">
        <f>INDEX(Drivers!$C$31:$AG$33,$B24,AM$21)</f>
        <v>30.087961992319787</v>
      </c>
      <c r="AN24" s="68">
        <f>INDEX(Drivers!$C$31:$AG$33,$B24,AN$21)</f>
        <v>33.400191633474286</v>
      </c>
      <c r="AO24" s="68">
        <f t="shared" si="7"/>
        <v>33.400191633474286</v>
      </c>
      <c r="AP24" s="68">
        <f t="shared" si="7"/>
        <v>33.400191633474286</v>
      </c>
      <c r="AQ24" s="68"/>
      <c r="AR24" s="68"/>
      <c r="AS24" s="68"/>
      <c r="AT24" s="68"/>
      <c r="AU24" s="68"/>
      <c r="AV24" s="68"/>
    </row>
    <row r="25" spans="1:48">
      <c r="A25" s="4" t="s">
        <v>16</v>
      </c>
      <c r="E25" s="49">
        <f t="shared" ref="E25:K25" si="9">SUM(E22:E24)</f>
        <v>52.325432882070082</v>
      </c>
      <c r="F25" s="49">
        <f t="shared" si="9"/>
        <v>59.308690000000006</v>
      </c>
      <c r="G25" s="49">
        <f t="shared" si="9"/>
        <v>65.956089999999989</v>
      </c>
      <c r="H25" s="49">
        <f t="shared" si="9"/>
        <v>71.375305999999995</v>
      </c>
      <c r="I25" s="49">
        <f t="shared" si="9"/>
        <v>75.517908999999989</v>
      </c>
      <c r="J25" s="121">
        <f t="shared" si="9"/>
        <v>52.325432882070082</v>
      </c>
      <c r="K25" s="121">
        <f t="shared" si="9"/>
        <v>53.104386458423342</v>
      </c>
      <c r="L25" s="121">
        <f t="shared" ref="L25:AP25" si="10">SUM(L22:L24)</f>
        <v>53.912365691429272</v>
      </c>
      <c r="M25" s="121">
        <f t="shared" si="10"/>
        <v>54.750491457321118</v>
      </c>
      <c r="N25" s="121">
        <f t="shared" si="10"/>
        <v>55.619940469824826</v>
      </c>
      <c r="O25" s="121">
        <f t="shared" si="10"/>
        <v>56.521948041648095</v>
      </c>
      <c r="P25" s="121">
        <f t="shared" si="10"/>
        <v>57.436000617299648</v>
      </c>
      <c r="Q25" s="121">
        <f t="shared" si="10"/>
        <v>58.364834921819444</v>
      </c>
      <c r="R25" s="121">
        <f t="shared" si="10"/>
        <v>59.308690000000006</v>
      </c>
      <c r="S25" s="121">
        <f t="shared" si="10"/>
        <v>59.991580449204264</v>
      </c>
      <c r="T25" s="121">
        <f t="shared" si="10"/>
        <v>60.682333816399378</v>
      </c>
      <c r="U25" s="121">
        <f t="shared" si="10"/>
        <v>61.381040636574369</v>
      </c>
      <c r="V25" s="121">
        <f t="shared" si="10"/>
        <v>62.087792487153699</v>
      </c>
      <c r="W25" s="121">
        <f t="shared" si="10"/>
        <v>62.802682000000033</v>
      </c>
      <c r="X25" s="121">
        <f t="shared" si="10"/>
        <v>63.421065342005143</v>
      </c>
      <c r="Y25" s="121">
        <f t="shared" si="10"/>
        <v>64.045537563425796</v>
      </c>
      <c r="Z25" s="121">
        <f t="shared" si="10"/>
        <v>64.676158618096451</v>
      </c>
      <c r="AA25" s="121">
        <f t="shared" si="10"/>
        <v>65.312989050183916</v>
      </c>
      <c r="AB25" s="121">
        <f t="shared" si="10"/>
        <v>65.956089999999989</v>
      </c>
      <c r="AC25" s="121">
        <f t="shared" si="10"/>
        <v>66.518977190687664</v>
      </c>
      <c r="AD25" s="121">
        <f t="shared" si="10"/>
        <v>67.086668213583124</v>
      </c>
      <c r="AE25" s="121">
        <f t="shared" si="10"/>
        <v>67.659204065895452</v>
      </c>
      <c r="AF25" s="121">
        <f t="shared" si="10"/>
        <v>68.236626094715149</v>
      </c>
      <c r="AG25" s="121">
        <f t="shared" si="10"/>
        <v>68.818976000000006</v>
      </c>
      <c r="AH25" s="121">
        <f t="shared" si="10"/>
        <v>69.322810489383542</v>
      </c>
      <c r="AI25" s="121">
        <f t="shared" si="10"/>
        <v>69.830333629884052</v>
      </c>
      <c r="AJ25" s="121">
        <f t="shared" si="10"/>
        <v>70.341572426693446</v>
      </c>
      <c r="AK25" s="121">
        <f t="shared" si="10"/>
        <v>70.856554082712819</v>
      </c>
      <c r="AL25" s="121">
        <f t="shared" si="10"/>
        <v>71.375305999999995</v>
      </c>
      <c r="AM25" s="121">
        <f t="shared" si="10"/>
        <v>73.619545999999971</v>
      </c>
      <c r="AN25" s="121">
        <f t="shared" si="10"/>
        <v>75.517908999999989</v>
      </c>
      <c r="AO25" s="121">
        <f t="shared" si="10"/>
        <v>75.517908999999989</v>
      </c>
      <c r="AP25" s="121">
        <f t="shared" si="10"/>
        <v>75.517908999999989</v>
      </c>
      <c r="AQ25" s="121"/>
      <c r="AR25" s="121"/>
      <c r="AS25" s="121"/>
      <c r="AT25" s="121"/>
      <c r="AU25" s="121"/>
      <c r="AV25" s="121"/>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22">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29">
        <f>(AL29+AN29)/2</f>
        <v>0.92500000000000004</v>
      </c>
      <c r="AN29" s="4">
        <f t="shared" si="11"/>
        <v>0.95</v>
      </c>
      <c r="AO29" s="4">
        <f t="shared" si="11"/>
        <v>0.95</v>
      </c>
      <c r="AP29" s="4">
        <f t="shared" si="11"/>
        <v>0.95</v>
      </c>
    </row>
    <row r="30" spans="1:48">
      <c r="A30" s="4" t="s">
        <v>16</v>
      </c>
      <c r="C30" s="4" t="s">
        <v>8</v>
      </c>
      <c r="D30" s="4" t="s">
        <v>48</v>
      </c>
      <c r="E30" s="88">
        <v>0.83</v>
      </c>
      <c r="F30" s="35">
        <v>0.9</v>
      </c>
      <c r="G30" s="35">
        <v>0.95</v>
      </c>
      <c r="H30" s="35">
        <v>0.95</v>
      </c>
      <c r="I30" s="122">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29">
        <f>(AL30+AN30)/2</f>
        <v>0.97499999999999998</v>
      </c>
      <c r="AN30" s="4">
        <f t="shared" si="11"/>
        <v>1</v>
      </c>
      <c r="AO30" s="4">
        <f t="shared" si="11"/>
        <v>1</v>
      </c>
      <c r="AP30" s="4">
        <f t="shared" si="11"/>
        <v>1</v>
      </c>
    </row>
    <row r="31" spans="1:48">
      <c r="A31" s="4" t="s">
        <v>16</v>
      </c>
      <c r="C31" s="4" t="s">
        <v>54</v>
      </c>
      <c r="D31" s="4" t="s">
        <v>48</v>
      </c>
      <c r="E31" s="88">
        <f>(E29*E22+E30*E23+E24)/E25</f>
        <v>0.80398745653518777</v>
      </c>
      <c r="F31" s="71">
        <f>(F29*F22+F30*F23+F24)/F25</f>
        <v>0.87282729724049135</v>
      </c>
      <c r="G31" s="71">
        <f>(G29*G22+G30*G23+G24)/G25</f>
        <v>0.92973221283952601</v>
      </c>
      <c r="H31" s="71">
        <f>(H29*H22+H30*H23+H24)/H25</f>
        <v>0.95718982749104697</v>
      </c>
      <c r="I31" s="71">
        <f>(I29*I22+I30*I23+I24)/I25</f>
        <v>0.99236969824271593</v>
      </c>
      <c r="J31" s="67"/>
    </row>
    <row r="32" spans="1:48">
      <c r="A32" s="4" t="s">
        <v>16</v>
      </c>
      <c r="N32" s="199"/>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18.576717456248545</v>
      </c>
      <c r="F34" s="10">
        <f t="shared" si="12"/>
        <v>22.489271469784576</v>
      </c>
      <c r="G34" s="10">
        <f t="shared" si="12"/>
        <v>19.445394030047176</v>
      </c>
      <c r="H34" s="10">
        <f t="shared" si="12"/>
        <v>14.65104155346264</v>
      </c>
      <c r="I34" s="10">
        <f t="shared" si="12"/>
        <v>10.948264241232991</v>
      </c>
      <c r="J34" s="10">
        <f t="shared" ref="J34:AP34" si="13">J29*J22</f>
        <v>18.576717456248545</v>
      </c>
      <c r="K34" s="10">
        <f t="shared" si="13"/>
        <v>19.026035021813563</v>
      </c>
      <c r="L34" s="10">
        <f t="shared" si="13"/>
        <v>19.28054527027291</v>
      </c>
      <c r="M34" s="10">
        <f t="shared" si="13"/>
        <v>19.605988706024352</v>
      </c>
      <c r="N34" s="10">
        <f t="shared" si="13"/>
        <v>20.046500366862535</v>
      </c>
      <c r="O34" s="24">
        <f t="shared" si="13"/>
        <v>20.365978472676382</v>
      </c>
      <c r="P34" s="24">
        <f t="shared" si="13"/>
        <v>20.699799084227514</v>
      </c>
      <c r="Q34" s="24">
        <f t="shared" si="13"/>
        <v>21.226293416634746</v>
      </c>
      <c r="R34" s="138">
        <f t="shared" si="13"/>
        <v>22.489271469784576</v>
      </c>
      <c r="S34" s="10">
        <f t="shared" si="13"/>
        <v>23.204025951348719</v>
      </c>
      <c r="T34" s="10">
        <f t="shared" si="13"/>
        <v>22.921010542780817</v>
      </c>
      <c r="U34" s="10">
        <f t="shared" si="13"/>
        <v>22.661701942443482</v>
      </c>
      <c r="V34" s="10">
        <f t="shared" si="13"/>
        <v>22.314823892835772</v>
      </c>
      <c r="W34" s="10">
        <f t="shared" si="13"/>
        <v>21.921397263817884</v>
      </c>
      <c r="X34" s="10">
        <f t="shared" si="13"/>
        <v>21.490599883570223</v>
      </c>
      <c r="Y34" s="10">
        <f t="shared" si="13"/>
        <v>21.016658022869944</v>
      </c>
      <c r="Z34" s="10">
        <f t="shared" si="13"/>
        <v>20.530427817022392</v>
      </c>
      <c r="AA34" s="10">
        <f t="shared" si="13"/>
        <v>19.993464867845894</v>
      </c>
      <c r="AB34" s="10">
        <f t="shared" si="13"/>
        <v>19.445394030047176</v>
      </c>
      <c r="AC34" s="10">
        <f t="shared" si="13"/>
        <v>18.918266454048343</v>
      </c>
      <c r="AD34" s="10">
        <f t="shared" si="13"/>
        <v>18.398589817756065</v>
      </c>
      <c r="AE34" s="10">
        <f t="shared" si="13"/>
        <v>17.89427454185736</v>
      </c>
      <c r="AF34" s="10">
        <f t="shared" si="13"/>
        <v>17.401859904679757</v>
      </c>
      <c r="AG34" s="10">
        <f t="shared" si="13"/>
        <v>16.945585908063173</v>
      </c>
      <c r="AH34" s="10">
        <f t="shared" si="13"/>
        <v>16.510254546856832</v>
      </c>
      <c r="AI34" s="10">
        <f t="shared" si="13"/>
        <v>16.02530992761859</v>
      </c>
      <c r="AJ34" s="10">
        <f t="shared" si="13"/>
        <v>15.547917834324945</v>
      </c>
      <c r="AK34" s="10">
        <f t="shared" si="13"/>
        <v>15.09553790367014</v>
      </c>
      <c r="AL34" s="10">
        <f t="shared" si="13"/>
        <v>14.65104155346264</v>
      </c>
      <c r="AM34" s="10">
        <f t="shared" si="13"/>
        <v>12.614721674274984</v>
      </c>
      <c r="AN34" s="10">
        <f t="shared" si="13"/>
        <v>10.948264241232991</v>
      </c>
      <c r="AO34" s="10">
        <f t="shared" si="13"/>
        <v>10.948264241232991</v>
      </c>
      <c r="AP34" s="10">
        <f t="shared" si="13"/>
        <v>10.948264241232991</v>
      </c>
      <c r="AQ34" s="10"/>
      <c r="AR34" s="10"/>
      <c r="AS34" s="10"/>
      <c r="AT34" s="10"/>
      <c r="AU34" s="10"/>
      <c r="AV34" s="10"/>
    </row>
    <row r="35" spans="1:48">
      <c r="A35" s="4" t="s">
        <v>16</v>
      </c>
      <c r="B35" s="4" t="str">
        <f>[5]RES!B27</f>
        <v>ME</v>
      </c>
      <c r="C35" s="4" t="str">
        <f>[5]RES!A27</f>
        <v>Middle Income Electrified</v>
      </c>
      <c r="D35" s="4" t="s">
        <v>47</v>
      </c>
      <c r="E35" s="10">
        <f t="shared" si="12"/>
        <v>13.029866610157432</v>
      </c>
      <c r="F35" s="10">
        <f t="shared" si="12"/>
        <v>17.281156832817352</v>
      </c>
      <c r="G35" s="10">
        <f t="shared" si="12"/>
        <v>22.857919051043677</v>
      </c>
      <c r="H35" s="10">
        <f t="shared" si="12"/>
        <v>27.126217479181236</v>
      </c>
      <c r="I35" s="10">
        <f t="shared" si="12"/>
        <v>30.593228691543604</v>
      </c>
      <c r="J35" s="10">
        <f t="shared" ref="J35:AP35" si="14">J30*J23</f>
        <v>13.029866610157432</v>
      </c>
      <c r="K35" s="10">
        <f t="shared" si="14"/>
        <v>13.203985641885476</v>
      </c>
      <c r="L35" s="10">
        <f t="shared" si="14"/>
        <v>13.70259981272468</v>
      </c>
      <c r="M35" s="10">
        <f t="shared" si="14"/>
        <v>14.213859062088416</v>
      </c>
      <c r="N35" s="10">
        <f t="shared" si="14"/>
        <v>14.684900561549673</v>
      </c>
      <c r="O35" s="10">
        <f t="shared" si="14"/>
        <v>15.114839372162132</v>
      </c>
      <c r="P35" s="10">
        <f t="shared" si="14"/>
        <v>15.67877588015458</v>
      </c>
      <c r="Q35" s="10">
        <f t="shared" si="14"/>
        <v>16.244266233557404</v>
      </c>
      <c r="R35" s="10">
        <f t="shared" si="14"/>
        <v>17.281156832817352</v>
      </c>
      <c r="S35" s="10">
        <f t="shared" si="14"/>
        <v>16.834877357694673</v>
      </c>
      <c r="T35" s="10">
        <f t="shared" si="14"/>
        <v>17.528741125592457</v>
      </c>
      <c r="U35" s="10">
        <f t="shared" si="14"/>
        <v>18.163505014061744</v>
      </c>
      <c r="V35" s="10">
        <f t="shared" si="14"/>
        <v>18.826904892145173</v>
      </c>
      <c r="W35" s="10">
        <f t="shared" si="14"/>
        <v>19.538734228177535</v>
      </c>
      <c r="X35" s="10">
        <f t="shared" si="14"/>
        <v>20.155184112613977</v>
      </c>
      <c r="Y35" s="10">
        <f t="shared" si="14"/>
        <v>20.818340903945202</v>
      </c>
      <c r="Z35" s="10">
        <f t="shared" si="14"/>
        <v>21.482420708749864</v>
      </c>
      <c r="AA35" s="10">
        <f t="shared" si="14"/>
        <v>22.147061297405791</v>
      </c>
      <c r="AB35" s="10">
        <f t="shared" si="14"/>
        <v>22.857919051043677</v>
      </c>
      <c r="AC35" s="10">
        <f t="shared" si="14"/>
        <v>23.346947353218034</v>
      </c>
      <c r="AD35" s="10">
        <f t="shared" si="14"/>
        <v>23.842538133254994</v>
      </c>
      <c r="AE35" s="10">
        <f t="shared" si="14"/>
        <v>24.325630019080659</v>
      </c>
      <c r="AF35" s="10">
        <f t="shared" si="14"/>
        <v>24.802023627490044</v>
      </c>
      <c r="AG35" s="10">
        <f t="shared" si="14"/>
        <v>25.283781165695043</v>
      </c>
      <c r="AH35" s="10">
        <f t="shared" si="14"/>
        <v>25.654578046964748</v>
      </c>
      <c r="AI35" s="10">
        <f t="shared" si="14"/>
        <v>26.013283612338917</v>
      </c>
      <c r="AJ35" s="10">
        <f t="shared" si="14"/>
        <v>26.403457605301771</v>
      </c>
      <c r="AK35" s="10">
        <f t="shared" si="14"/>
        <v>26.765443495999456</v>
      </c>
      <c r="AL35" s="10">
        <f t="shared" si="14"/>
        <v>27.126217479181236</v>
      </c>
      <c r="AM35" s="10">
        <f t="shared" si="14"/>
        <v>29.14669588595509</v>
      </c>
      <c r="AN35" s="10">
        <f t="shared" si="14"/>
        <v>30.593228691543604</v>
      </c>
      <c r="AO35" s="10">
        <f t="shared" si="14"/>
        <v>30.593228691543604</v>
      </c>
      <c r="AP35" s="10">
        <f t="shared" si="14"/>
        <v>30.593228691543604</v>
      </c>
      <c r="AQ35" s="10"/>
      <c r="AR35" s="10"/>
      <c r="AS35" s="10"/>
      <c r="AT35" s="10"/>
      <c r="AU35" s="10"/>
      <c r="AV35" s="10"/>
    </row>
    <row r="36" spans="1:48">
      <c r="A36" s="4" t="s">
        <v>16</v>
      </c>
      <c r="B36" s="4" t="str">
        <f>[5]RES!B28</f>
        <v>HE</v>
      </c>
      <c r="C36" s="4" t="str">
        <f>[5]RES!A28</f>
        <v>High Income Electrified</v>
      </c>
      <c r="D36" s="4" t="s">
        <v>47</v>
      </c>
      <c r="E36" s="10">
        <f>E24</f>
        <v>10.46240762855223</v>
      </c>
      <c r="F36" s="10">
        <f>F24</f>
        <v>11.995815292972233</v>
      </c>
      <c r="G36" s="10">
        <f>G24</f>
        <v>19.018188424852077</v>
      </c>
      <c r="H36" s="10">
        <f>H24</f>
        <v>26.542457804616809</v>
      </c>
      <c r="I36" s="10">
        <f>I24</f>
        <v>33.400191633474286</v>
      </c>
      <c r="J36" s="10">
        <f t="shared" ref="J36:AP36" si="15">J24</f>
        <v>10.46240762855223</v>
      </c>
      <c r="K36" s="10">
        <f t="shared" si="15"/>
        <v>10.98267832729683</v>
      </c>
      <c r="L36" s="10">
        <f t="shared" si="15"/>
        <v>11.422542816477451</v>
      </c>
      <c r="M36" s="10">
        <f t="shared" si="15"/>
        <v>11.789370867355018</v>
      </c>
      <c r="N36" s="10">
        <f t="shared" si="15"/>
        <v>12.091520699804388</v>
      </c>
      <c r="O36" s="10">
        <f t="shared" si="15"/>
        <v>12.644368581760297</v>
      </c>
      <c r="P36" s="10">
        <f t="shared" si="15"/>
        <v>13.046146539854554</v>
      </c>
      <c r="Q36" s="10">
        <f t="shared" si="15"/>
        <v>13.227142220174334</v>
      </c>
      <c r="R36" s="10">
        <f t="shared" si="15"/>
        <v>11.995815292972233</v>
      </c>
      <c r="S36" s="10">
        <f t="shared" si="15"/>
        <v>12.564629062615198</v>
      </c>
      <c r="T36" s="10">
        <f t="shared" si="15"/>
        <v>13.122437051156627</v>
      </c>
      <c r="U36" s="10">
        <f t="shared" si="15"/>
        <v>13.724446230062442</v>
      </c>
      <c r="V36" s="10">
        <f t="shared" si="15"/>
        <v>14.410565561162251</v>
      </c>
      <c r="W36" s="10">
        <f t="shared" si="15"/>
        <v>15.108335454836382</v>
      </c>
      <c r="X36" s="10">
        <f t="shared" si="15"/>
        <v>15.85653534435013</v>
      </c>
      <c r="Y36" s="10">
        <f t="shared" si="15"/>
        <v>16.610281991774265</v>
      </c>
      <c r="Z36" s="10">
        <f t="shared" si="15"/>
        <v>17.381534069779672</v>
      </c>
      <c r="AA36" s="10">
        <f t="shared" si="15"/>
        <v>18.216040180177025</v>
      </c>
      <c r="AB36" s="10">
        <f t="shared" si="15"/>
        <v>19.018188424852077</v>
      </c>
      <c r="AC36" s="10">
        <f t="shared" si="15"/>
        <v>19.816615703033193</v>
      </c>
      <c r="AD36" s="10">
        <f t="shared" si="15"/>
        <v>20.595550561848036</v>
      </c>
      <c r="AE36" s="10">
        <f t="shared" si="15"/>
        <v>21.366255138278458</v>
      </c>
      <c r="AF36" s="10">
        <f t="shared" si="15"/>
        <v>22.127094981149391</v>
      </c>
      <c r="AG36" s="10">
        <f t="shared" si="15"/>
        <v>22.838085614865363</v>
      </c>
      <c r="AH36" s="10">
        <f t="shared" si="15"/>
        <v>23.556338598423054</v>
      </c>
      <c r="AI36" s="10">
        <f t="shared" si="15"/>
        <v>24.340234993954709</v>
      </c>
      <c r="AJ36" s="10">
        <f t="shared" si="15"/>
        <v>25.078888557589632</v>
      </c>
      <c r="AK36" s="10">
        <f t="shared" si="15"/>
        <v>25.815880236895538</v>
      </c>
      <c r="AL36" s="10">
        <f t="shared" si="15"/>
        <v>26.542457804616809</v>
      </c>
      <c r="AM36" s="10">
        <f t="shared" si="15"/>
        <v>30.087961992319787</v>
      </c>
      <c r="AN36" s="10">
        <f t="shared" si="15"/>
        <v>33.400191633474286</v>
      </c>
      <c r="AO36" s="10">
        <f t="shared" si="15"/>
        <v>33.400191633474286</v>
      </c>
      <c r="AP36" s="10">
        <f t="shared" si="15"/>
        <v>33.400191633474286</v>
      </c>
      <c r="AQ36" s="10"/>
      <c r="AR36" s="10"/>
      <c r="AS36" s="10"/>
      <c r="AT36" s="10"/>
      <c r="AU36" s="10"/>
      <c r="AV36" s="10"/>
    </row>
    <row r="37" spans="1:48">
      <c r="A37" s="4" t="s">
        <v>16</v>
      </c>
      <c r="B37" s="4" t="str">
        <f>[5]RES!B29</f>
        <v>LN</v>
      </c>
      <c r="C37" s="4" t="str">
        <f>[5]RES!A29</f>
        <v>Low Income Non-Electrified</v>
      </c>
      <c r="D37" s="4" t="s">
        <v>47</v>
      </c>
      <c r="E37" s="10">
        <f t="shared" ref="E37:I38" si="16">E22-E34</f>
        <v>7.5876733272001111</v>
      </c>
      <c r="F37" s="10">
        <f t="shared" si="16"/>
        <v>5.6223178674461423</v>
      </c>
      <c r="G37" s="10">
        <f t="shared" si="16"/>
        <v>3.4315401229495031</v>
      </c>
      <c r="H37" s="10">
        <f t="shared" si="16"/>
        <v>1.6278935059402926</v>
      </c>
      <c r="I37" s="10">
        <f t="shared" si="16"/>
        <v>0.57622443374910581</v>
      </c>
      <c r="J37" s="10">
        <f t="shared" ref="J37:AP37" si="17">J22-J34</f>
        <v>7.5876733272001111</v>
      </c>
      <c r="K37" s="10">
        <f t="shared" si="17"/>
        <v>7.3532163082572382</v>
      </c>
      <c r="L37" s="10">
        <f t="shared" si="17"/>
        <v>7.0410182386320912</v>
      </c>
      <c r="M37" s="10">
        <f t="shared" si="17"/>
        <v>6.7550045121596547</v>
      </c>
      <c r="N37" s="10">
        <f t="shared" si="17"/>
        <v>6.5051557481871853</v>
      </c>
      <c r="O37" s="10">
        <f t="shared" si="17"/>
        <v>6.2127862551231416</v>
      </c>
      <c r="P37" s="10">
        <f t="shared" si="17"/>
        <v>5.9237367154220273</v>
      </c>
      <c r="Q37" s="10">
        <f t="shared" si="17"/>
        <v>5.6850136092096299</v>
      </c>
      <c r="R37" s="10">
        <f t="shared" si="17"/>
        <v>5.6223178674461423</v>
      </c>
      <c r="S37" s="10">
        <f t="shared" si="17"/>
        <v>5.6208510068484436</v>
      </c>
      <c r="T37" s="10">
        <f t="shared" si="17"/>
        <v>5.3765333371954966</v>
      </c>
      <c r="U37" s="10">
        <f t="shared" si="17"/>
        <v>5.1440673120883957</v>
      </c>
      <c r="V37" s="10">
        <f t="shared" si="17"/>
        <v>4.8983759764761423</v>
      </c>
      <c r="W37" s="10">
        <f t="shared" si="17"/>
        <v>4.6499933589916722</v>
      </c>
      <c r="X37" s="10">
        <f t="shared" si="17"/>
        <v>4.4016891327794418</v>
      </c>
      <c r="Y37" s="10">
        <f t="shared" si="17"/>
        <v>4.1529923039204064</v>
      </c>
      <c r="Z37" s="10">
        <f t="shared" si="17"/>
        <v>3.9105576794328343</v>
      </c>
      <c r="AA37" s="10">
        <f t="shared" si="17"/>
        <v>3.6674403012025003</v>
      </c>
      <c r="AB37" s="10">
        <f t="shared" si="17"/>
        <v>3.4315401229495031</v>
      </c>
      <c r="AC37" s="10">
        <f t="shared" si="17"/>
        <v>3.2083609775871444</v>
      </c>
      <c r="AD37" s="10">
        <f t="shared" si="17"/>
        <v>2.9951192726579663</v>
      </c>
      <c r="AE37" s="10">
        <f t="shared" si="17"/>
        <v>2.792748049885251</v>
      </c>
      <c r="AF37" s="10">
        <f t="shared" si="17"/>
        <v>2.600277916791228</v>
      </c>
      <c r="AG37" s="10">
        <f t="shared" si="17"/>
        <v>2.420797986866166</v>
      </c>
      <c r="AH37" s="10">
        <f t="shared" si="17"/>
        <v>2.2513983472986574</v>
      </c>
      <c r="AI37" s="10">
        <f t="shared" si="17"/>
        <v>2.0823849058487411</v>
      </c>
      <c r="AJ37" s="10">
        <f t="shared" si="17"/>
        <v>1.921652766040161</v>
      </c>
      <c r="AK37" s="10">
        <f t="shared" si="17"/>
        <v>1.7709848937266646</v>
      </c>
      <c r="AL37" s="10">
        <f t="shared" si="17"/>
        <v>1.6278935059402926</v>
      </c>
      <c r="AM37" s="10">
        <f t="shared" si="17"/>
        <v>1.0228152708871594</v>
      </c>
      <c r="AN37" s="10">
        <f t="shared" si="17"/>
        <v>0.57622443374910581</v>
      </c>
      <c r="AO37" s="10">
        <f t="shared" si="17"/>
        <v>0.57622443374910581</v>
      </c>
      <c r="AP37" s="10">
        <f t="shared" si="17"/>
        <v>0.57622443374910581</v>
      </c>
      <c r="AQ37" s="10"/>
      <c r="AR37" s="10"/>
      <c r="AS37" s="10"/>
      <c r="AT37" s="10"/>
      <c r="AU37" s="10"/>
      <c r="AV37" s="10"/>
    </row>
    <row r="38" spans="1:48">
      <c r="A38" s="4" t="s">
        <v>16</v>
      </c>
      <c r="B38" s="4" t="str">
        <f>[5]RES!B30</f>
        <v>MN</v>
      </c>
      <c r="C38" s="4" t="str">
        <f>[5]RES!A30</f>
        <v>Middle Income Non-Electrified</v>
      </c>
      <c r="D38" s="4" t="s">
        <v>47</v>
      </c>
      <c r="E38" s="10">
        <f t="shared" si="16"/>
        <v>2.6687678599117639</v>
      </c>
      <c r="F38" s="10">
        <f t="shared" si="16"/>
        <v>1.9201285369797034</v>
      </c>
      <c r="G38" s="10">
        <f t="shared" si="16"/>
        <v>1.2030483711075632</v>
      </c>
      <c r="H38" s="10">
        <f t="shared" si="16"/>
        <v>1.4276956567990133</v>
      </c>
      <c r="I38" s="10">
        <f t="shared" si="16"/>
        <v>0</v>
      </c>
      <c r="J38" s="10">
        <f t="shared" ref="J38:AP38" si="18">J23-J35</f>
        <v>2.6687678599117639</v>
      </c>
      <c r="K38" s="10">
        <f t="shared" si="18"/>
        <v>2.5384711591702338</v>
      </c>
      <c r="L38" s="10">
        <f t="shared" si="18"/>
        <v>2.4656595533221388</v>
      </c>
      <c r="M38" s="10">
        <f t="shared" si="18"/>
        <v>2.3862683096936745</v>
      </c>
      <c r="N38" s="10">
        <f t="shared" si="18"/>
        <v>2.2918630934210444</v>
      </c>
      <c r="O38" s="10">
        <f t="shared" si="18"/>
        <v>2.1839753599261424</v>
      </c>
      <c r="P38" s="10">
        <f t="shared" si="18"/>
        <v>2.0875423976409753</v>
      </c>
      <c r="Q38" s="10">
        <f t="shared" si="18"/>
        <v>1.9821194422433273</v>
      </c>
      <c r="R38" s="10">
        <f t="shared" si="18"/>
        <v>1.9201285369797034</v>
      </c>
      <c r="S38" s="10">
        <f t="shared" si="18"/>
        <v>1.7671970706972289</v>
      </c>
      <c r="T38" s="10">
        <f t="shared" si="18"/>
        <v>1.7336117596739768</v>
      </c>
      <c r="U38" s="10">
        <f t="shared" si="18"/>
        <v>1.6873201379183023</v>
      </c>
      <c r="V38" s="10">
        <f t="shared" si="18"/>
        <v>1.637122164534361</v>
      </c>
      <c r="W38" s="10">
        <f t="shared" si="18"/>
        <v>1.5842216941765557</v>
      </c>
      <c r="X38" s="10">
        <f t="shared" si="18"/>
        <v>1.5170568686913732</v>
      </c>
      <c r="Y38" s="10">
        <f t="shared" si="18"/>
        <v>1.4472643409159751</v>
      </c>
      <c r="Z38" s="10">
        <f t="shared" si="18"/>
        <v>1.3712183431116927</v>
      </c>
      <c r="AA38" s="10">
        <f t="shared" si="18"/>
        <v>1.2889824035527155</v>
      </c>
      <c r="AB38" s="10">
        <f t="shared" si="18"/>
        <v>1.2030483711075632</v>
      </c>
      <c r="AC38" s="10">
        <f t="shared" si="18"/>
        <v>1.2287867028009494</v>
      </c>
      <c r="AD38" s="10">
        <f t="shared" si="18"/>
        <v>1.2548704280660523</v>
      </c>
      <c r="AE38" s="10">
        <f t="shared" si="18"/>
        <v>1.28029631679372</v>
      </c>
      <c r="AF38" s="10">
        <f t="shared" si="18"/>
        <v>1.3053696646047399</v>
      </c>
      <c r="AG38" s="10">
        <f t="shared" si="18"/>
        <v>1.330725324510265</v>
      </c>
      <c r="AH38" s="10">
        <f t="shared" si="18"/>
        <v>1.3502409498402521</v>
      </c>
      <c r="AI38" s="10">
        <f t="shared" si="18"/>
        <v>1.3691201901231018</v>
      </c>
      <c r="AJ38" s="10">
        <f t="shared" si="18"/>
        <v>1.3896556634369368</v>
      </c>
      <c r="AK38" s="10">
        <f t="shared" si="18"/>
        <v>1.4087075524210242</v>
      </c>
      <c r="AL38" s="10">
        <f t="shared" si="18"/>
        <v>1.4276956567990133</v>
      </c>
      <c r="AM38" s="10">
        <f t="shared" si="18"/>
        <v>0.74735117656295103</v>
      </c>
      <c r="AN38" s="10">
        <f t="shared" si="18"/>
        <v>0</v>
      </c>
      <c r="AO38" s="10">
        <f t="shared" si="18"/>
        <v>0</v>
      </c>
      <c r="AP38" s="10">
        <f t="shared" si="18"/>
        <v>0</v>
      </c>
      <c r="AQ38" s="10"/>
      <c r="AR38" s="10"/>
      <c r="AS38" s="10"/>
      <c r="AT38" s="10"/>
      <c r="AU38" s="10"/>
      <c r="AV38" s="10"/>
    </row>
    <row r="39" spans="1:48">
      <c r="A39" s="4" t="s">
        <v>16</v>
      </c>
      <c r="B39" s="25"/>
      <c r="J39" s="43"/>
      <c r="K39" s="6">
        <f>SUM(K34:K38)</f>
        <v>53.104386458423342</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9"/>
        <v>0.95221843003412987</v>
      </c>
      <c r="G45" s="10">
        <f t="shared" si="19"/>
        <v>1.4534975989004102</v>
      </c>
      <c r="H45" s="10">
        <f t="shared" si="19"/>
        <v>2.3000370272294726</v>
      </c>
      <c r="I45" s="10">
        <f t="shared" si="19"/>
        <v>3.4578865447130722</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0.99252832469648189</v>
      </c>
      <c r="T45" s="54">
        <f>INDEX(Drivers!$C$34:$AG$34,1,T21)/Drivers!$C$34</f>
        <v>1.0151512247620875</v>
      </c>
      <c r="U45" s="54">
        <f>INDEX(Drivers!$C$34:$AG$34,1,U21)/Drivers!$C$34</f>
        <v>1.0416658964473708</v>
      </c>
      <c r="V45" s="54">
        <f>INDEX(Drivers!$C$34:$AG$34,1,V21)/Drivers!$C$34</f>
        <v>1.0737809224146291</v>
      </c>
      <c r="W45" s="54">
        <f>INDEX(Drivers!$C$34:$AG$34,1,W21)/Drivers!$C$34</f>
        <v>1.107414688526152</v>
      </c>
      <c r="X45" s="54">
        <f>INDEX(Drivers!$C$34:$AG$34,1,X21)/Drivers!$C$34</f>
        <v>1.1460476409458784</v>
      </c>
      <c r="Y45" s="54">
        <f>INDEX(Drivers!$C$34:$AG$34,1,Y21)/Drivers!$C$34</f>
        <v>1.1861360526705251</v>
      </c>
      <c r="Z45" s="54">
        <f>INDEX(Drivers!$C$34:$AG$34,1,Z21)/Drivers!$C$34</f>
        <v>1.3416487153592691</v>
      </c>
      <c r="AA45" s="54">
        <f>INDEX(Drivers!$C$34:$AG$34,1,AA21)/Drivers!$C$34</f>
        <v>1.3978421006970532</v>
      </c>
      <c r="AB45" s="54">
        <f>INDEX(Drivers!$C$34:$AG$34,1,AB21)/Drivers!$C$34</f>
        <v>1.4534975989004102</v>
      </c>
      <c r="AC45" s="54">
        <f>INDEX(Drivers!$C$34:$AG$34,1,AC21)/Drivers!$C$34</f>
        <v>1.5129183070447565</v>
      </c>
      <c r="AD45" s="54">
        <f>INDEX(Drivers!$C$34:$AG$34,1,AD21)/Drivers!$C$34</f>
        <v>1.5733198681989398</v>
      </c>
      <c r="AE45" s="54">
        <f>INDEX(Drivers!$C$34:$AG$34,1,AE21)/Drivers!$C$34</f>
        <v>1.6359046183105035</v>
      </c>
      <c r="AF45" s="54">
        <f>INDEX(Drivers!$C$34:$AG$34,1,AF21)/Drivers!$C$34</f>
        <v>1.7015268487105961</v>
      </c>
      <c r="AG45" s="54">
        <f>INDEX(Drivers!$C$34:$AG$34,1,AG21)/Drivers!$C$34</f>
        <v>1.763130745812322</v>
      </c>
      <c r="AH45" s="54">
        <f>INDEX(Drivers!$C$34:$AG$34,1,AH21)/Drivers!$C$34</f>
        <v>1.830240075937007</v>
      </c>
      <c r="AI45" s="54">
        <f>INDEX(Drivers!$C$34:$AG$34,1,AI21)/Drivers!$C$34</f>
        <v>1.9118723586912199</v>
      </c>
      <c r="AJ45" s="54">
        <f>INDEX(Drivers!$C$34:$AG$34,1,AJ21)/Drivers!$C$34</f>
        <v>2.118737422507905</v>
      </c>
      <c r="AK45" s="54">
        <f>INDEX(Drivers!$C$34:$AG$34,1,AK21)/Drivers!$C$34</f>
        <v>2.2078368443047522</v>
      </c>
      <c r="AL45" s="54">
        <f>INDEX(Drivers!$C$34:$AG$34,1,AL21)/Drivers!$C$34</f>
        <v>2.3000370272294726</v>
      </c>
      <c r="AM45" s="54">
        <f>INDEX(Drivers!$C$34:$AG$34,1,AM21)/Drivers!$C$34</f>
        <v>2.8275777444236585</v>
      </c>
      <c r="AN45" s="54">
        <f>INDEX(Drivers!$C$34:$AG$34,1,AN21)/Drivers!$C$34</f>
        <v>3.4578865447130722</v>
      </c>
      <c r="AO45" s="37">
        <f>AN45</f>
        <v>3.4578865447130722</v>
      </c>
      <c r="AP45" s="37">
        <f>AO45</f>
        <v>3.4578865447130722</v>
      </c>
      <c r="AQ45" s="37"/>
      <c r="AR45" s="37"/>
      <c r="AS45" s="68"/>
      <c r="AT45" s="68"/>
      <c r="AU45" s="68"/>
      <c r="AV45" s="68"/>
    </row>
    <row r="46" spans="1:48">
      <c r="A46" s="4" t="s">
        <v>16</v>
      </c>
      <c r="H46" s="118">
        <f>I46^(1/40)-1</f>
        <v>3.1502461059964126E-2</v>
      </c>
      <c r="I46" s="6">
        <f>I45/E45</f>
        <v>3.4578865447130722</v>
      </c>
      <c r="L46" s="24"/>
    </row>
    <row r="47" spans="1:48" ht="15.75" thickBot="1">
      <c r="A47" s="4" t="s">
        <v>16</v>
      </c>
      <c r="C47" s="87" t="s">
        <v>213</v>
      </c>
      <c r="D47" s="87"/>
      <c r="E47" s="7">
        <v>2012</v>
      </c>
      <c r="F47" s="7">
        <v>2020</v>
      </c>
      <c r="G47" s="7">
        <v>2030</v>
      </c>
      <c r="H47" s="7">
        <v>2040</v>
      </c>
      <c r="I47" s="7">
        <v>2050</v>
      </c>
    </row>
    <row r="48" spans="1:48">
      <c r="A48" s="4" t="s">
        <v>16</v>
      </c>
      <c r="C48" s="4" t="s">
        <v>49</v>
      </c>
      <c r="D48" s="36" t="s">
        <v>55</v>
      </c>
      <c r="E48" s="88"/>
      <c r="F48" s="88">
        <f t="shared" ref="F48:I50" si="20">(F43/E43)^(1/(F$42-E$42))-1</f>
        <v>0</v>
      </c>
      <c r="G48" s="88">
        <f t="shared" si="20"/>
        <v>0</v>
      </c>
      <c r="H48" s="88">
        <f t="shared" si="20"/>
        <v>0</v>
      </c>
      <c r="I48" s="88">
        <f t="shared" si="20"/>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8"/>
      <c r="F49" s="88">
        <f t="shared" si="20"/>
        <v>0</v>
      </c>
      <c r="G49" s="88">
        <f t="shared" si="20"/>
        <v>0</v>
      </c>
      <c r="H49" s="88">
        <f t="shared" si="20"/>
        <v>0</v>
      </c>
      <c r="I49" s="88">
        <f t="shared" si="20"/>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8"/>
      <c r="F50" s="63">
        <f t="shared" si="20"/>
        <v>-6.1014137136932156E-3</v>
      </c>
      <c r="G50" s="63">
        <f>(G45/F45)^(1/(G$42-F$42))-1</f>
        <v>4.3200468852294893E-2</v>
      </c>
      <c r="H50" s="63">
        <f>(H45/G45)^(1/(H$42-G$42))-1</f>
        <v>4.6964728592738592E-2</v>
      </c>
      <c r="I50" s="63">
        <f>(I45/H45)^(1/(I$42-H$42))-1</f>
        <v>4.161587732249572E-2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0.39854650240109957</v>
      </c>
      <c r="H63" s="6">
        <f t="shared" si="21"/>
        <v>0.39769996297277049</v>
      </c>
      <c r="I63" s="6">
        <f t="shared" si="21"/>
        <v>0.39654211345528689</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0.39899765365307921</v>
      </c>
      <c r="T63" s="4">
        <f t="shared" si="22"/>
        <v>0.39894752573619258</v>
      </c>
      <c r="U63" s="4">
        <f t="shared" si="22"/>
        <v>0.39889739781930594</v>
      </c>
      <c r="V63" s="4">
        <f t="shared" si="22"/>
        <v>0.39884726990241931</v>
      </c>
      <c r="W63" s="4">
        <f t="shared" si="22"/>
        <v>0.39879714198553268</v>
      </c>
      <c r="X63" s="4">
        <f t="shared" si="22"/>
        <v>0.39874701406864604</v>
      </c>
      <c r="Y63" s="4">
        <f t="shared" si="22"/>
        <v>0.39869688615175941</v>
      </c>
      <c r="Z63" s="4">
        <f t="shared" si="22"/>
        <v>0.39864675823487278</v>
      </c>
      <c r="AA63" s="4">
        <f t="shared" si="22"/>
        <v>0.39859663031798614</v>
      </c>
      <c r="AB63" s="4">
        <f t="shared" si="22"/>
        <v>0.39854650240109957</v>
      </c>
      <c r="AC63" s="4">
        <f t="shared" si="22"/>
        <v>0.39846184845826665</v>
      </c>
      <c r="AD63" s="4">
        <f t="shared" si="22"/>
        <v>0.39837719451543374</v>
      </c>
      <c r="AE63" s="4">
        <f t="shared" si="22"/>
        <v>0.39829254057260083</v>
      </c>
      <c r="AF63" s="4">
        <f t="shared" si="22"/>
        <v>0.39820788662976792</v>
      </c>
      <c r="AG63" s="4">
        <f t="shared" si="22"/>
        <v>0.398123232686935</v>
      </c>
      <c r="AH63" s="4">
        <f t="shared" si="22"/>
        <v>0.39803857874410209</v>
      </c>
      <c r="AI63" s="4">
        <f t="shared" si="22"/>
        <v>0.39795392480126918</v>
      </c>
      <c r="AJ63" s="4">
        <f t="shared" si="22"/>
        <v>0.39786927085843626</v>
      </c>
      <c r="AK63" s="4">
        <f t="shared" si="22"/>
        <v>0.39778461691560335</v>
      </c>
      <c r="AL63" s="4">
        <f t="shared" si="22"/>
        <v>0.39769996297277049</v>
      </c>
      <c r="AM63" s="4">
        <f t="shared" si="22"/>
        <v>0.39758417802102214</v>
      </c>
      <c r="AN63" s="4">
        <f t="shared" si="22"/>
        <v>0.39654211345528689</v>
      </c>
      <c r="AO63" s="4">
        <f t="shared" si="22"/>
        <v>0.39654211345528689</v>
      </c>
      <c r="AP63" s="4">
        <f t="shared" si="22"/>
        <v>0.39654211345528689</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0.69709300480219916</v>
      </c>
      <c r="H65" s="6">
        <f t="shared" si="21"/>
        <v>0.69539992594554101</v>
      </c>
      <c r="I65" s="6">
        <f t="shared" si="21"/>
        <v>0.69308422691057381</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0.69799530730615844</v>
      </c>
      <c r="T65" s="4">
        <f t="shared" si="25"/>
        <v>0.69789505147238518</v>
      </c>
      <c r="U65" s="4">
        <f t="shared" si="25"/>
        <v>0.69779479563861191</v>
      </c>
      <c r="V65" s="4">
        <f t="shared" si="25"/>
        <v>0.69769453980483864</v>
      </c>
      <c r="W65" s="4">
        <f t="shared" si="25"/>
        <v>0.69759428397106538</v>
      </c>
      <c r="X65" s="4">
        <f t="shared" si="25"/>
        <v>0.69749402813729211</v>
      </c>
      <c r="Y65" s="4">
        <f t="shared" si="25"/>
        <v>0.69739377230351884</v>
      </c>
      <c r="Z65" s="4">
        <f t="shared" si="25"/>
        <v>0.69729351646974558</v>
      </c>
      <c r="AA65" s="4">
        <f t="shared" si="25"/>
        <v>0.69719326063597231</v>
      </c>
      <c r="AB65" s="4">
        <f t="shared" si="25"/>
        <v>0.69709300480219916</v>
      </c>
      <c r="AC65" s="4">
        <f t="shared" si="25"/>
        <v>0.69692369691653333</v>
      </c>
      <c r="AD65" s="4">
        <f t="shared" si="25"/>
        <v>0.6967543890308675</v>
      </c>
      <c r="AE65" s="4">
        <f t="shared" si="25"/>
        <v>0.69658508114520168</v>
      </c>
      <c r="AF65" s="4">
        <f t="shared" si="25"/>
        <v>0.69641577325953585</v>
      </c>
      <c r="AG65" s="4">
        <f t="shared" si="25"/>
        <v>0.69624646537387003</v>
      </c>
      <c r="AH65" s="4">
        <f t="shared" si="25"/>
        <v>0.6960771574882042</v>
      </c>
      <c r="AI65" s="4">
        <f t="shared" si="25"/>
        <v>0.69590784960253838</v>
      </c>
      <c r="AJ65" s="4">
        <f t="shared" si="25"/>
        <v>0.69573854171687255</v>
      </c>
      <c r="AK65" s="4">
        <f t="shared" si="25"/>
        <v>0.69556923383120672</v>
      </c>
      <c r="AL65" s="4">
        <f t="shared" si="25"/>
        <v>0.69539992594554101</v>
      </c>
      <c r="AM65" s="4">
        <f t="shared" si="25"/>
        <v>0.6951683560420443</v>
      </c>
      <c r="AN65" s="4">
        <f t="shared" si="25"/>
        <v>0.69308422691057381</v>
      </c>
      <c r="AO65" s="4">
        <f t="shared" si="25"/>
        <v>0.69308422691057381</v>
      </c>
      <c r="AP65" s="4">
        <f t="shared" si="25"/>
        <v>0.69308422691057381</v>
      </c>
    </row>
    <row r="66" spans="1:42">
      <c r="A66" s="4" t="s">
        <v>16</v>
      </c>
      <c r="C66" s="4" t="str">
        <f t="shared" si="23"/>
        <v>Cooking</v>
      </c>
      <c r="E66" s="6">
        <f t="shared" si="21"/>
        <v>0.39899999999999997</v>
      </c>
      <c r="F66" s="6">
        <f t="shared" si="21"/>
        <v>0.39904778156996584</v>
      </c>
      <c r="G66" s="6">
        <f t="shared" si="21"/>
        <v>0.39854650240109957</v>
      </c>
      <c r="H66" s="6">
        <f t="shared" si="21"/>
        <v>0.39769996297277049</v>
      </c>
      <c r="I66" s="6">
        <f t="shared" si="21"/>
        <v>0.39654211345528689</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0.39899765365307921</v>
      </c>
      <c r="T66" s="4">
        <f t="shared" si="26"/>
        <v>0.39894752573619258</v>
      </c>
      <c r="U66" s="4">
        <f t="shared" si="26"/>
        <v>0.39889739781930594</v>
      </c>
      <c r="V66" s="4">
        <f t="shared" si="26"/>
        <v>0.39884726990241931</v>
      </c>
      <c r="W66" s="4">
        <f t="shared" si="26"/>
        <v>0.39879714198553268</v>
      </c>
      <c r="X66" s="4">
        <f t="shared" si="26"/>
        <v>0.39874701406864604</v>
      </c>
      <c r="Y66" s="4">
        <f t="shared" si="26"/>
        <v>0.39869688615175941</v>
      </c>
      <c r="Z66" s="4">
        <f t="shared" si="26"/>
        <v>0.39864675823487278</v>
      </c>
      <c r="AA66" s="4">
        <f t="shared" si="26"/>
        <v>0.39859663031798614</v>
      </c>
      <c r="AB66" s="4">
        <f t="shared" si="26"/>
        <v>0.39854650240109957</v>
      </c>
      <c r="AC66" s="4">
        <f t="shared" si="26"/>
        <v>0.39846184845826665</v>
      </c>
      <c r="AD66" s="4">
        <f t="shared" si="26"/>
        <v>0.39837719451543374</v>
      </c>
      <c r="AE66" s="4">
        <f t="shared" si="26"/>
        <v>0.39829254057260083</v>
      </c>
      <c r="AF66" s="4">
        <f t="shared" si="26"/>
        <v>0.39820788662976792</v>
      </c>
      <c r="AG66" s="4">
        <f t="shared" si="26"/>
        <v>0.398123232686935</v>
      </c>
      <c r="AH66" s="4">
        <f t="shared" si="26"/>
        <v>0.39803857874410209</v>
      </c>
      <c r="AI66" s="4">
        <f t="shared" si="26"/>
        <v>0.39795392480126918</v>
      </c>
      <c r="AJ66" s="4">
        <f t="shared" si="26"/>
        <v>0.39786927085843626</v>
      </c>
      <c r="AK66" s="4">
        <f t="shared" si="26"/>
        <v>0.39778461691560335</v>
      </c>
      <c r="AL66" s="4">
        <f t="shared" si="26"/>
        <v>0.39769996297277049</v>
      </c>
      <c r="AM66" s="4">
        <f t="shared" si="26"/>
        <v>0.39758417802102214</v>
      </c>
      <c r="AN66" s="4">
        <f t="shared" si="26"/>
        <v>0.39654211345528689</v>
      </c>
      <c r="AO66" s="4">
        <f t="shared" si="26"/>
        <v>0.39654211345528689</v>
      </c>
      <c r="AP66" s="4">
        <f t="shared" si="26"/>
        <v>0.39654211345528689</v>
      </c>
    </row>
    <row r="67" spans="1:42">
      <c r="A67" s="4" t="s">
        <v>16</v>
      </c>
      <c r="C67" s="4" t="str">
        <f t="shared" si="23"/>
        <v>Space Heating</v>
      </c>
      <c r="E67" s="6">
        <f t="shared" si="21"/>
        <v>0.29899999999999999</v>
      </c>
      <c r="F67" s="6">
        <f t="shared" si="21"/>
        <v>0.29904778156996586</v>
      </c>
      <c r="G67" s="6">
        <f t="shared" si="21"/>
        <v>0.29854650240109959</v>
      </c>
      <c r="H67" s="6">
        <f t="shared" si="21"/>
        <v>0.29769996297277052</v>
      </c>
      <c r="I67" s="6">
        <f t="shared" si="21"/>
        <v>0.29654211345528692</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0.29899765365307923</v>
      </c>
      <c r="T67" s="4">
        <f t="shared" si="27"/>
        <v>0.2989475257361926</v>
      </c>
      <c r="U67" s="4">
        <f t="shared" si="27"/>
        <v>0.29889739781930597</v>
      </c>
      <c r="V67" s="4">
        <f t="shared" si="27"/>
        <v>0.29884726990241933</v>
      </c>
      <c r="W67" s="4">
        <f t="shared" si="27"/>
        <v>0.2987971419855327</v>
      </c>
      <c r="X67" s="4">
        <f t="shared" si="27"/>
        <v>0.29874701406864607</v>
      </c>
      <c r="Y67" s="4">
        <f t="shared" si="27"/>
        <v>0.29869688615175943</v>
      </c>
      <c r="Z67" s="4">
        <f t="shared" si="27"/>
        <v>0.2986467582348728</v>
      </c>
      <c r="AA67" s="4">
        <f t="shared" si="27"/>
        <v>0.29859663031798617</v>
      </c>
      <c r="AB67" s="4">
        <f t="shared" si="27"/>
        <v>0.29854650240109959</v>
      </c>
      <c r="AC67" s="4">
        <f t="shared" si="27"/>
        <v>0.29846184845826668</v>
      </c>
      <c r="AD67" s="4">
        <f t="shared" si="27"/>
        <v>0.29837719451543376</v>
      </c>
      <c r="AE67" s="4">
        <f t="shared" si="27"/>
        <v>0.29829254057260085</v>
      </c>
      <c r="AF67" s="4">
        <f t="shared" si="27"/>
        <v>0.29820788662976794</v>
      </c>
      <c r="AG67" s="4">
        <f t="shared" si="27"/>
        <v>0.29812323268693502</v>
      </c>
      <c r="AH67" s="4">
        <f t="shared" si="27"/>
        <v>0.29803857874410211</v>
      </c>
      <c r="AI67" s="4">
        <f t="shared" si="27"/>
        <v>0.2979539248012692</v>
      </c>
      <c r="AJ67" s="4">
        <f t="shared" si="27"/>
        <v>0.29786927085843629</v>
      </c>
      <c r="AK67" s="4">
        <f t="shared" si="27"/>
        <v>0.29778461691560337</v>
      </c>
      <c r="AL67" s="4">
        <f t="shared" si="27"/>
        <v>0.29769996297277052</v>
      </c>
      <c r="AM67" s="4">
        <f t="shared" si="27"/>
        <v>0.29758417802102216</v>
      </c>
      <c r="AN67" s="4">
        <f t="shared" si="27"/>
        <v>0.29654211345528692</v>
      </c>
      <c r="AO67" s="4">
        <f t="shared" si="27"/>
        <v>0.29654211345528692</v>
      </c>
      <c r="AP67" s="4">
        <f t="shared" si="27"/>
        <v>0.29654211345528692</v>
      </c>
    </row>
    <row r="68" spans="1:42">
      <c r="A68" s="4" t="s">
        <v>16</v>
      </c>
      <c r="C68" s="4" t="str">
        <f t="shared" si="23"/>
        <v>Water Heating Geyser</v>
      </c>
      <c r="E68" s="6">
        <f t="shared" si="21"/>
        <v>0.69799999999999995</v>
      </c>
      <c r="F68" s="6">
        <f t="shared" si="21"/>
        <v>0.69809556313993171</v>
      </c>
      <c r="G68" s="6">
        <f t="shared" si="21"/>
        <v>0.69709300480219916</v>
      </c>
      <c r="H68" s="6">
        <f t="shared" si="21"/>
        <v>0.69539992594554101</v>
      </c>
      <c r="I68" s="6">
        <f t="shared" si="21"/>
        <v>0.69308422691057381</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0.69799530730615844</v>
      </c>
      <c r="T68" s="4">
        <f t="shared" si="28"/>
        <v>0.69789505147238518</v>
      </c>
      <c r="U68" s="4">
        <f t="shared" si="28"/>
        <v>0.69779479563861191</v>
      </c>
      <c r="V68" s="4">
        <f t="shared" si="28"/>
        <v>0.69769453980483864</v>
      </c>
      <c r="W68" s="4">
        <f t="shared" si="28"/>
        <v>0.69759428397106538</v>
      </c>
      <c r="X68" s="4">
        <f t="shared" si="28"/>
        <v>0.69749402813729211</v>
      </c>
      <c r="Y68" s="4">
        <f t="shared" si="28"/>
        <v>0.69739377230351884</v>
      </c>
      <c r="Z68" s="4">
        <f t="shared" si="28"/>
        <v>0.69729351646974558</v>
      </c>
      <c r="AA68" s="4">
        <f t="shared" si="28"/>
        <v>0.69719326063597231</v>
      </c>
      <c r="AB68" s="4">
        <f t="shared" si="28"/>
        <v>0.69709300480219916</v>
      </c>
      <c r="AC68" s="4">
        <f t="shared" si="28"/>
        <v>0.69692369691653333</v>
      </c>
      <c r="AD68" s="4">
        <f t="shared" si="28"/>
        <v>0.6967543890308675</v>
      </c>
      <c r="AE68" s="4">
        <f t="shared" si="28"/>
        <v>0.69658508114520168</v>
      </c>
      <c r="AF68" s="4">
        <f t="shared" si="28"/>
        <v>0.69641577325953585</v>
      </c>
      <c r="AG68" s="4">
        <f t="shared" si="28"/>
        <v>0.69624646537387003</v>
      </c>
      <c r="AH68" s="4">
        <f t="shared" si="28"/>
        <v>0.6960771574882042</v>
      </c>
      <c r="AI68" s="4">
        <f t="shared" si="28"/>
        <v>0.69590784960253838</v>
      </c>
      <c r="AJ68" s="4">
        <f t="shared" si="28"/>
        <v>0.69573854171687255</v>
      </c>
      <c r="AK68" s="4">
        <f t="shared" si="28"/>
        <v>0.69556923383120672</v>
      </c>
      <c r="AL68" s="4">
        <f t="shared" si="28"/>
        <v>0.69539992594554101</v>
      </c>
      <c r="AM68" s="4">
        <f t="shared" si="28"/>
        <v>0.6951683560420443</v>
      </c>
      <c r="AN68" s="4">
        <f t="shared" si="28"/>
        <v>0.69308422691057381</v>
      </c>
      <c r="AO68" s="4">
        <f t="shared" si="28"/>
        <v>0.69308422691057381</v>
      </c>
      <c r="AP68" s="4">
        <f t="shared" si="28"/>
        <v>0.69308422691057381</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199" customFormat="1">
      <c r="A71" s="199" t="s">
        <v>16</v>
      </c>
      <c r="C71" s="222" t="s">
        <v>547</v>
      </c>
      <c r="D71" s="223" t="s">
        <v>548</v>
      </c>
      <c r="E71" s="224"/>
      <c r="F71" s="224"/>
      <c r="G71" s="224"/>
      <c r="H71" s="224"/>
      <c r="I71" s="224"/>
      <c r="J71" s="223"/>
      <c r="K71" s="223"/>
      <c r="L71" s="223"/>
      <c r="M71" s="223"/>
      <c r="N71" s="223"/>
    </row>
    <row r="72" spans="1:42" s="199" customFormat="1">
      <c r="A72" s="199" t="s">
        <v>16</v>
      </c>
      <c r="E72" s="200"/>
      <c r="F72" s="200"/>
      <c r="G72" s="200"/>
      <c r="H72" s="200"/>
      <c r="I72" s="200"/>
    </row>
    <row r="73" spans="1:42" s="199" customFormat="1">
      <c r="A73" s="199" t="s">
        <v>16</v>
      </c>
      <c r="E73" s="200"/>
      <c r="F73" s="200"/>
      <c r="G73" s="200"/>
      <c r="H73" s="200"/>
      <c r="I73" s="200"/>
      <c r="J73" s="199">
        <f>J94</f>
        <v>2012</v>
      </c>
      <c r="K73" s="199">
        <f t="shared" ref="K73:AP73" si="30">K94</f>
        <v>2013</v>
      </c>
      <c r="L73" s="199">
        <f t="shared" si="30"/>
        <v>2014</v>
      </c>
      <c r="M73" s="199">
        <f t="shared" si="30"/>
        <v>2015</v>
      </c>
      <c r="N73" s="199">
        <f t="shared" si="30"/>
        <v>2016</v>
      </c>
      <c r="O73" s="199">
        <f t="shared" si="30"/>
        <v>2017</v>
      </c>
      <c r="P73" s="199">
        <f t="shared" si="30"/>
        <v>2018</v>
      </c>
      <c r="Q73" s="199">
        <f t="shared" si="30"/>
        <v>2019</v>
      </c>
      <c r="R73" s="199">
        <f t="shared" si="30"/>
        <v>2020</v>
      </c>
      <c r="S73" s="199">
        <f t="shared" si="30"/>
        <v>2021</v>
      </c>
      <c r="T73" s="199">
        <f t="shared" si="30"/>
        <v>2022</v>
      </c>
      <c r="U73" s="199">
        <f t="shared" si="30"/>
        <v>2023</v>
      </c>
      <c r="V73" s="199">
        <f t="shared" si="30"/>
        <v>2024</v>
      </c>
      <c r="W73" s="199">
        <f t="shared" si="30"/>
        <v>2025</v>
      </c>
      <c r="X73" s="199">
        <f t="shared" si="30"/>
        <v>2026</v>
      </c>
      <c r="Y73" s="199">
        <f t="shared" si="30"/>
        <v>2027</v>
      </c>
      <c r="Z73" s="199">
        <f t="shared" si="30"/>
        <v>2028</v>
      </c>
      <c r="AA73" s="199">
        <f t="shared" si="30"/>
        <v>2029</v>
      </c>
      <c r="AB73" s="199">
        <f t="shared" si="30"/>
        <v>2030</v>
      </c>
      <c r="AC73" s="199">
        <f t="shared" si="30"/>
        <v>2031</v>
      </c>
      <c r="AD73" s="199">
        <f t="shared" si="30"/>
        <v>2032</v>
      </c>
      <c r="AE73" s="199">
        <f t="shared" si="30"/>
        <v>2033</v>
      </c>
      <c r="AF73" s="199">
        <f t="shared" si="30"/>
        <v>2034</v>
      </c>
      <c r="AG73" s="199">
        <f t="shared" si="30"/>
        <v>2035</v>
      </c>
      <c r="AH73" s="199">
        <f t="shared" si="30"/>
        <v>2036</v>
      </c>
      <c r="AI73" s="199">
        <f t="shared" si="30"/>
        <v>2037</v>
      </c>
      <c r="AJ73" s="199">
        <f t="shared" si="30"/>
        <v>2038</v>
      </c>
      <c r="AK73" s="199">
        <f t="shared" si="30"/>
        <v>2039</v>
      </c>
      <c r="AL73" s="199">
        <f t="shared" si="30"/>
        <v>2040</v>
      </c>
      <c r="AM73" s="199">
        <f t="shared" si="30"/>
        <v>2045</v>
      </c>
      <c r="AN73" s="199">
        <f t="shared" si="30"/>
        <v>2050</v>
      </c>
      <c r="AO73" s="199">
        <f t="shared" si="30"/>
        <v>2060</v>
      </c>
      <c r="AP73" s="199">
        <f t="shared" si="30"/>
        <v>2070</v>
      </c>
    </row>
    <row r="74" spans="1:42" s="199" customFormat="1">
      <c r="A74" s="199" t="s">
        <v>16</v>
      </c>
      <c r="C74" s="199" t="s">
        <v>549</v>
      </c>
      <c r="E74" s="200"/>
      <c r="F74" s="200"/>
      <c r="G74" s="200"/>
      <c r="H74" s="200"/>
      <c r="I74" s="200"/>
      <c r="J74" s="200">
        <f>SUM(J98,J108,J118,J127,J134)</f>
        <v>39.245429784997341</v>
      </c>
      <c r="K74" s="200">
        <f t="shared" ref="K74:AP74" si="31">SUM(K98,K108,K118,K127,K134)</f>
        <v>40.611322204789971</v>
      </c>
      <c r="L74" s="200">
        <f t="shared" si="31"/>
        <v>41.977214624582587</v>
      </c>
      <c r="M74" s="200">
        <f t="shared" si="31"/>
        <v>43.343107044375216</v>
      </c>
      <c r="N74" s="200">
        <f t="shared" si="31"/>
        <v>44.708999464167846</v>
      </c>
      <c r="O74" s="200">
        <f t="shared" si="31"/>
        <v>46.074891883960461</v>
      </c>
      <c r="P74" s="200">
        <f t="shared" ca="1" si="31"/>
        <v>47.912078454857429</v>
      </c>
      <c r="Q74" s="200">
        <f t="shared" ca="1" si="31"/>
        <v>48.538141940662911</v>
      </c>
      <c r="R74" s="200">
        <f t="shared" ca="1" si="31"/>
        <v>45.846103926434338</v>
      </c>
      <c r="S74" s="200">
        <f t="shared" ca="1" si="31"/>
        <v>47.711308430465394</v>
      </c>
      <c r="T74" s="200">
        <f t="shared" ca="1" si="31"/>
        <v>48.943407598989566</v>
      </c>
      <c r="U74" s="200">
        <f t="shared" ca="1" si="31"/>
        <v>50.310612043652505</v>
      </c>
      <c r="V74" s="200">
        <f t="shared" ca="1" si="31"/>
        <v>51.852873639118741</v>
      </c>
      <c r="W74" s="200">
        <f t="shared" ca="1" si="31"/>
        <v>53.402262035243055</v>
      </c>
      <c r="X74" s="200">
        <f t="shared" ca="1" si="31"/>
        <v>55.06751639665049</v>
      </c>
      <c r="Y74" s="200">
        <f t="shared" ca="1" si="31"/>
        <v>56.726405038552883</v>
      </c>
      <c r="Z74" s="200">
        <f t="shared" ca="1" si="31"/>
        <v>58.429037583270741</v>
      </c>
      <c r="AA74" s="200">
        <f t="shared" ca="1" si="31"/>
        <v>60.275192792929644</v>
      </c>
      <c r="AB74" s="200">
        <f t="shared" ca="1" si="31"/>
        <v>62.033308119611434</v>
      </c>
      <c r="AC74" s="200">
        <f t="shared" ca="1" si="31"/>
        <v>63.797138617085238</v>
      </c>
      <c r="AD74" s="200">
        <f t="shared" ca="1" si="31"/>
        <v>65.517524197356295</v>
      </c>
      <c r="AE74" s="200">
        <f t="shared" ca="1" si="31"/>
        <v>67.228766956709705</v>
      </c>
      <c r="AF74" s="200">
        <f t="shared" ca="1" si="31"/>
        <v>68.924357922699357</v>
      </c>
      <c r="AG74" s="200">
        <f t="shared" ca="1" si="31"/>
        <v>70.511085662842021</v>
      </c>
      <c r="AH74" s="200">
        <f t="shared" ca="1" si="31"/>
        <v>72.131961953010375</v>
      </c>
      <c r="AI74" s="200">
        <f t="shared" ca="1" si="31"/>
        <v>73.903758038212558</v>
      </c>
      <c r="AJ74" s="200">
        <f t="shared" ca="1" si="31"/>
        <v>75.562756599294943</v>
      </c>
      <c r="AK74" s="200">
        <f t="shared" ca="1" si="31"/>
        <v>77.2344078892677</v>
      </c>
      <c r="AL74" s="200">
        <f t="shared" ca="1" si="31"/>
        <v>78.885854460129181</v>
      </c>
      <c r="AM74" s="200">
        <f t="shared" ca="1" si="31"/>
        <v>87.056210926999938</v>
      </c>
      <c r="AN74" s="200">
        <f t="shared" ca="1" si="31"/>
        <v>94.861102327983332</v>
      </c>
      <c r="AO74" s="200">
        <f t="shared" ca="1" si="31"/>
        <v>94.861102327983332</v>
      </c>
      <c r="AP74" s="200">
        <f t="shared" ca="1" si="31"/>
        <v>94.861102327983332</v>
      </c>
    </row>
    <row r="75" spans="1:42" s="199" customFormat="1">
      <c r="A75" s="199" t="s">
        <v>16</v>
      </c>
      <c r="C75" s="199" t="s">
        <v>550</v>
      </c>
      <c r="D75" s="200" t="s">
        <v>487</v>
      </c>
      <c r="E75" s="225">
        <v>0.12</v>
      </c>
      <c r="F75" s="200"/>
      <c r="G75" s="200"/>
      <c r="H75" s="200"/>
      <c r="I75" s="200"/>
      <c r="M75" s="204">
        <v>0</v>
      </c>
      <c r="N75" s="204">
        <f>(($AB$75-$M$75)/($AB$73-$M$73))*(N$73-$M$73)</f>
        <v>8.0000000000000002E-3</v>
      </c>
      <c r="O75" s="204">
        <f t="shared" ref="O75:AA75" si="32">(($AB$75-$M$75)/($AB$73-$M$73))*(O$73-$M$73)</f>
        <v>1.6E-2</v>
      </c>
      <c r="P75" s="204">
        <f t="shared" si="32"/>
        <v>2.4E-2</v>
      </c>
      <c r="Q75" s="204">
        <f t="shared" si="32"/>
        <v>3.2000000000000001E-2</v>
      </c>
      <c r="R75" s="204">
        <f t="shared" si="32"/>
        <v>0.04</v>
      </c>
      <c r="S75" s="204">
        <f t="shared" si="32"/>
        <v>4.8000000000000001E-2</v>
      </c>
      <c r="T75" s="204">
        <f t="shared" si="32"/>
        <v>5.6000000000000001E-2</v>
      </c>
      <c r="U75" s="204">
        <f t="shared" si="32"/>
        <v>6.4000000000000001E-2</v>
      </c>
      <c r="V75" s="204">
        <f t="shared" si="32"/>
        <v>7.2000000000000008E-2</v>
      </c>
      <c r="W75" s="204">
        <f t="shared" si="32"/>
        <v>0.08</v>
      </c>
      <c r="X75" s="204">
        <f t="shared" si="32"/>
        <v>8.7999999999999995E-2</v>
      </c>
      <c r="Y75" s="204">
        <f t="shared" si="32"/>
        <v>9.6000000000000002E-2</v>
      </c>
      <c r="Z75" s="204">
        <f t="shared" si="32"/>
        <v>0.10400000000000001</v>
      </c>
      <c r="AA75" s="204">
        <f t="shared" si="32"/>
        <v>0.112</v>
      </c>
      <c r="AB75" s="30">
        <f>$E$75</f>
        <v>0.12</v>
      </c>
      <c r="AC75" s="204">
        <f>AB75</f>
        <v>0.12</v>
      </c>
      <c r="AD75" s="204">
        <f t="shared" ref="AD75:AP76" si="33">AC75</f>
        <v>0.12</v>
      </c>
      <c r="AE75" s="204">
        <f t="shared" si="33"/>
        <v>0.12</v>
      </c>
      <c r="AF75" s="204">
        <f t="shared" si="33"/>
        <v>0.12</v>
      </c>
      <c r="AG75" s="204">
        <f t="shared" si="33"/>
        <v>0.12</v>
      </c>
      <c r="AH75" s="204">
        <f t="shared" si="33"/>
        <v>0.12</v>
      </c>
      <c r="AI75" s="204">
        <f t="shared" si="33"/>
        <v>0.12</v>
      </c>
      <c r="AJ75" s="204">
        <f t="shared" si="33"/>
        <v>0.12</v>
      </c>
      <c r="AK75" s="204">
        <f t="shared" si="33"/>
        <v>0.12</v>
      </c>
      <c r="AL75" s="204">
        <f t="shared" si="33"/>
        <v>0.12</v>
      </c>
      <c r="AM75" s="204">
        <f t="shared" si="33"/>
        <v>0.12</v>
      </c>
      <c r="AN75" s="204">
        <f t="shared" si="33"/>
        <v>0.12</v>
      </c>
      <c r="AO75" s="204">
        <f t="shared" si="33"/>
        <v>0.12</v>
      </c>
      <c r="AP75" s="204">
        <f t="shared" si="33"/>
        <v>0.12</v>
      </c>
    </row>
    <row r="76" spans="1:42" s="199" customFormat="1">
      <c r="A76" s="199" t="s">
        <v>16</v>
      </c>
      <c r="D76" s="199" t="s">
        <v>488</v>
      </c>
      <c r="E76" s="225">
        <v>0.2</v>
      </c>
      <c r="F76" s="200"/>
      <c r="G76" s="200"/>
      <c r="H76" s="200"/>
      <c r="I76" s="200"/>
      <c r="M76" s="204">
        <v>0</v>
      </c>
      <c r="N76" s="204">
        <f>(($AB$76-$M$76)/($AB$73-$M$73))*(N$73-$M$73)</f>
        <v>1.3333333333333334E-2</v>
      </c>
      <c r="O76" s="204">
        <f t="shared" ref="O76:AA76" si="34">(($AB$76-$M$76)/($AB$73-$M$73))*(O$73-$M$73)</f>
        <v>2.6666666666666668E-2</v>
      </c>
      <c r="P76" s="204">
        <f t="shared" si="34"/>
        <v>0.04</v>
      </c>
      <c r="Q76" s="204">
        <f t="shared" si="34"/>
        <v>5.3333333333333337E-2</v>
      </c>
      <c r="R76" s="204">
        <f t="shared" si="34"/>
        <v>6.6666666666666666E-2</v>
      </c>
      <c r="S76" s="204">
        <f t="shared" si="34"/>
        <v>0.08</v>
      </c>
      <c r="T76" s="204">
        <f t="shared" si="34"/>
        <v>9.3333333333333338E-2</v>
      </c>
      <c r="U76" s="204">
        <f t="shared" si="34"/>
        <v>0.10666666666666667</v>
      </c>
      <c r="V76" s="204">
        <f t="shared" si="34"/>
        <v>0.12000000000000001</v>
      </c>
      <c r="W76" s="204">
        <f t="shared" si="34"/>
        <v>0.13333333333333333</v>
      </c>
      <c r="X76" s="204">
        <f t="shared" si="34"/>
        <v>0.14666666666666667</v>
      </c>
      <c r="Y76" s="204">
        <f t="shared" si="34"/>
        <v>0.16</v>
      </c>
      <c r="Z76" s="204">
        <f t="shared" si="34"/>
        <v>0.17333333333333334</v>
      </c>
      <c r="AA76" s="204">
        <f t="shared" si="34"/>
        <v>0.18666666666666668</v>
      </c>
      <c r="AB76" s="30">
        <f>$E$76</f>
        <v>0.2</v>
      </c>
      <c r="AC76" s="204">
        <f>AB76</f>
        <v>0.2</v>
      </c>
      <c r="AD76" s="204">
        <f t="shared" si="33"/>
        <v>0.2</v>
      </c>
      <c r="AE76" s="204">
        <f t="shared" si="33"/>
        <v>0.2</v>
      </c>
      <c r="AF76" s="204">
        <f t="shared" si="33"/>
        <v>0.2</v>
      </c>
      <c r="AG76" s="204">
        <f t="shared" si="33"/>
        <v>0.2</v>
      </c>
      <c r="AH76" s="204">
        <f t="shared" si="33"/>
        <v>0.2</v>
      </c>
      <c r="AI76" s="204">
        <f t="shared" si="33"/>
        <v>0.2</v>
      </c>
      <c r="AJ76" s="204">
        <f t="shared" si="33"/>
        <v>0.2</v>
      </c>
      <c r="AK76" s="204">
        <f t="shared" si="33"/>
        <v>0.2</v>
      </c>
      <c r="AL76" s="204">
        <f t="shared" si="33"/>
        <v>0.2</v>
      </c>
      <c r="AM76" s="204">
        <f t="shared" si="33"/>
        <v>0.2</v>
      </c>
      <c r="AN76" s="204">
        <f t="shared" si="33"/>
        <v>0.2</v>
      </c>
      <c r="AO76" s="204">
        <f t="shared" si="33"/>
        <v>0.2</v>
      </c>
      <c r="AP76" s="204">
        <f t="shared" si="33"/>
        <v>0.2</v>
      </c>
    </row>
    <row r="77" spans="1:42" s="199" customFormat="1">
      <c r="A77" s="199" t="s">
        <v>16</v>
      </c>
      <c r="C77" s="199" t="s">
        <v>551</v>
      </c>
      <c r="E77" s="200"/>
      <c r="F77" s="200"/>
      <c r="G77" s="200"/>
      <c r="H77" s="200"/>
      <c r="I77" s="200"/>
      <c r="J77" s="200">
        <f>J$74</f>
        <v>39.245429784997341</v>
      </c>
      <c r="K77" s="200">
        <f>K$74</f>
        <v>40.611322204789971</v>
      </c>
      <c r="L77" s="200">
        <f>L$74</f>
        <v>41.977214624582587</v>
      </c>
      <c r="M77" s="200">
        <f>M$74</f>
        <v>43.343107044375216</v>
      </c>
      <c r="N77" s="200">
        <f>(($M$74*(1-N$75))+((N74-$M$74)*(1-N$76)))</f>
        <v>44.344042708882277</v>
      </c>
      <c r="O77" s="200">
        <f t="shared" ref="O77:AP77" si="35">(($M$74*(1-O$75))+((O74-$M$74)*(1-O$76)))</f>
        <v>45.308554575528184</v>
      </c>
      <c r="P77" s="200">
        <f t="shared" ca="1" si="35"/>
        <v>46.689085029373132</v>
      </c>
      <c r="Q77" s="200">
        <f t="shared" ca="1" si="35"/>
        <v>46.874093987440894</v>
      </c>
      <c r="R77" s="200">
        <f t="shared" ca="1" si="35"/>
        <v>43.94551318585539</v>
      </c>
      <c r="S77" s="200">
        <f t="shared" ca="1" si="35"/>
        <v>45.281383181448163</v>
      </c>
      <c r="T77" s="200">
        <f t="shared" ca="1" si="35"/>
        <v>45.99349888607388</v>
      </c>
      <c r="U77" s="200">
        <f t="shared" ca="1" si="35"/>
        <v>46.793452659556245</v>
      </c>
      <c r="V77" s="200">
        <f t="shared" ca="1" si="35"/>
        <v>47.710997940554499</v>
      </c>
      <c r="W77" s="200">
        <f t="shared" ca="1" si="35"/>
        <v>48.593592806243997</v>
      </c>
      <c r="X77" s="200">
        <f t="shared" ca="1" si="35"/>
        <v>49.533742938411763</v>
      </c>
      <c r="Y77" s="200">
        <f t="shared" ca="1" si="35"/>
        <v>50.424139083224439</v>
      </c>
      <c r="Z77" s="200">
        <f t="shared" ca="1" si="35"/>
        <v>51.306459823913826</v>
      </c>
      <c r="AA77" s="200">
        <f t="shared" ca="1" si="35"/>
        <v>52.260108797562793</v>
      </c>
      <c r="AB77" s="200">
        <f t="shared" ca="1" si="35"/>
        <v>53.094095059239166</v>
      </c>
      <c r="AC77" s="200">
        <f t="shared" ca="1" si="35"/>
        <v>54.505159457218213</v>
      </c>
      <c r="AD77" s="200">
        <f t="shared" ca="1" si="35"/>
        <v>55.881467921435053</v>
      </c>
      <c r="AE77" s="200">
        <f t="shared" ca="1" si="35"/>
        <v>57.250462128917782</v>
      </c>
      <c r="AF77" s="200">
        <f t="shared" ca="1" si="35"/>
        <v>58.606934901709508</v>
      </c>
      <c r="AG77" s="200">
        <f t="shared" ca="1" si="35"/>
        <v>59.876317093823637</v>
      </c>
      <c r="AH77" s="200">
        <f t="shared" ca="1" si="35"/>
        <v>61.173018125958322</v>
      </c>
      <c r="AI77" s="200">
        <f t="shared" ca="1" si="35"/>
        <v>62.590454994120066</v>
      </c>
      <c r="AJ77" s="200">
        <f t="shared" ca="1" si="35"/>
        <v>63.91765384298597</v>
      </c>
      <c r="AK77" s="200">
        <f t="shared" ca="1" si="35"/>
        <v>65.254974874964176</v>
      </c>
      <c r="AL77" s="200">
        <f t="shared" ca="1" si="35"/>
        <v>66.576132131653367</v>
      </c>
      <c r="AM77" s="200">
        <f t="shared" ca="1" si="35"/>
        <v>73.112417305149961</v>
      </c>
      <c r="AN77" s="200">
        <f t="shared" ca="1" si="35"/>
        <v>79.356330425936676</v>
      </c>
      <c r="AO77" s="200">
        <f t="shared" ca="1" si="35"/>
        <v>79.356330425936676</v>
      </c>
      <c r="AP77" s="200">
        <f t="shared" ca="1" si="35"/>
        <v>79.356330425936676</v>
      </c>
    </row>
    <row r="78" spans="1:42" s="199" customFormat="1">
      <c r="A78" s="199" t="s">
        <v>16</v>
      </c>
      <c r="D78" s="199" t="s">
        <v>552</v>
      </c>
      <c r="E78" s="226">
        <f>DriversGams!A163</f>
        <v>-1</v>
      </c>
      <c r="F78" s="199" t="s">
        <v>553</v>
      </c>
      <c r="J78" s="41"/>
    </row>
    <row r="79" spans="1:42" s="199" customFormat="1">
      <c r="A79" s="199" t="s">
        <v>16</v>
      </c>
      <c r="B79" s="25"/>
      <c r="D79" s="200"/>
      <c r="F79" s="199" t="s">
        <v>554</v>
      </c>
      <c r="J79" s="41"/>
    </row>
    <row r="80" spans="1:42" s="199" customFormat="1">
      <c r="A80" s="199" t="s">
        <v>16</v>
      </c>
      <c r="B80" s="25"/>
      <c r="D80" s="200"/>
      <c r="J80" s="227">
        <f>J73</f>
        <v>2012</v>
      </c>
      <c r="K80" s="228">
        <f t="shared" ref="K80:AP80" si="36">K73</f>
        <v>2013</v>
      </c>
      <c r="L80" s="228">
        <f t="shared" si="36"/>
        <v>2014</v>
      </c>
      <c r="M80" s="228">
        <f t="shared" si="36"/>
        <v>2015</v>
      </c>
      <c r="N80" s="228">
        <f t="shared" si="36"/>
        <v>2016</v>
      </c>
      <c r="O80" s="228">
        <f t="shared" si="36"/>
        <v>2017</v>
      </c>
      <c r="P80" s="228">
        <f t="shared" si="36"/>
        <v>2018</v>
      </c>
      <c r="Q80" s="228">
        <f t="shared" si="36"/>
        <v>2019</v>
      </c>
      <c r="R80" s="228">
        <f t="shared" si="36"/>
        <v>2020</v>
      </c>
      <c r="S80" s="228">
        <f t="shared" si="36"/>
        <v>2021</v>
      </c>
      <c r="T80" s="228">
        <f t="shared" si="36"/>
        <v>2022</v>
      </c>
      <c r="U80" s="228">
        <f t="shared" si="36"/>
        <v>2023</v>
      </c>
      <c r="V80" s="228">
        <f t="shared" si="36"/>
        <v>2024</v>
      </c>
      <c r="W80" s="228">
        <f t="shared" si="36"/>
        <v>2025</v>
      </c>
      <c r="X80" s="228">
        <f t="shared" si="36"/>
        <v>2026</v>
      </c>
      <c r="Y80" s="228">
        <f t="shared" si="36"/>
        <v>2027</v>
      </c>
      <c r="Z80" s="228">
        <f t="shared" si="36"/>
        <v>2028</v>
      </c>
      <c r="AA80" s="228">
        <f t="shared" si="36"/>
        <v>2029</v>
      </c>
      <c r="AB80" s="228">
        <f t="shared" si="36"/>
        <v>2030</v>
      </c>
      <c r="AC80" s="228">
        <f t="shared" si="36"/>
        <v>2031</v>
      </c>
      <c r="AD80" s="228">
        <f t="shared" si="36"/>
        <v>2032</v>
      </c>
      <c r="AE80" s="228">
        <f t="shared" si="36"/>
        <v>2033</v>
      </c>
      <c r="AF80" s="228">
        <f t="shared" si="36"/>
        <v>2034</v>
      </c>
      <c r="AG80" s="228">
        <f t="shared" si="36"/>
        <v>2035</v>
      </c>
      <c r="AH80" s="228">
        <f t="shared" si="36"/>
        <v>2036</v>
      </c>
      <c r="AI80" s="228">
        <f t="shared" si="36"/>
        <v>2037</v>
      </c>
      <c r="AJ80" s="228">
        <f t="shared" si="36"/>
        <v>2038</v>
      </c>
      <c r="AK80" s="228">
        <f t="shared" si="36"/>
        <v>2039</v>
      </c>
      <c r="AL80" s="228">
        <f t="shared" si="36"/>
        <v>2040</v>
      </c>
      <c r="AM80" s="228">
        <f t="shared" si="36"/>
        <v>2045</v>
      </c>
      <c r="AN80" s="228">
        <f t="shared" si="36"/>
        <v>2050</v>
      </c>
      <c r="AO80" s="228">
        <f t="shared" si="36"/>
        <v>2060</v>
      </c>
      <c r="AP80" s="228">
        <f t="shared" si="36"/>
        <v>2070</v>
      </c>
    </row>
    <row r="81" spans="1:54" s="199" customFormat="1">
      <c r="A81" s="199" t="s">
        <v>16</v>
      </c>
      <c r="B81" s="25"/>
      <c r="C81" s="199" t="s">
        <v>555</v>
      </c>
      <c r="D81" s="200" t="str">
        <f>D98</f>
        <v>RLEK</v>
      </c>
      <c r="J81" s="43">
        <f>J98</f>
        <v>10.057098199765919</v>
      </c>
      <c r="K81" s="13">
        <f>K98</f>
        <v>10.651583309100051</v>
      </c>
      <c r="L81" s="13">
        <f>L98</f>
        <v>11.246068418434183</v>
      </c>
      <c r="M81" s="13">
        <f>M98</f>
        <v>11.840553527768316</v>
      </c>
      <c r="N81" s="24">
        <f t="shared" ref="N81:AP84" ca="1" si="37">OFFSET(N$33,$BB81,$J$93)/OFFSET(M$33,$BB81,$J$93)*M81</f>
        <v>12.106589685289814</v>
      </c>
      <c r="O81" s="24">
        <f t="shared" ca="1" si="37"/>
        <v>12.299530611124199</v>
      </c>
      <c r="P81" s="24">
        <f t="shared" ca="1" si="37"/>
        <v>12.501133339709318</v>
      </c>
      <c r="Q81" s="24">
        <f t="shared" ca="1" si="37"/>
        <v>12.81909661197311</v>
      </c>
      <c r="R81" s="24">
        <f t="shared" ca="1" si="37"/>
        <v>13.581841070666087</v>
      </c>
      <c r="S81" s="24">
        <f t="shared" ca="1" si="37"/>
        <v>14.013499418789692</v>
      </c>
      <c r="T81" s="24">
        <f t="shared" ca="1" si="37"/>
        <v>13.842579240033199</v>
      </c>
      <c r="U81" s="24">
        <f t="shared" ca="1" si="37"/>
        <v>13.685976203657816</v>
      </c>
      <c r="V81" s="24">
        <f t="shared" ca="1" si="37"/>
        <v>13.476487757266641</v>
      </c>
      <c r="W81" s="24">
        <f t="shared" ca="1" si="37"/>
        <v>13.238887443914203</v>
      </c>
      <c r="X81" s="24">
        <f t="shared" ca="1" si="37"/>
        <v>12.978717986666815</v>
      </c>
      <c r="Y81" s="24">
        <f t="shared" ca="1" si="37"/>
        <v>12.692492484101498</v>
      </c>
      <c r="Z81" s="24">
        <f t="shared" ca="1" si="37"/>
        <v>12.398845738432064</v>
      </c>
      <c r="AA81" s="24">
        <f t="shared" ca="1" si="37"/>
        <v>12.074560203155842</v>
      </c>
      <c r="AB81" s="24">
        <f t="shared" ca="1" si="37"/>
        <v>11.743566332391726</v>
      </c>
      <c r="AC81" s="24">
        <f t="shared" ca="1" si="37"/>
        <v>11.425220628272296</v>
      </c>
      <c r="AD81" s="24">
        <f t="shared" ca="1" si="37"/>
        <v>11.111374735498799</v>
      </c>
      <c r="AE81" s="24">
        <f t="shared" ca="1" si="37"/>
        <v>10.806805957627626</v>
      </c>
      <c r="AF81" s="24">
        <f t="shared" ca="1" si="37"/>
        <v>10.509424277122704</v>
      </c>
      <c r="AG81" s="24">
        <f t="shared" ca="1" si="37"/>
        <v>10.23386884550056</v>
      </c>
      <c r="AH81" s="24">
        <f t="shared" ca="1" si="37"/>
        <v>9.9709612022305176</v>
      </c>
      <c r="AI81" s="24">
        <f t="shared" ca="1" si="37"/>
        <v>9.6780908548998941</v>
      </c>
      <c r="AJ81" s="24">
        <f t="shared" ca="1" si="37"/>
        <v>9.3897816694192411</v>
      </c>
      <c r="AK81" s="24">
        <f t="shared" ca="1" si="37"/>
        <v>9.1165779629333521</v>
      </c>
      <c r="AL81" s="24">
        <f t="shared" ca="1" si="37"/>
        <v>8.8481353505027762</v>
      </c>
      <c r="AM81" s="24">
        <f t="shared" ca="1" si="37"/>
        <v>7.6183501613594462</v>
      </c>
      <c r="AN81" s="24">
        <f t="shared" ca="1" si="37"/>
        <v>6.6119342782564381</v>
      </c>
      <c r="AO81" s="24">
        <f t="shared" ca="1" si="37"/>
        <v>6.6119342782564381</v>
      </c>
      <c r="AP81" s="24">
        <f t="shared" ca="1" si="37"/>
        <v>6.6119342782564381</v>
      </c>
      <c r="BB81" s="199">
        <v>1</v>
      </c>
    </row>
    <row r="82" spans="1:54" s="199" customFormat="1">
      <c r="A82" s="199" t="s">
        <v>16</v>
      </c>
      <c r="B82" s="25"/>
      <c r="D82" s="200" t="str">
        <f>D108</f>
        <v>RMNL</v>
      </c>
      <c r="J82" s="43">
        <f>J108</f>
        <v>3.3422499241462768E-2</v>
      </c>
      <c r="K82" s="13">
        <f>K108</f>
        <v>4.0702012494378374E-2</v>
      </c>
      <c r="L82" s="13">
        <f>L108</f>
        <v>4.7981525747293988E-2</v>
      </c>
      <c r="M82" s="13">
        <f>M108</f>
        <v>5.5261039000209594E-2</v>
      </c>
      <c r="N82" s="24">
        <f t="shared" ca="1" si="37"/>
        <v>5.7092367322711002E-2</v>
      </c>
      <c r="O82" s="24">
        <f t="shared" ca="1" si="37"/>
        <v>5.8763895461352043E-2</v>
      </c>
      <c r="P82" s="24">
        <f t="shared" ca="1" si="37"/>
        <v>6.0956383597451078E-2</v>
      </c>
      <c r="Q82" s="24">
        <f t="shared" ca="1" si="37"/>
        <v>6.3154912817216968E-2</v>
      </c>
      <c r="R82" s="24">
        <f t="shared" ca="1" si="37"/>
        <v>6.7186165103760728E-2</v>
      </c>
      <c r="S82" s="24">
        <f t="shared" ca="1" si="37"/>
        <v>6.5451107272384998E-2</v>
      </c>
      <c r="T82" s="24">
        <f t="shared" ca="1" si="37"/>
        <v>6.814873024522726E-2</v>
      </c>
      <c r="U82" s="24">
        <f t="shared" ca="1" si="37"/>
        <v>7.0616583053067894E-2</v>
      </c>
      <c r="V82" s="24">
        <f t="shared" ca="1" si="37"/>
        <v>7.3195767662635566E-2</v>
      </c>
      <c r="W82" s="24">
        <f t="shared" ca="1" si="37"/>
        <v>7.5963237673992073E-2</v>
      </c>
      <c r="X82" s="24">
        <f t="shared" ca="1" si="37"/>
        <v>7.8359888784483078E-2</v>
      </c>
      <c r="Y82" s="24">
        <f t="shared" ca="1" si="37"/>
        <v>8.0938128314573393E-2</v>
      </c>
      <c r="Z82" s="24">
        <f t="shared" ca="1" si="37"/>
        <v>8.3519956362273898E-2</v>
      </c>
      <c r="AA82" s="24">
        <f t="shared" ca="1" si="37"/>
        <v>8.6103964641123465E-2</v>
      </c>
      <c r="AB82" s="24">
        <f t="shared" ca="1" si="37"/>
        <v>8.8867657307259457E-2</v>
      </c>
      <c r="AC82" s="24">
        <f t="shared" ca="1" si="37"/>
        <v>9.0768915224663682E-2</v>
      </c>
      <c r="AD82" s="24">
        <f t="shared" ca="1" si="37"/>
        <v>9.2695686927136353E-2</v>
      </c>
      <c r="AE82" s="24">
        <f t="shared" ca="1" si="37"/>
        <v>9.4573865078944663E-2</v>
      </c>
      <c r="AF82" s="24">
        <f t="shared" ca="1" si="37"/>
        <v>9.6426001480379719E-2</v>
      </c>
      <c r="AG82" s="24">
        <f t="shared" ca="1" si="37"/>
        <v>9.8298991918170084E-2</v>
      </c>
      <c r="AH82" s="24">
        <f t="shared" ca="1" si="37"/>
        <v>9.9740586408976206E-2</v>
      </c>
      <c r="AI82" s="24">
        <f t="shared" ca="1" si="37"/>
        <v>0.10113517194349901</v>
      </c>
      <c r="AJ82" s="24">
        <f t="shared" ca="1" si="37"/>
        <v>0.10265210131136485</v>
      </c>
      <c r="AK82" s="24">
        <f t="shared" ca="1" si="37"/>
        <v>0.10405944018647195</v>
      </c>
      <c r="AL82" s="24">
        <f t="shared" ca="1" si="37"/>
        <v>0.10546206737362657</v>
      </c>
      <c r="AM82" s="24">
        <f t="shared" ca="1" si="37"/>
        <v>0.11331733986142103</v>
      </c>
      <c r="AN82" s="24">
        <f t="shared" ca="1" si="37"/>
        <v>0.11894121058052218</v>
      </c>
      <c r="AO82" s="24">
        <f t="shared" ca="1" si="37"/>
        <v>0.11894121058052218</v>
      </c>
      <c r="AP82" s="24">
        <f t="shared" ca="1" si="37"/>
        <v>0.11894121058052218</v>
      </c>
      <c r="BB82" s="199">
        <v>2</v>
      </c>
    </row>
    <row r="83" spans="1:54" s="199" customFormat="1">
      <c r="A83" s="199" t="s">
        <v>16</v>
      </c>
      <c r="B83" s="25"/>
      <c r="D83" s="200" t="str">
        <f>D118</f>
        <v>RHEL</v>
      </c>
      <c r="J83" s="43">
        <f>J118</f>
        <v>29.15490908598996</v>
      </c>
      <c r="K83" s="13">
        <f>K118</f>
        <v>29.919036883195538</v>
      </c>
      <c r="L83" s="13">
        <f>L118</f>
        <v>30.683164680401113</v>
      </c>
      <c r="M83" s="13">
        <f>M118</f>
        <v>31.447292477606691</v>
      </c>
      <c r="N83" s="24">
        <f ca="1">OFFSET(N$33,$BB83,$J$93)/OFFSET(M$33,$BB83,$J$93)*M83</f>
        <v>32.253255260523787</v>
      </c>
      <c r="O83" s="24">
        <f t="shared" ca="1" si="37"/>
        <v>33.727936923786565</v>
      </c>
      <c r="P83" s="24">
        <f t="shared" ca="1" si="37"/>
        <v>34.799650512357417</v>
      </c>
      <c r="Q83" s="24">
        <f t="shared" ca="1" si="37"/>
        <v>35.282443373845915</v>
      </c>
      <c r="R83" s="24">
        <f t="shared" ca="1" si="37"/>
        <v>31.997968023045065</v>
      </c>
      <c r="S83" s="24">
        <f t="shared" ca="1" si="37"/>
        <v>33.515237534752728</v>
      </c>
      <c r="T83" s="24">
        <f t="shared" ca="1" si="37"/>
        <v>35.003149922900654</v>
      </c>
      <c r="U83" s="24">
        <f t="shared" ca="1" si="37"/>
        <v>36.608965783327676</v>
      </c>
      <c r="V83" s="24">
        <f t="shared" ca="1" si="37"/>
        <v>38.439139379730648</v>
      </c>
      <c r="W83" s="24">
        <f t="shared" ca="1" si="37"/>
        <v>40.300390007548238</v>
      </c>
      <c r="X83" s="24">
        <f t="shared" ca="1" si="37"/>
        <v>42.296158994882731</v>
      </c>
      <c r="Y83" s="24">
        <f t="shared" ca="1" si="37"/>
        <v>44.306723557000041</v>
      </c>
      <c r="Z83" s="24">
        <f t="shared" ca="1" si="37"/>
        <v>46.363982586670332</v>
      </c>
      <c r="AA83" s="24">
        <f t="shared" ca="1" si="37"/>
        <v>48.589967164073251</v>
      </c>
      <c r="AB83" s="24">
        <f t="shared" ca="1" si="37"/>
        <v>50.729639479459024</v>
      </c>
      <c r="AC83" s="24">
        <f t="shared" ca="1" si="37"/>
        <v>52.859386386360264</v>
      </c>
      <c r="AD83" s="24">
        <f t="shared" ca="1" si="37"/>
        <v>54.937138677110724</v>
      </c>
      <c r="AE83" s="24">
        <f t="shared" ca="1" si="37"/>
        <v>56.992937286004171</v>
      </c>
      <c r="AF83" s="24">
        <f t="shared" ca="1" si="37"/>
        <v>59.022422432970835</v>
      </c>
      <c r="AG83" s="24">
        <f t="shared" ca="1" si="37"/>
        <v>60.918938426815494</v>
      </c>
      <c r="AH83" s="24">
        <f t="shared" ca="1" si="37"/>
        <v>62.834826212600269</v>
      </c>
      <c r="AI83" s="24">
        <f t="shared" ca="1" si="37"/>
        <v>64.925813043007466</v>
      </c>
      <c r="AJ83" s="24">
        <f t="shared" ca="1" si="37"/>
        <v>66.896117897830081</v>
      </c>
      <c r="AK83" s="24">
        <f t="shared" ca="1" si="37"/>
        <v>68.861989796632685</v>
      </c>
      <c r="AL83" s="24">
        <f t="shared" ca="1" si="37"/>
        <v>70.800082807436837</v>
      </c>
      <c r="AM83" s="24">
        <f t="shared" ca="1" si="37"/>
        <v>80.257458304886882</v>
      </c>
      <c r="AN83" s="24">
        <f t="shared" ca="1" si="37"/>
        <v>89.092590853546142</v>
      </c>
      <c r="AO83" s="24">
        <f t="shared" ca="1" si="37"/>
        <v>89.092590853546142</v>
      </c>
      <c r="AP83" s="24">
        <f t="shared" ca="1" si="37"/>
        <v>89.092590853546142</v>
      </c>
      <c r="BB83" s="199">
        <v>3</v>
      </c>
    </row>
    <row r="84" spans="1:54" s="199" customFormat="1">
      <c r="A84" s="199" t="s">
        <v>16</v>
      </c>
      <c r="B84" s="25"/>
      <c r="D84" s="200">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199">
        <v>4</v>
      </c>
    </row>
    <row r="85" spans="1:54" s="199" customFormat="1">
      <c r="A85" s="199" t="s">
        <v>16</v>
      </c>
      <c r="B85" s="25"/>
      <c r="D85" s="200">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199">
        <v>5</v>
      </c>
    </row>
    <row r="86" spans="1:54" s="199" customFormat="1">
      <c r="A86" s="199" t="s">
        <v>16</v>
      </c>
      <c r="B86" s="25"/>
    </row>
    <row r="87" spans="1:54" s="199" customFormat="1">
      <c r="A87" s="199" t="s">
        <v>16</v>
      </c>
      <c r="B87" s="25"/>
      <c r="C87" s="199" t="s">
        <v>556</v>
      </c>
      <c r="D87" s="200" t="str">
        <f>D81</f>
        <v>RLEK</v>
      </c>
      <c r="J87" s="43">
        <f>J81</f>
        <v>10.057098199765919</v>
      </c>
      <c r="K87" s="13">
        <f>K81</f>
        <v>10.651583309100051</v>
      </c>
      <c r="L87" s="13">
        <f>L81</f>
        <v>11.246068418434183</v>
      </c>
      <c r="M87" s="13">
        <f>M81</f>
        <v>11.840553527768316</v>
      </c>
      <c r="N87" s="200">
        <f ca="1">(($M$81*(1-N$75))+((N81-$M$81)*(1-N$76)))</f>
        <v>12.008318108300713</v>
      </c>
      <c r="O87" s="200">
        <f t="shared" ref="O87:AP87" ca="1" si="39">(($M$81*(1-O$75))+((O81-$M$81)*(1-O$76)))</f>
        <v>12.097842365790415</v>
      </c>
      <c r="P87" s="200">
        <f t="shared" ca="1" si="39"/>
        <v>12.190536862565237</v>
      </c>
      <c r="Q87" s="200">
        <f t="shared" ca="1" si="39"/>
        <v>12.388009934593603</v>
      </c>
      <c r="R87" s="200">
        <f t="shared" ca="1" si="39"/>
        <v>12.99213309336217</v>
      </c>
      <c r="S87" s="200">
        <f t="shared" ca="1" si="39"/>
        <v>13.271317178175103</v>
      </c>
      <c r="T87" s="200">
        <f t="shared" ca="1" si="39"/>
        <v>12.99265250933345</v>
      </c>
      <c r="U87" s="200">
        <f t="shared" ca="1" si="39"/>
        <v>12.731335692452429</v>
      </c>
      <c r="V87" s="200">
        <f t="shared" ca="1" si="39"/>
        <v>12.427655795727523</v>
      </c>
      <c r="W87" s="200">
        <f t="shared" ca="1" si="39"/>
        <v>12.105198639539953</v>
      </c>
      <c r="X87" s="200">
        <f t="shared" ca="1" si="39"/>
        <v>11.769818488918091</v>
      </c>
      <c r="Y87" s="200">
        <f t="shared" ca="1" si="39"/>
        <v>11.419489112422431</v>
      </c>
      <c r="Z87" s="200">
        <f t="shared" ca="1" si="39"/>
        <v>11.070657521695777</v>
      </c>
      <c r="AA87" s="200">
        <f t="shared" ca="1" si="39"/>
        <v>10.704736961973452</v>
      </c>
      <c r="AB87" s="200">
        <f t="shared" ca="1" si="39"/>
        <v>10.342097348134846</v>
      </c>
      <c r="AC87" s="200">
        <f t="shared" ca="1" si="39"/>
        <v>10.087420784839303</v>
      </c>
      <c r="AD87" s="200">
        <f t="shared" ca="1" si="39"/>
        <v>9.8363440706205054</v>
      </c>
      <c r="AE87" s="200">
        <f t="shared" ca="1" si="39"/>
        <v>9.5926890483235656</v>
      </c>
      <c r="AF87" s="200">
        <f t="shared" ca="1" si="39"/>
        <v>9.3547837039196295</v>
      </c>
      <c r="AG87" s="200">
        <f t="shared" ca="1" si="39"/>
        <v>9.1343393586219133</v>
      </c>
      <c r="AH87" s="200">
        <f t="shared" ca="1" si="39"/>
        <v>8.924013244005879</v>
      </c>
      <c r="AI87" s="200">
        <f t="shared" ca="1" si="39"/>
        <v>8.6897169661413809</v>
      </c>
      <c r="AJ87" s="200">
        <f t="shared" ca="1" si="39"/>
        <v>8.4590696177568585</v>
      </c>
      <c r="AK87" s="200">
        <f t="shared" ca="1" si="39"/>
        <v>8.240506652568147</v>
      </c>
      <c r="AL87" s="200">
        <f t="shared" ca="1" si="39"/>
        <v>8.025752562623687</v>
      </c>
      <c r="AM87" s="200">
        <f t="shared" ca="1" si="39"/>
        <v>7.0419244113090222</v>
      </c>
      <c r="AN87" s="200">
        <f t="shared" ca="1" si="39"/>
        <v>6.2367917048266159</v>
      </c>
      <c r="AO87" s="200">
        <f t="shared" ca="1" si="39"/>
        <v>6.2367917048266159</v>
      </c>
      <c r="AP87" s="200">
        <f t="shared" ca="1" si="39"/>
        <v>6.2367917048266159</v>
      </c>
    </row>
    <row r="88" spans="1:54" s="199" customFormat="1">
      <c r="A88" s="199" t="s">
        <v>16</v>
      </c>
      <c r="B88" s="25"/>
      <c r="D88" s="200" t="str">
        <f>D82</f>
        <v>RMNL</v>
      </c>
      <c r="J88" s="43">
        <f t="shared" ref="J88:M91" si="40">J82</f>
        <v>3.3422499241462768E-2</v>
      </c>
      <c r="K88" s="13">
        <f t="shared" si="40"/>
        <v>4.0702012494378374E-2</v>
      </c>
      <c r="L88" s="13">
        <f t="shared" si="40"/>
        <v>4.7981525747293988E-2</v>
      </c>
      <c r="M88" s="13">
        <f t="shared" si="40"/>
        <v>5.5261039000209594E-2</v>
      </c>
      <c r="N88" s="200">
        <f ca="1">(($M$82*(1-N$75))+((N82-$M$82)*(1-N$76)))</f>
        <v>5.662586129974264E-2</v>
      </c>
      <c r="O88" s="200">
        <f t="shared" ref="O88:AP88" ca="1" si="41">(($M$82*(1-O$75))+((O82-$M$82)*(1-O$76)))</f>
        <v>5.7786309331718223E-2</v>
      </c>
      <c r="P88" s="200">
        <f t="shared" ca="1" si="41"/>
        <v>5.9402304877556385E-2</v>
      </c>
      <c r="Q88" s="200">
        <f t="shared" ca="1" si="41"/>
        <v>6.0965552965636535E-2</v>
      </c>
      <c r="R88" s="200">
        <f t="shared" ca="1" si="41"/>
        <v>6.4180715136848934E-2</v>
      </c>
      <c r="S88" s="200">
        <f t="shared" ca="1" si="41"/>
        <v>6.1983371938600901E-2</v>
      </c>
      <c r="T88" s="200">
        <f t="shared" ca="1" si="41"/>
        <v>6.3851260878347207E-2</v>
      </c>
      <c r="U88" s="200">
        <f t="shared" ca="1" si="41"/>
        <v>6.5441951858082922E-2</v>
      </c>
      <c r="V88" s="200">
        <f t="shared" ca="1" si="41"/>
        <v>6.7064805415129353E-2</v>
      </c>
      <c r="W88" s="200">
        <f t="shared" ca="1" si="41"/>
        <v>6.8782061397470978E-2</v>
      </c>
      <c r="X88" s="200">
        <f t="shared" ca="1" si="41"/>
        <v>7.0109086050771194E-2</v>
      </c>
      <c r="Y88" s="200">
        <f t="shared" ca="1" si="41"/>
        <v>7.1524734280255076E-2</v>
      </c>
      <c r="Z88" s="200">
        <f t="shared" ca="1" si="41"/>
        <v>7.2874595963494285E-2</v>
      </c>
      <c r="AA88" s="200">
        <f t="shared" ca="1" si="41"/>
        <v>7.4157382153462736E-2</v>
      </c>
      <c r="AB88" s="200">
        <f t="shared" ca="1" si="41"/>
        <v>7.5515008965824332E-2</v>
      </c>
      <c r="AC88" s="200">
        <f t="shared" ca="1" si="41"/>
        <v>7.7036015299747712E-2</v>
      </c>
      <c r="AD88" s="200">
        <f t="shared" ca="1" si="41"/>
        <v>7.8577432661725857E-2</v>
      </c>
      <c r="AE88" s="200">
        <f t="shared" ca="1" si="41"/>
        <v>8.0079975183172503E-2</v>
      </c>
      <c r="AF88" s="200">
        <f t="shared" ca="1" si="41"/>
        <v>8.156168430432055E-2</v>
      </c>
      <c r="AG88" s="200">
        <f t="shared" ca="1" si="41"/>
        <v>8.3060076654552839E-2</v>
      </c>
      <c r="AH88" s="200">
        <f t="shared" ca="1" si="41"/>
        <v>8.421335224719774E-2</v>
      </c>
      <c r="AI88" s="200">
        <f t="shared" ca="1" si="41"/>
        <v>8.5329020674815986E-2</v>
      </c>
      <c r="AJ88" s="200">
        <f t="shared" ca="1" si="41"/>
        <v>8.654256416910866E-2</v>
      </c>
      <c r="AK88" s="200">
        <f t="shared" ca="1" si="41"/>
        <v>8.7668435269194336E-2</v>
      </c>
      <c r="AL88" s="200">
        <f t="shared" ca="1" si="41"/>
        <v>8.8790537018918037E-2</v>
      </c>
      <c r="AM88" s="200">
        <f t="shared" ca="1" si="41"/>
        <v>9.5074755009153605E-2</v>
      </c>
      <c r="AN88" s="200">
        <f t="shared" ca="1" si="41"/>
        <v>9.957385158443452E-2</v>
      </c>
      <c r="AO88" s="200">
        <f t="shared" ca="1" si="41"/>
        <v>9.957385158443452E-2</v>
      </c>
      <c r="AP88" s="200">
        <f t="shared" ca="1" si="41"/>
        <v>9.957385158443452E-2</v>
      </c>
    </row>
    <row r="89" spans="1:54" s="199" customFormat="1">
      <c r="A89" s="199" t="s">
        <v>16</v>
      </c>
      <c r="B89" s="25"/>
      <c r="D89" s="200" t="str">
        <f>D83</f>
        <v>RHEL</v>
      </c>
      <c r="J89" s="43">
        <f t="shared" si="40"/>
        <v>29.15490908598996</v>
      </c>
      <c r="K89" s="13">
        <f t="shared" si="40"/>
        <v>29.919036883195538</v>
      </c>
      <c r="L89" s="13">
        <f t="shared" si="40"/>
        <v>30.683164680401113</v>
      </c>
      <c r="M89" s="13">
        <f t="shared" si="40"/>
        <v>31.447292477606691</v>
      </c>
      <c r="N89" s="200">
        <f ca="1">(($M$83*(1-N$75))+((N83-$M$83)*(1-N$76)))</f>
        <v>31.990930750264038</v>
      </c>
      <c r="O89" s="200">
        <f t="shared" ref="O89:AP89" ca="1" si="42">(($M$83*(1-O$75))+((O83-$M$83)*(1-O$76)))</f>
        <v>33.163963058913396</v>
      </c>
      <c r="P89" s="200">
        <f t="shared" ca="1" si="42"/>
        <v>33.910821171504828</v>
      </c>
      <c r="Q89" s="200">
        <f t="shared" ca="1" si="42"/>
        <v>34.071588633429741</v>
      </c>
      <c r="R89" s="200">
        <f t="shared" ca="1" si="42"/>
        <v>30.703364620911568</v>
      </c>
      <c r="S89" s="200">
        <f t="shared" ca="1" si="42"/>
        <v>31.840331891255921</v>
      </c>
      <c r="T89" s="200">
        <f t="shared" ca="1" si="42"/>
        <v>32.91022151592724</v>
      </c>
      <c r="U89" s="200">
        <f t="shared" ca="1" si="42"/>
        <v>34.04576057881728</v>
      </c>
      <c r="V89" s="200">
        <f t="shared" ca="1" si="42"/>
        <v>35.33591269308809</v>
      </c>
      <c r="W89" s="200">
        <f t="shared" ca="1" si="42"/>
        <v>36.604193605347497</v>
      </c>
      <c r="X89" s="200">
        <f t="shared" ca="1" si="42"/>
        <v>37.937630167652856</v>
      </c>
      <c r="Y89" s="200">
        <f t="shared" ca="1" si="42"/>
        <v>39.230274506446861</v>
      </c>
      <c r="Z89" s="200">
        <f t="shared" ca="1" si="42"/>
        <v>40.507904550094871</v>
      </c>
      <c r="AA89" s="200">
        <f t="shared" ca="1" si="42"/>
        <v>41.867904465107543</v>
      </c>
      <c r="AB89" s="200">
        <f t="shared" ca="1" si="42"/>
        <v>43.099494981775756</v>
      </c>
      <c r="AC89" s="200">
        <f t="shared" ca="1" si="42"/>
        <v>44.803292507296746</v>
      </c>
      <c r="AD89" s="200">
        <f t="shared" ca="1" si="42"/>
        <v>46.465494339897113</v>
      </c>
      <c r="AE89" s="200">
        <f t="shared" ca="1" si="42"/>
        <v>48.110133227011872</v>
      </c>
      <c r="AF89" s="200">
        <f t="shared" ca="1" si="42"/>
        <v>49.733721344585206</v>
      </c>
      <c r="AG89" s="200">
        <f t="shared" ca="1" si="42"/>
        <v>51.250934139660927</v>
      </c>
      <c r="AH89" s="200">
        <f t="shared" ca="1" si="42"/>
        <v>52.783644368288748</v>
      </c>
      <c r="AI89" s="200">
        <f t="shared" ca="1" si="42"/>
        <v>54.456433832614508</v>
      </c>
      <c r="AJ89" s="200">
        <f t="shared" ca="1" si="42"/>
        <v>56.032677716472598</v>
      </c>
      <c r="AK89" s="200">
        <f t="shared" ca="1" si="42"/>
        <v>57.605375235514686</v>
      </c>
      <c r="AL89" s="200">
        <f t="shared" ca="1" si="42"/>
        <v>59.155849644158003</v>
      </c>
      <c r="AM89" s="200">
        <f t="shared" ca="1" si="42"/>
        <v>66.721750042118046</v>
      </c>
      <c r="AN89" s="200">
        <f t="shared" ca="1" si="42"/>
        <v>73.789856081045443</v>
      </c>
      <c r="AO89" s="200">
        <f t="shared" ca="1" si="42"/>
        <v>73.789856081045443</v>
      </c>
      <c r="AP89" s="200">
        <f t="shared" ca="1" si="42"/>
        <v>73.789856081045443</v>
      </c>
    </row>
    <row r="90" spans="1:54" s="199" customFormat="1">
      <c r="A90" s="199" t="s">
        <v>16</v>
      </c>
      <c r="B90" s="25"/>
      <c r="D90" s="200">
        <f>D84</f>
        <v>0</v>
      </c>
      <c r="J90" s="43">
        <f t="shared" si="40"/>
        <v>0</v>
      </c>
      <c r="K90" s="13">
        <f t="shared" si="40"/>
        <v>0</v>
      </c>
      <c r="L90" s="13">
        <f t="shared" si="40"/>
        <v>0</v>
      </c>
      <c r="M90" s="13">
        <f t="shared" si="40"/>
        <v>0</v>
      </c>
      <c r="N90" s="200">
        <f ca="1">(($M$84*(1-N$75))+((N84-$M$84)*(1-N$76)))</f>
        <v>0</v>
      </c>
      <c r="O90" s="200">
        <f t="shared" ref="O90:AP90" ca="1" si="43">(($M$84*(1-O$75))+((O84-$M$84)*(1-O$76)))</f>
        <v>0</v>
      </c>
      <c r="P90" s="200">
        <f t="shared" ca="1" si="43"/>
        <v>0</v>
      </c>
      <c r="Q90" s="200">
        <f t="shared" ca="1" si="43"/>
        <v>0</v>
      </c>
      <c r="R90" s="200">
        <f t="shared" ca="1" si="43"/>
        <v>0</v>
      </c>
      <c r="S90" s="200">
        <f t="shared" ca="1" si="43"/>
        <v>0</v>
      </c>
      <c r="T90" s="200">
        <f t="shared" ca="1" si="43"/>
        <v>0</v>
      </c>
      <c r="U90" s="200">
        <f t="shared" ca="1" si="43"/>
        <v>0</v>
      </c>
      <c r="V90" s="200">
        <f t="shared" ca="1" si="43"/>
        <v>0</v>
      </c>
      <c r="W90" s="200">
        <f t="shared" ca="1" si="43"/>
        <v>0</v>
      </c>
      <c r="X90" s="200">
        <f t="shared" ca="1" si="43"/>
        <v>0</v>
      </c>
      <c r="Y90" s="200">
        <f t="shared" ca="1" si="43"/>
        <v>0</v>
      </c>
      <c r="Z90" s="200">
        <f t="shared" ca="1" si="43"/>
        <v>0</v>
      </c>
      <c r="AA90" s="200">
        <f t="shared" ca="1" si="43"/>
        <v>0</v>
      </c>
      <c r="AB90" s="200">
        <f t="shared" ca="1" si="43"/>
        <v>0</v>
      </c>
      <c r="AC90" s="200">
        <f t="shared" ca="1" si="43"/>
        <v>0</v>
      </c>
      <c r="AD90" s="200">
        <f t="shared" ca="1" si="43"/>
        <v>0</v>
      </c>
      <c r="AE90" s="200">
        <f t="shared" ca="1" si="43"/>
        <v>0</v>
      </c>
      <c r="AF90" s="200">
        <f t="shared" ca="1" si="43"/>
        <v>0</v>
      </c>
      <c r="AG90" s="200">
        <f t="shared" ca="1" si="43"/>
        <v>0</v>
      </c>
      <c r="AH90" s="200">
        <f t="shared" ca="1" si="43"/>
        <v>0</v>
      </c>
      <c r="AI90" s="200">
        <f t="shared" ca="1" si="43"/>
        <v>0</v>
      </c>
      <c r="AJ90" s="200">
        <f t="shared" ca="1" si="43"/>
        <v>0</v>
      </c>
      <c r="AK90" s="200">
        <f t="shared" ca="1" si="43"/>
        <v>0</v>
      </c>
      <c r="AL90" s="200">
        <f t="shared" ca="1" si="43"/>
        <v>0</v>
      </c>
      <c r="AM90" s="200">
        <f t="shared" ca="1" si="43"/>
        <v>0</v>
      </c>
      <c r="AN90" s="200">
        <f t="shared" ca="1" si="43"/>
        <v>0</v>
      </c>
      <c r="AO90" s="200">
        <f t="shared" ca="1" si="43"/>
        <v>0</v>
      </c>
      <c r="AP90" s="200">
        <f t="shared" ca="1" si="43"/>
        <v>0</v>
      </c>
    </row>
    <row r="91" spans="1:54" s="199" customFormat="1">
      <c r="A91" s="199" t="s">
        <v>16</v>
      </c>
      <c r="B91" s="25"/>
      <c r="D91" s="200">
        <f>D85</f>
        <v>0</v>
      </c>
      <c r="J91" s="43">
        <f t="shared" si="40"/>
        <v>0</v>
      </c>
      <c r="K91" s="13">
        <f t="shared" si="40"/>
        <v>0</v>
      </c>
      <c r="L91" s="13">
        <f t="shared" si="40"/>
        <v>0</v>
      </c>
      <c r="M91" s="13">
        <f t="shared" si="40"/>
        <v>0</v>
      </c>
      <c r="N91" s="200">
        <f ca="1">(($M$85*(1-N$75))+((N85-$M$85)*(1-N$76)))</f>
        <v>0</v>
      </c>
      <c r="O91" s="200">
        <f t="shared" ref="O91:AP91" ca="1" si="44">(($M$85*(1-O$75))+((O85-$M$85)*(1-O$76)))</f>
        <v>0</v>
      </c>
      <c r="P91" s="200">
        <f t="shared" ca="1" si="44"/>
        <v>0</v>
      </c>
      <c r="Q91" s="200">
        <f t="shared" ca="1" si="44"/>
        <v>0</v>
      </c>
      <c r="R91" s="200">
        <f t="shared" ca="1" si="44"/>
        <v>0</v>
      </c>
      <c r="S91" s="200">
        <f t="shared" ca="1" si="44"/>
        <v>0</v>
      </c>
      <c r="T91" s="200">
        <f t="shared" ca="1" si="44"/>
        <v>0</v>
      </c>
      <c r="U91" s="200">
        <f t="shared" ca="1" si="44"/>
        <v>0</v>
      </c>
      <c r="V91" s="200">
        <f t="shared" ca="1" si="44"/>
        <v>0</v>
      </c>
      <c r="W91" s="200">
        <f t="shared" ca="1" si="44"/>
        <v>0</v>
      </c>
      <c r="X91" s="200">
        <f t="shared" ca="1" si="44"/>
        <v>0</v>
      </c>
      <c r="Y91" s="200">
        <f t="shared" ca="1" si="44"/>
        <v>0</v>
      </c>
      <c r="Z91" s="200">
        <f t="shared" ca="1" si="44"/>
        <v>0</v>
      </c>
      <c r="AA91" s="200">
        <f t="shared" ca="1" si="44"/>
        <v>0</v>
      </c>
      <c r="AB91" s="200">
        <f t="shared" ca="1" si="44"/>
        <v>0</v>
      </c>
      <c r="AC91" s="200">
        <f t="shared" ca="1" si="44"/>
        <v>0</v>
      </c>
      <c r="AD91" s="200">
        <f t="shared" ca="1" si="44"/>
        <v>0</v>
      </c>
      <c r="AE91" s="200">
        <f t="shared" ca="1" si="44"/>
        <v>0</v>
      </c>
      <c r="AF91" s="200">
        <f t="shared" ca="1" si="44"/>
        <v>0</v>
      </c>
      <c r="AG91" s="200">
        <f t="shared" ca="1" si="44"/>
        <v>0</v>
      </c>
      <c r="AH91" s="200">
        <f t="shared" ca="1" si="44"/>
        <v>0</v>
      </c>
      <c r="AI91" s="200">
        <f t="shared" ca="1" si="44"/>
        <v>0</v>
      </c>
      <c r="AJ91" s="200">
        <f t="shared" ca="1" si="44"/>
        <v>0</v>
      </c>
      <c r="AK91" s="200">
        <f t="shared" ca="1" si="44"/>
        <v>0</v>
      </c>
      <c r="AL91" s="200">
        <f t="shared" ca="1" si="44"/>
        <v>0</v>
      </c>
      <c r="AM91" s="200">
        <f t="shared" ca="1" si="44"/>
        <v>0</v>
      </c>
      <c r="AN91" s="200">
        <f t="shared" ca="1" si="44"/>
        <v>0</v>
      </c>
      <c r="AO91" s="200">
        <f t="shared" ca="1" si="44"/>
        <v>0</v>
      </c>
      <c r="AP91" s="200">
        <f t="shared" ca="1" si="44"/>
        <v>0</v>
      </c>
    </row>
    <row r="92" spans="1:54">
      <c r="A92" s="4" t="s">
        <v>16</v>
      </c>
      <c r="B92" s="25"/>
      <c r="D92" s="6"/>
    </row>
    <row r="93" spans="1:54" ht="18" thickBot="1">
      <c r="A93" s="4" t="s">
        <v>16</v>
      </c>
      <c r="B93" s="25"/>
      <c r="C93" s="38" t="s">
        <v>154</v>
      </c>
      <c r="D93" s="14"/>
      <c r="E93" s="9"/>
      <c r="F93" s="9"/>
      <c r="G93" s="15"/>
      <c r="H93" s="15"/>
      <c r="I93" s="147" t="s">
        <v>445</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20" t="str">
        <f>'[5]TS BYDem'!E10</f>
        <v>-</v>
      </c>
      <c r="F96" s="120" t="str">
        <f>'[5]TS BYDem'!F10</f>
        <v>-</v>
      </c>
      <c r="G96" s="120" t="str">
        <f>'[5]TS BYDem'!G10</f>
        <v>-</v>
      </c>
      <c r="H96" s="120" t="str">
        <f>'[5]TS BYDem'!H10</f>
        <v>-</v>
      </c>
      <c r="I96" s="120">
        <f>'[5]TS BYDem'!I10</f>
        <v>0</v>
      </c>
      <c r="J96" s="24">
        <f>'[5]TS BYDem'!J10</f>
        <v>10.675790841703828</v>
      </c>
      <c r="K96" s="24">
        <f>($O96-$J96)*(K$94-$J$94)/($O$94-$J$94)+$J96</f>
        <v>12.639010653235388</v>
      </c>
      <c r="L96" s="24">
        <f t="shared" ref="L96:N111" si="46">($O96-$J96)*(L$94-$J$94)/($O$94-$J$94)+$J96</f>
        <v>14.602230464766947</v>
      </c>
      <c r="M96" s="24">
        <f t="shared" si="46"/>
        <v>16.565450276298506</v>
      </c>
      <c r="N96" s="24">
        <f t="shared" si="46"/>
        <v>18.528670087830069</v>
      </c>
      <c r="O96" s="24">
        <f>'[5]TS BYDem'!O10</f>
        <v>20.491889899361627</v>
      </c>
      <c r="P96" s="24">
        <f ca="1">OFFSET(P$21,$BB96,$J$93)/OFFSET(O$21,$BB96,$J$93)*O96</f>
        <v>20.526407826903512</v>
      </c>
      <c r="Q96" s="24">
        <f t="shared" ref="Q96:T96" ca="1" si="47">OFFSET(Q$21,$BB96,$J$93)/OFFSET(P$21,$BB96,$J$93)*P96</f>
        <v>20.748275785921976</v>
      </c>
      <c r="R96" s="24">
        <f t="shared" ca="1" si="47"/>
        <v>21.673678197395017</v>
      </c>
      <c r="S96" s="24">
        <f t="shared" ca="1" si="47"/>
        <v>22.22361389023532</v>
      </c>
      <c r="T96" s="24">
        <f t="shared" ca="1" si="47"/>
        <v>21.817046787141521</v>
      </c>
      <c r="U96" s="24">
        <f t="shared" ref="U96:AP96" ca="1" si="48">OFFSET(U$21,$BB96,$J$93)/OFFSET(T$21,$BB96,$J$93)*T96</f>
        <v>21.437894799338004</v>
      </c>
      <c r="V96" s="24">
        <f t="shared" ca="1" si="48"/>
        <v>20.981031332430554</v>
      </c>
      <c r="W96" s="24">
        <f t="shared" ca="1" si="48"/>
        <v>20.486204558108621</v>
      </c>
      <c r="X96" s="24">
        <f t="shared" ca="1" si="48"/>
        <v>19.962625848090529</v>
      </c>
      <c r="Y96" s="24">
        <f t="shared" ca="1" si="48"/>
        <v>19.405480600178386</v>
      </c>
      <c r="Z96" s="24">
        <f t="shared" ca="1" si="48"/>
        <v>18.843689274295329</v>
      </c>
      <c r="AA96" s="24">
        <f t="shared" ca="1" si="48"/>
        <v>18.242257253447526</v>
      </c>
      <c r="AB96" s="24">
        <f t="shared" ca="1" si="48"/>
        <v>17.63782556108902</v>
      </c>
      <c r="AC96" s="24">
        <f t="shared" ca="1" si="48"/>
        <v>17.059348612203461</v>
      </c>
      <c r="AD96" s="24">
        <f t="shared" ca="1" si="48"/>
        <v>16.494277883471508</v>
      </c>
      <c r="AE96" s="24">
        <f t="shared" ca="1" si="48"/>
        <v>15.9494315720478</v>
      </c>
      <c r="AF96" s="24">
        <f t="shared" ca="1" si="48"/>
        <v>15.421394116210863</v>
      </c>
      <c r="AG96" s="24">
        <f t="shared" ca="1" si="48"/>
        <v>14.931235916640659</v>
      </c>
      <c r="AH96" s="24">
        <f t="shared" ca="1" si="48"/>
        <v>14.464995998664817</v>
      </c>
      <c r="AI96" s="24">
        <f t="shared" ca="1" si="48"/>
        <v>13.960802642966632</v>
      </c>
      <c r="AJ96" s="24">
        <f t="shared" ca="1" si="48"/>
        <v>13.468816967154979</v>
      </c>
      <c r="AK96" s="24">
        <f t="shared" ca="1" si="48"/>
        <v>13.003874773300755</v>
      </c>
      <c r="AL96" s="24">
        <f t="shared" ca="1" si="48"/>
        <v>12.550852093108565</v>
      </c>
      <c r="AM96" s="24">
        <f t="shared" ca="1" si="48"/>
        <v>10.514367708234561</v>
      </c>
      <c r="AN96" s="24">
        <f t="shared" ca="1" si="48"/>
        <v>8.8852343399980409</v>
      </c>
      <c r="AO96" s="24">
        <f t="shared" ca="1" si="48"/>
        <v>8.8852343399980409</v>
      </c>
      <c r="AP96" s="24">
        <f t="shared" ca="1" si="48"/>
        <v>8.8852343399980409</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20" t="s">
        <v>137</v>
      </c>
      <c r="F97" s="120" t="s">
        <v>137</v>
      </c>
      <c r="G97" s="120" t="s">
        <v>137</v>
      </c>
      <c r="H97" s="120" t="s">
        <v>137</v>
      </c>
      <c r="I97" s="120">
        <v>0</v>
      </c>
      <c r="J97" s="6">
        <f>'[5]TS BYDem'!J11</f>
        <v>4.742986727829742E-2</v>
      </c>
      <c r="K97" s="24">
        <f t="shared" ref="K97:N136" si="49">($O97-$J97)*(K$94-$J$94)/($O$94-$J$94)+$J97</f>
        <v>4.5818274562462187E-2</v>
      </c>
      <c r="L97" s="24">
        <f t="shared" si="46"/>
        <v>4.4206681846626947E-2</v>
      </c>
      <c r="M97" s="24">
        <f t="shared" si="46"/>
        <v>4.2595089130791713E-2</v>
      </c>
      <c r="N97" s="24">
        <f t="shared" si="46"/>
        <v>4.0983496414956473E-2</v>
      </c>
      <c r="O97" s="24">
        <f>'[5]TS BYDem'!O11</f>
        <v>3.937190369912124E-2</v>
      </c>
      <c r="P97" s="24">
        <f t="shared" ref="P97:S103" ca="1" si="50">OFFSET(P$21,$BB97,$J$93)/OFFSET(O$21,$BB97,$J$93)*O97</f>
        <v>3.9438224400908474E-2</v>
      </c>
      <c r="Q97" s="24">
        <f t="shared" ca="1" si="50"/>
        <v>3.9864508358088413E-2</v>
      </c>
      <c r="R97" s="24">
        <f t="shared" ca="1" si="50"/>
        <v>4.1642521748087455E-2</v>
      </c>
      <c r="S97" s="24">
        <f t="shared" ca="1" si="50"/>
        <v>4.2699135620480576E-2</v>
      </c>
      <c r="T97" s="24">
        <f t="shared" ref="T97:AP97" ca="1" si="51">OFFSET(T$21,$BB97,$J$93)/OFFSET(S$21,$BB97,$J$93)*S97</f>
        <v>4.1917981665972048E-2</v>
      </c>
      <c r="U97" s="24">
        <f t="shared" ca="1" si="51"/>
        <v>4.1189501490427306E-2</v>
      </c>
      <c r="V97" s="24">
        <f t="shared" ca="1" si="51"/>
        <v>4.0311711081096289E-2</v>
      </c>
      <c r="W97" s="24">
        <f t="shared" ca="1" si="51"/>
        <v>3.9360980221130229E-2</v>
      </c>
      <c r="X97" s="24">
        <f t="shared" ca="1" si="51"/>
        <v>3.8355007094640577E-2</v>
      </c>
      <c r="Y97" s="24">
        <f t="shared" ca="1" si="51"/>
        <v>3.7284541210090644E-2</v>
      </c>
      <c r="Z97" s="24">
        <f t="shared" ca="1" si="51"/>
        <v>3.6205148626473525E-2</v>
      </c>
      <c r="AA97" s="24">
        <f t="shared" ca="1" si="51"/>
        <v>3.5049592759119133E-2</v>
      </c>
      <c r="AB97" s="24">
        <f t="shared" ca="1" si="51"/>
        <v>3.3888273500568104E-2</v>
      </c>
      <c r="AC97" s="24">
        <f t="shared" ca="1" si="51"/>
        <v>3.2776822149055952E-2</v>
      </c>
      <c r="AD97" s="24">
        <f t="shared" ca="1" si="51"/>
        <v>3.1691128715015011E-2</v>
      </c>
      <c r="AE97" s="24">
        <f t="shared" ca="1" si="51"/>
        <v>3.0644293278676665E-2</v>
      </c>
      <c r="AF97" s="24">
        <f t="shared" ca="1" si="51"/>
        <v>2.9629753382022794E-2</v>
      </c>
      <c r="AG97" s="24">
        <f t="shared" ca="1" si="51"/>
        <v>2.8687992445106288E-2</v>
      </c>
      <c r="AH97" s="24">
        <f t="shared" ca="1" si="51"/>
        <v>2.7792186677976779E-2</v>
      </c>
      <c r="AI97" s="24">
        <f t="shared" ca="1" si="51"/>
        <v>2.682345942325421E-2</v>
      </c>
      <c r="AJ97" s="24">
        <f t="shared" ca="1" si="51"/>
        <v>2.5878187281712647E-2</v>
      </c>
      <c r="AK97" s="24">
        <f t="shared" ca="1" si="51"/>
        <v>2.4984874884857688E-2</v>
      </c>
      <c r="AL97" s="24">
        <f t="shared" ca="1" si="51"/>
        <v>2.4114463935665523E-2</v>
      </c>
      <c r="AM97" s="24">
        <f t="shared" ca="1" si="51"/>
        <v>2.020168344153837E-2</v>
      </c>
      <c r="AN97" s="24">
        <f t="shared" ca="1" si="51"/>
        <v>1.7071563066978313E-2</v>
      </c>
      <c r="AO97" s="24">
        <f t="shared" ca="1" si="51"/>
        <v>1.7071563066978313E-2</v>
      </c>
      <c r="AP97" s="24">
        <f t="shared" ca="1" si="51"/>
        <v>1.7071563066978313E-2</v>
      </c>
      <c r="AQ97" s="6"/>
      <c r="AR97" s="6"/>
      <c r="AS97" s="6"/>
      <c r="AT97" s="6"/>
      <c r="AU97" s="6"/>
      <c r="AV97" s="6"/>
      <c r="BB97" s="229">
        <v>1</v>
      </c>
    </row>
    <row r="98" spans="1:54">
      <c r="A98" s="22" t="str">
        <f>'[5]TS BYDem'!A12</f>
        <v/>
      </c>
      <c r="B98" s="22" t="str">
        <f>'[5]TS BYDem'!B12</f>
        <v>COM_PROJ</v>
      </c>
      <c r="C98" s="22" t="str">
        <f>'[5]TS BYDem'!C12</f>
        <v>-</v>
      </c>
      <c r="D98" s="22" t="str">
        <f>'[5]TS BYDem'!D12</f>
        <v>RLEK</v>
      </c>
      <c r="E98" s="120" t="s">
        <v>137</v>
      </c>
      <c r="F98" s="120" t="s">
        <v>137</v>
      </c>
      <c r="G98" s="120" t="s">
        <v>137</v>
      </c>
      <c r="H98" s="120" t="s">
        <v>137</v>
      </c>
      <c r="I98" s="120">
        <v>0</v>
      </c>
      <c r="J98" s="6">
        <f>'[5]TS BYDem'!J12</f>
        <v>10.057098199765919</v>
      </c>
      <c r="K98" s="24">
        <f t="shared" si="49"/>
        <v>10.651583309100051</v>
      </c>
      <c r="L98" s="24">
        <f t="shared" si="46"/>
        <v>11.246068418434183</v>
      </c>
      <c r="M98" s="24">
        <f t="shared" si="46"/>
        <v>11.840553527768316</v>
      </c>
      <c r="N98" s="24">
        <f t="shared" si="46"/>
        <v>12.435038637102448</v>
      </c>
      <c r="O98" s="24">
        <f>'[5]TS BYDem'!O12</f>
        <v>13.029523746436579</v>
      </c>
      <c r="P98" s="24">
        <f t="shared" ca="1" si="50"/>
        <v>13.051471558902563</v>
      </c>
      <c r="Q98" s="24">
        <f t="shared" ca="1" si="50"/>
        <v>13.192543653999781</v>
      </c>
      <c r="R98" s="24">
        <f t="shared" ca="1" si="50"/>
        <v>13.780949738285511</v>
      </c>
      <c r="S98" s="24">
        <f t="shared" ca="1" si="50"/>
        <v>14.130619788440281</v>
      </c>
      <c r="T98" s="24">
        <f t="shared" ref="T98:AP98" ca="1" si="52">OFFSET(T$21,$BB98,$J$93)/OFFSET(S$21,$BB98,$J$93)*S98</f>
        <v>13.872108945843689</v>
      </c>
      <c r="U98" s="24">
        <f t="shared" ca="1" si="52"/>
        <v>13.631029677271762</v>
      </c>
      <c r="V98" s="24">
        <f t="shared" ca="1" si="52"/>
        <v>13.340538491725455</v>
      </c>
      <c r="W98" s="24">
        <f t="shared" ca="1" si="52"/>
        <v>13.025908790020827</v>
      </c>
      <c r="X98" s="24">
        <f t="shared" ca="1" si="52"/>
        <v>12.692997512983275</v>
      </c>
      <c r="Y98" s="24">
        <f t="shared" ca="1" si="52"/>
        <v>12.338743353238266</v>
      </c>
      <c r="Z98" s="24">
        <f t="shared" ca="1" si="52"/>
        <v>11.981535040238134</v>
      </c>
      <c r="AA98" s="24">
        <f t="shared" ca="1" si="52"/>
        <v>11.599121664215266</v>
      </c>
      <c r="AB98" s="24">
        <f t="shared" ca="1" si="52"/>
        <v>11.214800982845153</v>
      </c>
      <c r="AC98" s="24">
        <f t="shared" ca="1" si="52"/>
        <v>10.84698331550031</v>
      </c>
      <c r="AD98" s="24">
        <f t="shared" ca="1" si="52"/>
        <v>10.487689833318436</v>
      </c>
      <c r="AE98" s="24">
        <f t="shared" ca="1" si="52"/>
        <v>10.141255805626596</v>
      </c>
      <c r="AF98" s="24">
        <f t="shared" ca="1" si="52"/>
        <v>9.8055094882481466</v>
      </c>
      <c r="AG98" s="24">
        <f t="shared" ca="1" si="52"/>
        <v>9.49384824410836</v>
      </c>
      <c r="AH98" s="24">
        <f t="shared" ca="1" si="52"/>
        <v>9.1973951540011303</v>
      </c>
      <c r="AI98" s="24">
        <f t="shared" ca="1" si="52"/>
        <v>8.876809823261592</v>
      </c>
      <c r="AJ98" s="24">
        <f t="shared" ca="1" si="52"/>
        <v>8.563986600153493</v>
      </c>
      <c r="AK98" s="24">
        <f t="shared" ca="1" si="52"/>
        <v>8.2683586524485495</v>
      </c>
      <c r="AL98" s="24">
        <f t="shared" ca="1" si="52"/>
        <v>7.9803095853187118</v>
      </c>
      <c r="AM98" s="24">
        <f t="shared" ca="1" si="52"/>
        <v>6.6854352822516372</v>
      </c>
      <c r="AN98" s="24">
        <f t="shared" ca="1" si="52"/>
        <v>5.6495702638566669</v>
      </c>
      <c r="AO98" s="24">
        <f t="shared" ca="1" si="52"/>
        <v>5.6495702638566669</v>
      </c>
      <c r="AP98" s="24">
        <f t="shared" ca="1" si="52"/>
        <v>5.6495702638566669</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20" t="s">
        <v>137</v>
      </c>
      <c r="F99" s="120" t="s">
        <v>137</v>
      </c>
      <c r="G99" s="120" t="s">
        <v>137</v>
      </c>
      <c r="H99" s="120" t="s">
        <v>137</v>
      </c>
      <c r="I99" s="120">
        <v>0</v>
      </c>
      <c r="J99" s="6">
        <f>'[5]TS BYDem'!J13</f>
        <v>14.601022992423397</v>
      </c>
      <c r="K99" s="24">
        <f t="shared" si="49"/>
        <v>13.891192798312483</v>
      </c>
      <c r="L99" s="24">
        <f t="shared" si="46"/>
        <v>13.181362604201567</v>
      </c>
      <c r="M99" s="24">
        <f t="shared" si="46"/>
        <v>12.471532410090653</v>
      </c>
      <c r="N99" s="24">
        <f t="shared" si="46"/>
        <v>11.761702215979739</v>
      </c>
      <c r="O99" s="24">
        <f>'[5]TS BYDem'!O13</f>
        <v>11.051872021868823</v>
      </c>
      <c r="P99" s="24">
        <f t="shared" ca="1" si="50"/>
        <v>11.0704885437966</v>
      </c>
      <c r="Q99" s="24">
        <f t="shared" ca="1" si="50"/>
        <v>11.190148384878494</v>
      </c>
      <c r="R99" s="24">
        <f t="shared" ca="1" si="50"/>
        <v>11.689244811345603</v>
      </c>
      <c r="S99" s="24">
        <f t="shared" ca="1" si="50"/>
        <v>11.985841119806061</v>
      </c>
      <c r="T99" s="24">
        <f t="shared" ref="T99:AP99" ca="1" si="54">OFFSET(T$21,$BB99,$J$93)/OFFSET(S$21,$BB99,$J$93)*S99</f>
        <v>11.76656766021976</v>
      </c>
      <c r="U99" s="24">
        <f t="shared" ca="1" si="54"/>
        <v>11.562079969400566</v>
      </c>
      <c r="V99" s="24">
        <f t="shared" ca="1" si="54"/>
        <v>11.315680218449058</v>
      </c>
      <c r="W99" s="24">
        <f t="shared" ca="1" si="54"/>
        <v>11.048805752030491</v>
      </c>
      <c r="X99" s="24">
        <f t="shared" ca="1" si="54"/>
        <v>10.766424530732039</v>
      </c>
      <c r="Y99" s="24">
        <f t="shared" ca="1" si="54"/>
        <v>10.465939899604424</v>
      </c>
      <c r="Z99" s="24">
        <f t="shared" ca="1" si="54"/>
        <v>10.162949503542956</v>
      </c>
      <c r="AA99" s="24">
        <f t="shared" ca="1" si="54"/>
        <v>9.8385797281387397</v>
      </c>
      <c r="AB99" s="24">
        <f t="shared" ca="1" si="54"/>
        <v>9.5125921426737268</v>
      </c>
      <c r="AC99" s="24">
        <f t="shared" ca="1" si="54"/>
        <v>9.2006027049946031</v>
      </c>
      <c r="AD99" s="24">
        <f t="shared" ca="1" si="54"/>
        <v>8.8958436316284963</v>
      </c>
      <c r="AE99" s="24">
        <f t="shared" ca="1" si="54"/>
        <v>8.6019921745391397</v>
      </c>
      <c r="AF99" s="24">
        <f t="shared" ca="1" si="54"/>
        <v>8.317206221983108</v>
      </c>
      <c r="AG99" s="24">
        <f t="shared" ca="1" si="54"/>
        <v>8.0528496536663763</v>
      </c>
      <c r="AH99" s="24">
        <f t="shared" ca="1" si="54"/>
        <v>7.8013929100345374</v>
      </c>
      <c r="AI99" s="24">
        <f t="shared" ca="1" si="54"/>
        <v>7.529466773947572</v>
      </c>
      <c r="AJ99" s="24">
        <f t="shared" ca="1" si="54"/>
        <v>7.2641245945601831</v>
      </c>
      <c r="AK99" s="24">
        <f t="shared" ca="1" si="54"/>
        <v>7.0133677512783015</v>
      </c>
      <c r="AL99" s="24">
        <f t="shared" ca="1" si="54"/>
        <v>6.7690394482727276</v>
      </c>
      <c r="AM99" s="24">
        <f t="shared" ca="1" si="54"/>
        <v>5.6707042089806752</v>
      </c>
      <c r="AN99" s="24">
        <f t="shared" ca="1" si="54"/>
        <v>4.7920652166412223</v>
      </c>
      <c r="AO99" s="24">
        <f t="shared" ca="1" si="54"/>
        <v>4.7920652166412223</v>
      </c>
      <c r="AP99" s="24">
        <f t="shared" ca="1" si="54"/>
        <v>4.7920652166412223</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20" t="s">
        <v>137</v>
      </c>
      <c r="F100" s="120" t="s">
        <v>137</v>
      </c>
      <c r="G100" s="120" t="s">
        <v>137</v>
      </c>
      <c r="H100" s="120" t="s">
        <v>137</v>
      </c>
      <c r="I100" s="120">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20" t="s">
        <v>137</v>
      </c>
      <c r="F101" s="120" t="s">
        <v>137</v>
      </c>
      <c r="G101" s="120" t="s">
        <v>137</v>
      </c>
      <c r="H101" s="120" t="s">
        <v>137</v>
      </c>
      <c r="I101" s="120">
        <v>0</v>
      </c>
      <c r="J101" s="6">
        <f>'[5]TS BYDem'!J15</f>
        <v>5.6499455804389198</v>
      </c>
      <c r="K101" s="24">
        <f t="shared" si="49"/>
        <v>6.0252615262969664</v>
      </c>
      <c r="L101" s="24">
        <f t="shared" si="46"/>
        <v>6.400577472155013</v>
      </c>
      <c r="M101" s="24">
        <f t="shared" si="46"/>
        <v>6.7758934180130606</v>
      </c>
      <c r="N101" s="24">
        <f t="shared" si="46"/>
        <v>7.1512093638711072</v>
      </c>
      <c r="O101" s="24">
        <f>'[5]TS BYDem'!O15</f>
        <v>7.5265253097291538</v>
      </c>
      <c r="P101" s="24">
        <f t="shared" ca="1" si="50"/>
        <v>7.5392034988351515</v>
      </c>
      <c r="Q101" s="24">
        <f t="shared" ca="1" si="50"/>
        <v>7.6206940210452299</v>
      </c>
      <c r="R101" s="24">
        <f t="shared" ca="1" si="50"/>
        <v>7.9605877402601282</v>
      </c>
      <c r="S101" s="24">
        <f t="shared" ca="1" si="50"/>
        <v>8.1625752060924004</v>
      </c>
      <c r="T101" s="24">
        <f t="shared" ref="T101:AP101" ca="1" si="56">OFFSET(T$21,$BB101,$J$93)/OFFSET(S$21,$BB101,$J$93)*S101</f>
        <v>8.0132460028531192</v>
      </c>
      <c r="U101" s="24">
        <f t="shared" ca="1" si="56"/>
        <v>7.8739861763338395</v>
      </c>
      <c r="V101" s="24">
        <f t="shared" ca="1" si="56"/>
        <v>7.7061834766484072</v>
      </c>
      <c r="W101" s="24">
        <f t="shared" ca="1" si="56"/>
        <v>7.5244371243521417</v>
      </c>
      <c r="X101" s="24">
        <f t="shared" ca="1" si="56"/>
        <v>7.3321303907155686</v>
      </c>
      <c r="Y101" s="24">
        <f t="shared" ca="1" si="56"/>
        <v>7.1274949066191651</v>
      </c>
      <c r="Z101" s="24">
        <f t="shared" ca="1" si="56"/>
        <v>6.9211529511523411</v>
      </c>
      <c r="AA101" s="24">
        <f t="shared" ca="1" si="56"/>
        <v>6.70025125056622</v>
      </c>
      <c r="AB101" s="24">
        <f t="shared" ca="1" si="56"/>
        <v>6.4782477919842743</v>
      </c>
      <c r="AC101" s="24">
        <f t="shared" ca="1" si="56"/>
        <v>6.2657773259479672</v>
      </c>
      <c r="AD101" s="24">
        <f t="shared" ca="1" si="56"/>
        <v>6.0582308691557785</v>
      </c>
      <c r="AE101" s="24">
        <f t="shared" ca="1" si="56"/>
        <v>5.8581126968943291</v>
      </c>
      <c r="AF101" s="24">
        <f t="shared" ca="1" si="56"/>
        <v>5.664168297653462</v>
      </c>
      <c r="AG101" s="24">
        <f t="shared" ca="1" si="56"/>
        <v>5.4841366796350899</v>
      </c>
      <c r="AH101" s="24">
        <f t="shared" ca="1" si="56"/>
        <v>5.3128900762087978</v>
      </c>
      <c r="AI101" s="24">
        <f t="shared" ca="1" si="56"/>
        <v>5.1277034452393488</v>
      </c>
      <c r="AJ101" s="24">
        <f t="shared" ca="1" si="56"/>
        <v>4.9470006082044904</v>
      </c>
      <c r="AK101" s="24">
        <f t="shared" ca="1" si="56"/>
        <v>4.7762306496115627</v>
      </c>
      <c r="AL101" s="24">
        <f t="shared" ca="1" si="56"/>
        <v>4.6098386435499812</v>
      </c>
      <c r="AM101" s="24">
        <f t="shared" ca="1" si="56"/>
        <v>3.8618524235918166</v>
      </c>
      <c r="AN101" s="24">
        <f t="shared" ca="1" si="56"/>
        <v>3.2634833327380512</v>
      </c>
      <c r="AO101" s="24">
        <f t="shared" ca="1" si="56"/>
        <v>3.2634833327380512</v>
      </c>
      <c r="AP101" s="24">
        <f t="shared" ca="1" si="56"/>
        <v>3.2634833327380512</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20" t="s">
        <v>137</v>
      </c>
      <c r="F102" s="120" t="s">
        <v>137</v>
      </c>
      <c r="G102" s="120" t="s">
        <v>137</v>
      </c>
      <c r="H102" s="120" t="s">
        <v>137</v>
      </c>
      <c r="I102" s="120">
        <v>0</v>
      </c>
      <c r="J102" s="6">
        <f>'[5]TS BYDem'!J16</f>
        <v>1.4353020960038052</v>
      </c>
      <c r="K102" s="24">
        <f t="shared" si="49"/>
        <v>1.6984088756600515</v>
      </c>
      <c r="L102" s="24">
        <f t="shared" si="46"/>
        <v>1.9615156553162976</v>
      </c>
      <c r="M102" s="24">
        <f t="shared" si="46"/>
        <v>2.2246224349725439</v>
      </c>
      <c r="N102" s="24">
        <f t="shared" si="46"/>
        <v>2.4877292146287902</v>
      </c>
      <c r="O102" s="24">
        <f>'[5]TS BYDem'!O16</f>
        <v>2.7508359942850364</v>
      </c>
      <c r="P102" s="24">
        <f t="shared" ca="1" si="50"/>
        <v>2.7554696887854786</v>
      </c>
      <c r="Q102" s="24">
        <f t="shared" ca="1" si="50"/>
        <v>2.7852532944286827</v>
      </c>
      <c r="R102" s="24">
        <f t="shared" ca="1" si="50"/>
        <v>2.9094795261320607</v>
      </c>
      <c r="S102" s="24">
        <f t="shared" ca="1" si="50"/>
        <v>2.9833030195158661</v>
      </c>
      <c r="T102" s="24">
        <f t="shared" ref="T102:AP102" ca="1" si="57">OFFSET(T$21,$BB102,$J$93)/OFFSET(S$21,$BB102,$J$93)*S102</f>
        <v>2.9287253584618971</v>
      </c>
      <c r="U102" s="24">
        <f t="shared" ca="1" si="57"/>
        <v>2.8778279087646328</v>
      </c>
      <c r="V102" s="24">
        <f t="shared" ca="1" si="57"/>
        <v>2.8164984523106424</v>
      </c>
      <c r="W102" s="24">
        <f t="shared" ca="1" si="57"/>
        <v>2.7500727927728597</v>
      </c>
      <c r="X102" s="24">
        <f t="shared" ca="1" si="57"/>
        <v>2.6797874668008532</v>
      </c>
      <c r="Y102" s="24">
        <f t="shared" ca="1" si="57"/>
        <v>2.6049961610926702</v>
      </c>
      <c r="Z102" s="24">
        <f t="shared" ca="1" si="57"/>
        <v>2.5295811648133677</v>
      </c>
      <c r="AA102" s="24">
        <f t="shared" ca="1" si="57"/>
        <v>2.4488447925612769</v>
      </c>
      <c r="AB102" s="24">
        <f t="shared" ca="1" si="57"/>
        <v>2.367705743718437</v>
      </c>
      <c r="AC102" s="24">
        <f t="shared" ca="1" si="57"/>
        <v>2.2900508655850076</v>
      </c>
      <c r="AD102" s="24">
        <f t="shared" ca="1" si="57"/>
        <v>2.2141956415160378</v>
      </c>
      <c r="AE102" s="24">
        <f t="shared" ca="1" si="57"/>
        <v>2.1410553478594503</v>
      </c>
      <c r="AF102" s="24">
        <f t="shared" ca="1" si="57"/>
        <v>2.0701714788273318</v>
      </c>
      <c r="AG102" s="24">
        <f t="shared" ca="1" si="57"/>
        <v>2.0043725298336779</v>
      </c>
      <c r="AH102" s="24">
        <f t="shared" ca="1" si="57"/>
        <v>1.9417843764403491</v>
      </c>
      <c r="AI102" s="24">
        <f t="shared" ca="1" si="57"/>
        <v>1.8741013448729613</v>
      </c>
      <c r="AJ102" s="24">
        <f t="shared" ca="1" si="57"/>
        <v>1.8080570750500249</v>
      </c>
      <c r="AK102" s="24">
        <f t="shared" ca="1" si="57"/>
        <v>1.7456431284400593</v>
      </c>
      <c r="AL102" s="24">
        <f t="shared" ca="1" si="57"/>
        <v>1.6848292600745567</v>
      </c>
      <c r="AM102" s="24">
        <f t="shared" ca="1" si="57"/>
        <v>1.4114511297399139</v>
      </c>
      <c r="AN102" s="24">
        <f t="shared" ca="1" si="57"/>
        <v>1.1927558931929205</v>
      </c>
      <c r="AO102" s="24">
        <f t="shared" ca="1" si="57"/>
        <v>1.1927558931929205</v>
      </c>
      <c r="AP102" s="24">
        <f t="shared" ca="1" si="57"/>
        <v>1.1927558931929205</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20" t="s">
        <v>137</v>
      </c>
      <c r="F103" s="120" t="s">
        <v>137</v>
      </c>
      <c r="G103" s="120" t="s">
        <v>137</v>
      </c>
      <c r="H103" s="120" t="s">
        <v>137</v>
      </c>
      <c r="I103" s="120">
        <v>0</v>
      </c>
      <c r="J103" s="6">
        <f>'[5]TS BYDem'!J17</f>
        <v>1.9878001092508091</v>
      </c>
      <c r="K103" s="24">
        <f t="shared" si="49"/>
        <v>2.1565691406754266</v>
      </c>
      <c r="L103" s="24">
        <f t="shared" si="46"/>
        <v>2.3253381721000443</v>
      </c>
      <c r="M103" s="24">
        <f t="shared" si="46"/>
        <v>2.4941072035246621</v>
      </c>
      <c r="N103" s="24">
        <f t="shared" si="46"/>
        <v>2.6628762349492798</v>
      </c>
      <c r="O103" s="24">
        <f>'[5]TS BYDem'!O17</f>
        <v>2.8316452663738976</v>
      </c>
      <c r="P103" s="24">
        <f t="shared" ca="1" si="50"/>
        <v>2.8364150814865612</v>
      </c>
      <c r="Q103" s="24">
        <f t="shared" ca="1" si="50"/>
        <v>2.8670736180588392</v>
      </c>
      <c r="R103" s="24">
        <f t="shared" ca="1" si="50"/>
        <v>2.9949491517850015</v>
      </c>
      <c r="S103" s="24">
        <f t="shared" ca="1" si="50"/>
        <v>3.0709413032697608</v>
      </c>
      <c r="T103" s="24">
        <f t="shared" ref="T103:AP103" ca="1" si="58">OFFSET(T$21,$BB103,$J$93)/OFFSET(S$21,$BB103,$J$93)*S103</f>
        <v>3.0147603546802038</v>
      </c>
      <c r="U103" s="24">
        <f t="shared" ca="1" si="58"/>
        <v>2.9623677282912864</v>
      </c>
      <c r="V103" s="24">
        <f t="shared" ca="1" si="58"/>
        <v>2.8992366418077529</v>
      </c>
      <c r="W103" s="24">
        <f t="shared" ca="1" si="58"/>
        <v>2.8308596448560266</v>
      </c>
      <c r="X103" s="24">
        <f t="shared" ca="1" si="58"/>
        <v>2.758509598907211</v>
      </c>
      <c r="Y103" s="24">
        <f t="shared" ca="1" si="58"/>
        <v>2.681521204392058</v>
      </c>
      <c r="Z103" s="24">
        <f t="shared" ca="1" si="58"/>
        <v>2.603890797609703</v>
      </c>
      <c r="AA103" s="24">
        <f t="shared" ca="1" si="58"/>
        <v>2.5207826927329329</v>
      </c>
      <c r="AB103" s="24">
        <f t="shared" ca="1" si="58"/>
        <v>2.4372600821333781</v>
      </c>
      <c r="AC103" s="24">
        <f t="shared" ca="1" si="58"/>
        <v>2.3573239941462356</v>
      </c>
      <c r="AD103" s="24">
        <f t="shared" ca="1" si="58"/>
        <v>2.2792404273284119</v>
      </c>
      <c r="AE103" s="24">
        <f t="shared" ca="1" si="58"/>
        <v>2.2039515454233669</v>
      </c>
      <c r="AF103" s="24">
        <f t="shared" ca="1" si="58"/>
        <v>2.1309853734581665</v>
      </c>
      <c r="AG103" s="24">
        <f t="shared" ca="1" si="58"/>
        <v>2.063253497462163</v>
      </c>
      <c r="AH103" s="24">
        <f t="shared" ca="1" si="58"/>
        <v>1.9988267382313329</v>
      </c>
      <c r="AI103" s="24">
        <f t="shared" ca="1" si="58"/>
        <v>1.9291554323629361</v>
      </c>
      <c r="AJ103" s="24">
        <f t="shared" ca="1" si="58"/>
        <v>1.8611710289293011</v>
      </c>
      <c r="AK103" s="24">
        <f t="shared" ca="1" si="58"/>
        <v>1.7969235940255142</v>
      </c>
      <c r="AL103" s="24">
        <f t="shared" ca="1" si="58"/>
        <v>1.7343232416799654</v>
      </c>
      <c r="AM103" s="24">
        <f t="shared" ca="1" si="58"/>
        <v>1.452914284439156</v>
      </c>
      <c r="AN103" s="24">
        <f t="shared" ca="1" si="58"/>
        <v>1.2277945998656792</v>
      </c>
      <c r="AO103" s="24">
        <f t="shared" ca="1" si="58"/>
        <v>1.2277945998656792</v>
      </c>
      <c r="AP103" s="24">
        <f t="shared" ca="1" si="58"/>
        <v>1.2277945998656792</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20" t="s">
        <v>137</v>
      </c>
      <c r="F104" s="120" t="s">
        <v>137</v>
      </c>
      <c r="G104" s="120" t="s">
        <v>137</v>
      </c>
      <c r="H104" s="120" t="s">
        <v>137</v>
      </c>
      <c r="I104" s="120">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20" t="s">
        <v>137</v>
      </c>
      <c r="F105" s="120" t="s">
        <v>137</v>
      </c>
      <c r="G105" s="120" t="s">
        <v>137</v>
      </c>
      <c r="H105" s="120" t="s">
        <v>137</v>
      </c>
      <c r="I105" s="120">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20" t="s">
        <v>137</v>
      </c>
      <c r="F106" s="120" t="s">
        <v>137</v>
      </c>
      <c r="G106" s="120" t="s">
        <v>137</v>
      </c>
      <c r="H106" s="120" t="s">
        <v>137</v>
      </c>
      <c r="I106" s="120">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20" t="s">
        <v>137</v>
      </c>
      <c r="F107" s="120" t="s">
        <v>137</v>
      </c>
      <c r="G107" s="120" t="s">
        <v>137</v>
      </c>
      <c r="H107" s="120" t="s">
        <v>137</v>
      </c>
      <c r="I107" s="120">
        <v>0</v>
      </c>
      <c r="J107" s="6">
        <f>'[5]TS BYDem'!J21</f>
        <v>16.048248534198041</v>
      </c>
      <c r="K107" s="24">
        <f t="shared" si="49"/>
        <v>17.585213087537426</v>
      </c>
      <c r="L107" s="24">
        <f t="shared" si="46"/>
        <v>19.12217764087681</v>
      </c>
      <c r="M107" s="24">
        <f t="shared" si="46"/>
        <v>20.659142194216194</v>
      </c>
      <c r="N107" s="24">
        <f t="shared" si="46"/>
        <v>22.196106747555582</v>
      </c>
      <c r="O107" s="24">
        <f>'[5]TS BYDem'!O21</f>
        <v>23.733071300894967</v>
      </c>
      <c r="P107" s="24">
        <f t="shared" ref="P107:AP107" ca="1" si="62">OFFSET(P$33,$BB107,$J$93)/OFFSET(O$33,$BB107,$J$93)*O107</f>
        <v>24.618555097567821</v>
      </c>
      <c r="Q107" s="24">
        <f t="shared" ca="1" si="62"/>
        <v>25.506478716656712</v>
      </c>
      <c r="R107" s="24">
        <f t="shared" ca="1" si="62"/>
        <v>27.134587220991008</v>
      </c>
      <c r="S107" s="24">
        <f t="shared" ca="1" si="62"/>
        <v>26.433846555316475</v>
      </c>
      <c r="T107" s="24">
        <f t="shared" ca="1" si="62"/>
        <v>27.523339990949999</v>
      </c>
      <c r="U107" s="24">
        <f t="shared" ca="1" si="62"/>
        <v>28.52003577139083</v>
      </c>
      <c r="V107" s="24">
        <f t="shared" ca="1" si="62"/>
        <v>29.561695310066217</v>
      </c>
      <c r="W107" s="24">
        <f t="shared" ca="1" si="62"/>
        <v>30.679397984250055</v>
      </c>
      <c r="X107" s="24">
        <f t="shared" ca="1" si="62"/>
        <v>31.647337417844295</v>
      </c>
      <c r="Y107" s="24">
        <f t="shared" ca="1" si="62"/>
        <v>32.6886152657137</v>
      </c>
      <c r="Z107" s="24">
        <f t="shared" ca="1" si="62"/>
        <v>33.731342414104091</v>
      </c>
      <c r="AA107" s="24">
        <f t="shared" ca="1" si="62"/>
        <v>34.7749500960416</v>
      </c>
      <c r="AB107" s="24">
        <f t="shared" ca="1" si="62"/>
        <v>35.891127207586294</v>
      </c>
      <c r="AC107" s="24">
        <f t="shared" ca="1" si="62"/>
        <v>36.658991375897294</v>
      </c>
      <c r="AD107" s="24">
        <f t="shared" ca="1" si="62"/>
        <v>37.437159838629739</v>
      </c>
      <c r="AE107" s="24">
        <f t="shared" ca="1" si="62"/>
        <v>38.195702743974842</v>
      </c>
      <c r="AF107" s="24">
        <f t="shared" ca="1" si="62"/>
        <v>38.943728124680774</v>
      </c>
      <c r="AG107" s="24">
        <f t="shared" ca="1" si="62"/>
        <v>39.700175859416269</v>
      </c>
      <c r="AH107" s="24">
        <f t="shared" ca="1" si="62"/>
        <v>40.282395002117262</v>
      </c>
      <c r="AI107" s="24">
        <f t="shared" ca="1" si="62"/>
        <v>40.84562856017493</v>
      </c>
      <c r="AJ107" s="24">
        <f t="shared" ca="1" si="62"/>
        <v>41.45827332382337</v>
      </c>
      <c r="AK107" s="24">
        <f t="shared" ca="1" si="62"/>
        <v>42.0266575945599</v>
      </c>
      <c r="AL107" s="24">
        <f t="shared" ca="1" si="62"/>
        <v>42.593138948118352</v>
      </c>
      <c r="AM107" s="24">
        <f t="shared" ca="1" si="62"/>
        <v>45.76566079298815</v>
      </c>
      <c r="AN107" s="24">
        <f t="shared" ca="1" si="62"/>
        <v>48.036982728260888</v>
      </c>
      <c r="AO107" s="24">
        <f t="shared" ca="1" si="62"/>
        <v>48.036982728260888</v>
      </c>
      <c r="AP107" s="24">
        <f t="shared" ca="1" si="62"/>
        <v>48.036982728260888</v>
      </c>
      <c r="AQ107" s="6"/>
      <c r="AR107" s="6"/>
      <c r="AS107" s="200"/>
      <c r="AT107" s="200"/>
      <c r="AU107" s="6"/>
      <c r="AV107" s="6"/>
      <c r="BB107" s="4">
        <f t="shared" si="53"/>
        <v>2</v>
      </c>
    </row>
    <row r="108" spans="1:54">
      <c r="A108" s="22" t="str">
        <f>'[5]TS BYDem'!A22</f>
        <v/>
      </c>
      <c r="B108" s="22" t="str">
        <f>'[5]TS BYDem'!B22</f>
        <v>COM_PROJ</v>
      </c>
      <c r="C108" s="22" t="str">
        <f>'[5]TS BYDem'!C22</f>
        <v>-</v>
      </c>
      <c r="D108" s="22" t="str">
        <f>'[5]TS BYDem'!D22</f>
        <v>RMNL</v>
      </c>
      <c r="E108" s="120" t="s">
        <v>137</v>
      </c>
      <c r="F108" s="120" t="s">
        <v>137</v>
      </c>
      <c r="G108" s="120" t="s">
        <v>137</v>
      </c>
      <c r="H108" s="120" t="s">
        <v>137</v>
      </c>
      <c r="I108" s="120">
        <v>0</v>
      </c>
      <c r="J108" s="6">
        <f>'[5]TS BYDem'!J22</f>
        <v>3.3422499241462768E-2</v>
      </c>
      <c r="K108" s="24">
        <f t="shared" si="49"/>
        <v>4.0702012494378374E-2</v>
      </c>
      <c r="L108" s="24">
        <f t="shared" si="46"/>
        <v>4.7981525747293988E-2</v>
      </c>
      <c r="M108" s="24">
        <f t="shared" si="46"/>
        <v>5.5261039000209594E-2</v>
      </c>
      <c r="N108" s="24">
        <f t="shared" si="46"/>
        <v>6.2540552253125201E-2</v>
      </c>
      <c r="O108" s="24">
        <f>'[5]TS BYDem'!O22</f>
        <v>6.9820065506040807E-2</v>
      </c>
      <c r="P108" s="24">
        <f t="shared" ref="P108:AO108" ca="1" si="63">IF($E$78=1, P88, P82)</f>
        <v>6.0956383597451078E-2</v>
      </c>
      <c r="Q108" s="24">
        <f t="shared" ca="1" si="63"/>
        <v>6.3154912817216968E-2</v>
      </c>
      <c r="R108" s="24">
        <f t="shared" ca="1" si="63"/>
        <v>6.7186165103760728E-2</v>
      </c>
      <c r="S108" s="24">
        <f t="shared" ca="1" si="63"/>
        <v>6.5451107272384998E-2</v>
      </c>
      <c r="T108" s="24">
        <f t="shared" ca="1" si="63"/>
        <v>6.814873024522726E-2</v>
      </c>
      <c r="U108" s="24">
        <f t="shared" ca="1" si="63"/>
        <v>7.0616583053067894E-2</v>
      </c>
      <c r="V108" s="24">
        <f t="shared" ca="1" si="63"/>
        <v>7.3195767662635566E-2</v>
      </c>
      <c r="W108" s="24">
        <f t="shared" ca="1" si="63"/>
        <v>7.5963237673992073E-2</v>
      </c>
      <c r="X108" s="24">
        <f t="shared" ca="1" si="63"/>
        <v>7.8359888784483078E-2</v>
      </c>
      <c r="Y108" s="24">
        <f t="shared" ca="1" si="63"/>
        <v>8.0938128314573393E-2</v>
      </c>
      <c r="Z108" s="24">
        <f t="shared" ca="1" si="63"/>
        <v>8.3519956362273898E-2</v>
      </c>
      <c r="AA108" s="24">
        <f t="shared" ca="1" si="63"/>
        <v>8.6103964641123465E-2</v>
      </c>
      <c r="AB108" s="24">
        <f t="shared" ca="1" si="63"/>
        <v>8.8867657307259457E-2</v>
      </c>
      <c r="AC108" s="24">
        <f t="shared" ca="1" si="63"/>
        <v>9.0768915224663682E-2</v>
      </c>
      <c r="AD108" s="24">
        <f t="shared" ca="1" si="63"/>
        <v>9.2695686927136353E-2</v>
      </c>
      <c r="AE108" s="24">
        <f t="shared" ca="1" si="63"/>
        <v>9.4573865078944663E-2</v>
      </c>
      <c r="AF108" s="24">
        <f t="shared" ca="1" si="63"/>
        <v>9.6426001480379719E-2</v>
      </c>
      <c r="AG108" s="24">
        <f t="shared" ca="1" si="63"/>
        <v>9.8298991918170084E-2</v>
      </c>
      <c r="AH108" s="24">
        <f t="shared" ca="1" si="63"/>
        <v>9.9740586408976206E-2</v>
      </c>
      <c r="AI108" s="24">
        <f t="shared" ca="1" si="63"/>
        <v>0.10113517194349901</v>
      </c>
      <c r="AJ108" s="24">
        <f t="shared" ca="1" si="63"/>
        <v>0.10265210131136485</v>
      </c>
      <c r="AK108" s="24">
        <f t="shared" ca="1" si="63"/>
        <v>0.10405944018647195</v>
      </c>
      <c r="AL108" s="24">
        <f t="shared" ca="1" si="63"/>
        <v>0.10546206737362657</v>
      </c>
      <c r="AM108" s="24">
        <f t="shared" ca="1" si="63"/>
        <v>0.11331733986142103</v>
      </c>
      <c r="AN108" s="24">
        <f t="shared" ca="1" si="63"/>
        <v>0.11894121058052218</v>
      </c>
      <c r="AO108" s="24">
        <f t="shared" ca="1" si="63"/>
        <v>0.11894121058052218</v>
      </c>
      <c r="AP108" s="24">
        <f ca="1">IF($E$78=1, AP88, AP82)</f>
        <v>0.11894121058052218</v>
      </c>
      <c r="AQ108" s="6"/>
      <c r="AR108" s="6"/>
      <c r="AS108" s="200"/>
      <c r="AT108" s="200"/>
      <c r="AU108" s="6"/>
      <c r="AV108" s="6"/>
      <c r="BB108" s="229">
        <v>2</v>
      </c>
    </row>
    <row r="109" spans="1:54">
      <c r="A109" s="22" t="str">
        <f>'[5]TS BYDem'!A23</f>
        <v/>
      </c>
      <c r="B109" s="22" t="str">
        <f>'[5]TS BYDem'!B23</f>
        <v>COM_PROJ</v>
      </c>
      <c r="C109" s="22" t="str">
        <f>'[5]TS BYDem'!C23</f>
        <v>-</v>
      </c>
      <c r="D109" s="22" t="str">
        <f>'[5]TS BYDem'!D23</f>
        <v>RMEK</v>
      </c>
      <c r="E109" s="120" t="s">
        <v>137</v>
      </c>
      <c r="F109" s="120" t="s">
        <v>137</v>
      </c>
      <c r="G109" s="120" t="s">
        <v>137</v>
      </c>
      <c r="H109" s="120" t="s">
        <v>137</v>
      </c>
      <c r="I109" s="120">
        <v>0</v>
      </c>
      <c r="J109" s="6">
        <f>'[5]TS BYDem'!J23</f>
        <v>9.0451133406280029</v>
      </c>
      <c r="K109" s="24">
        <f t="shared" si="49"/>
        <v>8.9402016286214678</v>
      </c>
      <c r="L109" s="24">
        <f t="shared" si="46"/>
        <v>8.8352899166149328</v>
      </c>
      <c r="M109" s="24">
        <f t="shared" si="46"/>
        <v>8.7303782046083978</v>
      </c>
      <c r="N109" s="24">
        <f t="shared" si="46"/>
        <v>8.6254664926018627</v>
      </c>
      <c r="O109" s="24">
        <f>'[5]TS BYDem'!O23</f>
        <v>8.5205547805953277</v>
      </c>
      <c r="P109" s="24">
        <f t="shared" ref="P109:AP109" ca="1" si="64">OFFSET(P$33,$BB109,$J$93)/OFFSET(O$33,$BB109,$J$93)*O109</f>
        <v>8.8384577229168322</v>
      </c>
      <c r="Q109" s="24">
        <f t="shared" ca="1" si="64"/>
        <v>9.1572366007751764</v>
      </c>
      <c r="R109" s="24">
        <f t="shared" ca="1" si="64"/>
        <v>9.7417537719434257</v>
      </c>
      <c r="S109" s="24">
        <f t="shared" ca="1" si="64"/>
        <v>9.4901765886462286</v>
      </c>
      <c r="T109" s="24">
        <f t="shared" ca="1" si="64"/>
        <v>9.8813222766071629</v>
      </c>
      <c r="U109" s="24">
        <f t="shared" ca="1" si="64"/>
        <v>10.239152111994464</v>
      </c>
      <c r="V109" s="24">
        <f t="shared" ca="1" si="64"/>
        <v>10.613124660658176</v>
      </c>
      <c r="W109" s="24">
        <f t="shared" ca="1" si="64"/>
        <v>11.014397919523841</v>
      </c>
      <c r="X109" s="24">
        <f t="shared" ca="1" si="64"/>
        <v>11.361903763317734</v>
      </c>
      <c r="Y109" s="24">
        <f t="shared" ca="1" si="64"/>
        <v>11.735739278835572</v>
      </c>
      <c r="Z109" s="24">
        <f t="shared" ca="1" si="64"/>
        <v>12.110095116579135</v>
      </c>
      <c r="AA109" s="24">
        <f t="shared" ca="1" si="64"/>
        <v>12.484767080045714</v>
      </c>
      <c r="AB109" s="24">
        <f t="shared" ca="1" si="64"/>
        <v>12.885492637357151</v>
      </c>
      <c r="AC109" s="24">
        <f t="shared" ca="1" si="64"/>
        <v>13.161168239018679</v>
      </c>
      <c r="AD109" s="24">
        <f t="shared" ca="1" si="64"/>
        <v>13.440543248311869</v>
      </c>
      <c r="AE109" s="24">
        <f t="shared" ca="1" si="64"/>
        <v>13.712872366464442</v>
      </c>
      <c r="AF109" s="24">
        <f t="shared" ca="1" si="64"/>
        <v>13.981425523903454</v>
      </c>
      <c r="AG109" s="24">
        <f t="shared" ca="1" si="64"/>
        <v>14.253002442067769</v>
      </c>
      <c r="AH109" s="24">
        <f t="shared" ca="1" si="64"/>
        <v>14.462028490015806</v>
      </c>
      <c r="AI109" s="24">
        <f t="shared" ca="1" si="64"/>
        <v>14.664238407344079</v>
      </c>
      <c r="AJ109" s="24">
        <f t="shared" ca="1" si="64"/>
        <v>14.884187743168749</v>
      </c>
      <c r="AK109" s="24">
        <f t="shared" ca="1" si="64"/>
        <v>15.088246849292814</v>
      </c>
      <c r="AL109" s="24">
        <f t="shared" ca="1" si="64"/>
        <v>15.291622777506479</v>
      </c>
      <c r="AM109" s="24">
        <f t="shared" ca="1" si="64"/>
        <v>16.430609208260982</v>
      </c>
      <c r="AN109" s="24">
        <f t="shared" ca="1" si="64"/>
        <v>17.246050359071049</v>
      </c>
      <c r="AO109" s="24">
        <f t="shared" ca="1" si="64"/>
        <v>17.246050359071049</v>
      </c>
      <c r="AP109" s="24">
        <f t="shared" ca="1" si="64"/>
        <v>17.246050359071049</v>
      </c>
      <c r="AQ109" s="6"/>
      <c r="AR109" s="6"/>
      <c r="AS109" s="200"/>
      <c r="AT109" s="200"/>
      <c r="AU109" s="6"/>
      <c r="AV109" s="6"/>
      <c r="BB109" s="4">
        <f t="shared" si="53"/>
        <v>2</v>
      </c>
    </row>
    <row r="110" spans="1:54">
      <c r="A110" s="22" t="str">
        <f>'[5]TS BYDem'!A24</f>
        <v/>
      </c>
      <c r="B110" s="22" t="str">
        <f>'[5]TS BYDem'!B24</f>
        <v>COM_PROJ</v>
      </c>
      <c r="C110" s="22" t="str">
        <f>'[5]TS BYDem'!C24</f>
        <v>-</v>
      </c>
      <c r="D110" s="22" t="str">
        <f>'[5]TS BYDem'!D24</f>
        <v>RMEH</v>
      </c>
      <c r="E110" s="120" t="s">
        <v>137</v>
      </c>
      <c r="F110" s="120" t="s">
        <v>137</v>
      </c>
      <c r="G110" s="120" t="s">
        <v>137</v>
      </c>
      <c r="H110" s="120" t="s">
        <v>137</v>
      </c>
      <c r="I110" s="120">
        <v>0</v>
      </c>
      <c r="J110" s="6">
        <f>'[5]TS BYDem'!J24</f>
        <v>13.162628870539544</v>
      </c>
      <c r="K110" s="24">
        <f t="shared" si="49"/>
        <v>13.094413910887344</v>
      </c>
      <c r="L110" s="24">
        <f t="shared" si="46"/>
        <v>13.026198951235143</v>
      </c>
      <c r="M110" s="24">
        <f t="shared" si="46"/>
        <v>12.957983991582941</v>
      </c>
      <c r="N110" s="24">
        <f t="shared" si="46"/>
        <v>12.88976903193074</v>
      </c>
      <c r="O110" s="24">
        <f>'[5]TS BYDem'!O24</f>
        <v>12.821554072278539</v>
      </c>
      <c r="P110" s="24">
        <f t="shared" ref="P110:AP110" ca="1" si="65">OFFSET(P$33,$BB110,$J$93)/OFFSET(O$33,$BB110,$J$93)*O110</f>
        <v>13.29992782488844</v>
      </c>
      <c r="Q110" s="24">
        <f t="shared" ca="1" si="65"/>
        <v>13.779619667122622</v>
      </c>
      <c r="R110" s="24">
        <f t="shared" ca="1" si="65"/>
        <v>14.659188980305933</v>
      </c>
      <c r="S110" s="24">
        <f t="shared" ca="1" si="65"/>
        <v>14.280620853927292</v>
      </c>
      <c r="T110" s="24">
        <f t="shared" ca="1" si="65"/>
        <v>14.869208770731849</v>
      </c>
      <c r="U110" s="24">
        <f t="shared" ca="1" si="65"/>
        <v>15.407663683731334</v>
      </c>
      <c r="V110" s="24">
        <f t="shared" ca="1" si="65"/>
        <v>15.970409816783551</v>
      </c>
      <c r="W110" s="24">
        <f t="shared" ca="1" si="65"/>
        <v>16.574237492185933</v>
      </c>
      <c r="X110" s="24">
        <f t="shared" ca="1" si="65"/>
        <v>17.097157076810078</v>
      </c>
      <c r="Y110" s="24">
        <f t="shared" ca="1" si="65"/>
        <v>17.65969700522718</v>
      </c>
      <c r="Z110" s="24">
        <f t="shared" ca="1" si="65"/>
        <v>18.223019903735306</v>
      </c>
      <c r="AA110" s="24">
        <f t="shared" ca="1" si="65"/>
        <v>18.786818501673299</v>
      </c>
      <c r="AB110" s="24">
        <f t="shared" ca="1" si="65"/>
        <v>19.38982200713912</v>
      </c>
      <c r="AC110" s="24">
        <f t="shared" ca="1" si="65"/>
        <v>19.804652933543213</v>
      </c>
      <c r="AD110" s="24">
        <f t="shared" ca="1" si="65"/>
        <v>20.225050651806072</v>
      </c>
      <c r="AE110" s="24">
        <f t="shared" ca="1" si="65"/>
        <v>20.634845859249733</v>
      </c>
      <c r="AF110" s="24">
        <f t="shared" ca="1" si="65"/>
        <v>21.038959079345108</v>
      </c>
      <c r="AG110" s="24">
        <f t="shared" ca="1" si="65"/>
        <v>21.447622391851063</v>
      </c>
      <c r="AH110" s="24">
        <f t="shared" ca="1" si="65"/>
        <v>21.762160452492836</v>
      </c>
      <c r="AI110" s="24">
        <f t="shared" ca="1" si="65"/>
        <v>22.066441741180743</v>
      </c>
      <c r="AJ110" s="24">
        <f t="shared" ca="1" si="65"/>
        <v>22.397416938812267</v>
      </c>
      <c r="AK110" s="24">
        <f t="shared" ca="1" si="65"/>
        <v>22.704480848438081</v>
      </c>
      <c r="AL110" s="24">
        <f t="shared" ca="1" si="65"/>
        <v>23.010516726117064</v>
      </c>
      <c r="AM110" s="24">
        <f t="shared" ca="1" si="65"/>
        <v>24.724439878488376</v>
      </c>
      <c r="AN110" s="24">
        <f t="shared" ca="1" si="65"/>
        <v>25.95149880564685</v>
      </c>
      <c r="AO110" s="24">
        <f t="shared" ca="1" si="65"/>
        <v>25.95149880564685</v>
      </c>
      <c r="AP110" s="24">
        <f t="shared" ca="1" si="65"/>
        <v>25.95149880564685</v>
      </c>
      <c r="AQ110" s="6"/>
      <c r="AR110" s="6"/>
      <c r="AS110" s="200"/>
      <c r="AT110" s="200"/>
      <c r="AU110" s="6"/>
      <c r="AV110" s="6"/>
      <c r="BB110" s="4">
        <f t="shared" si="53"/>
        <v>2</v>
      </c>
    </row>
    <row r="111" spans="1:54">
      <c r="A111" s="22" t="str">
        <f>'[5]TS BYDem'!A25</f>
        <v/>
      </c>
      <c r="B111" s="22" t="str">
        <f>'[5]TS BYDem'!B25</f>
        <v>COM_PROJ</v>
      </c>
      <c r="C111" s="22" t="str">
        <f>'[5]TS BYDem'!C25</f>
        <v>-</v>
      </c>
      <c r="D111" s="22" t="str">
        <f>'[5]TS BYDem'!D25</f>
        <v>RMEWG</v>
      </c>
      <c r="E111" s="120" t="s">
        <v>137</v>
      </c>
      <c r="F111" s="120" t="s">
        <v>137</v>
      </c>
      <c r="G111" s="120" t="s">
        <v>137</v>
      </c>
      <c r="H111" s="120" t="s">
        <v>137</v>
      </c>
      <c r="I111" s="120">
        <v>0</v>
      </c>
      <c r="J111" s="6">
        <f>'[5]TS BYDem'!J25</f>
        <v>8.7188154069192709</v>
      </c>
      <c r="K111" s="24">
        <f t="shared" si="49"/>
        <v>9.2405614732838561</v>
      </c>
      <c r="L111" s="24">
        <f t="shared" si="46"/>
        <v>9.7623075396484413</v>
      </c>
      <c r="M111" s="24">
        <f t="shared" si="46"/>
        <v>10.284053606013025</v>
      </c>
      <c r="N111" s="24">
        <f t="shared" si="46"/>
        <v>10.80579967237761</v>
      </c>
      <c r="O111" s="24">
        <f>'[5]TS BYDem'!O25</f>
        <v>11.327545738742195</v>
      </c>
      <c r="P111" s="24">
        <f t="shared" ref="P111:AP111" ca="1" si="66">OFFSET(P$33,$BB111,$J$93)/OFFSET(O$33,$BB111,$J$93)*O111</f>
        <v>11.750177857466273</v>
      </c>
      <c r="Q111" s="24">
        <f t="shared" ca="1" si="66"/>
        <v>12.173974477811809</v>
      </c>
      <c r="R111" s="24">
        <f t="shared" ca="1" si="66"/>
        <v>12.951053572070732</v>
      </c>
      <c r="S111" s="24">
        <f t="shared" ca="1" si="66"/>
        <v>12.616597410000988</v>
      </c>
      <c r="T111" s="24">
        <f t="shared" ca="1" si="66"/>
        <v>13.136601187334803</v>
      </c>
      <c r="U111" s="24">
        <f t="shared" ca="1" si="66"/>
        <v>13.612313618204595</v>
      </c>
      <c r="V111" s="24">
        <f t="shared" ca="1" si="66"/>
        <v>14.109486778767998</v>
      </c>
      <c r="W111" s="24">
        <f t="shared" ca="1" si="66"/>
        <v>14.642954529469714</v>
      </c>
      <c r="X111" s="24">
        <f t="shared" ca="1" si="66"/>
        <v>15.104941857926335</v>
      </c>
      <c r="Y111" s="24">
        <f t="shared" ca="1" si="66"/>
        <v>15.60193284147573</v>
      </c>
      <c r="Z111" s="24">
        <f t="shared" ca="1" si="66"/>
        <v>16.099615560946383</v>
      </c>
      <c r="AA111" s="24">
        <f t="shared" ca="1" si="66"/>
        <v>16.597718549833626</v>
      </c>
      <c r="AB111" s="24">
        <f t="shared" ca="1" si="66"/>
        <v>17.130458165505825</v>
      </c>
      <c r="AC111" s="24">
        <f t="shared" ca="1" si="66"/>
        <v>17.496951670598698</v>
      </c>
      <c r="AD111" s="24">
        <f t="shared" ca="1" si="66"/>
        <v>17.868363307225607</v>
      </c>
      <c r="AE111" s="24">
        <f t="shared" ca="1" si="66"/>
        <v>18.230407871376517</v>
      </c>
      <c r="AF111" s="24">
        <f t="shared" ca="1" si="66"/>
        <v>18.587432531449355</v>
      </c>
      <c r="AG111" s="24">
        <f t="shared" ca="1" si="66"/>
        <v>18.948477092667233</v>
      </c>
      <c r="AH111" s="24">
        <f t="shared" ca="1" si="66"/>
        <v>19.226364176277354</v>
      </c>
      <c r="AI111" s="24">
        <f t="shared" ca="1" si="66"/>
        <v>19.495189639682597</v>
      </c>
      <c r="AJ111" s="24">
        <f t="shared" ca="1" si="66"/>
        <v>19.787598552707134</v>
      </c>
      <c r="AK111" s="24">
        <f t="shared" ca="1" si="66"/>
        <v>20.058882397192399</v>
      </c>
      <c r="AL111" s="24">
        <f t="shared" ca="1" si="66"/>
        <v>20.32925799928887</v>
      </c>
      <c r="AM111" s="24">
        <f t="shared" ca="1" si="66"/>
        <v>21.843469364910405</v>
      </c>
      <c r="AN111" s="24">
        <f t="shared" ca="1" si="66"/>
        <v>22.927547476125625</v>
      </c>
      <c r="AO111" s="24">
        <f t="shared" ca="1" si="66"/>
        <v>22.927547476125625</v>
      </c>
      <c r="AP111" s="24">
        <f t="shared" ca="1" si="66"/>
        <v>22.927547476125625</v>
      </c>
      <c r="AQ111" s="6"/>
      <c r="AR111" s="6"/>
      <c r="AS111" s="200"/>
      <c r="AT111" s="200"/>
      <c r="AU111" s="6"/>
      <c r="AV111" s="6"/>
      <c r="BB111" s="4">
        <f t="shared" si="53"/>
        <v>2</v>
      </c>
    </row>
    <row r="112" spans="1:54">
      <c r="A112" s="22" t="str">
        <f>'[5]TS BYDem'!A26</f>
        <v/>
      </c>
      <c r="B112" s="22" t="str">
        <f>'[5]TS BYDem'!B26</f>
        <v>COM_PROJ</v>
      </c>
      <c r="C112" s="22" t="str">
        <f>'[5]TS BYDem'!C26</f>
        <v>-</v>
      </c>
      <c r="D112" s="22" t="str">
        <f>'[5]TS BYDem'!D26</f>
        <v>RMEW</v>
      </c>
      <c r="E112" s="120" t="s">
        <v>137</v>
      </c>
      <c r="F112" s="120" t="s">
        <v>137</v>
      </c>
      <c r="G112" s="120" t="s">
        <v>137</v>
      </c>
      <c r="H112" s="120" t="s">
        <v>137</v>
      </c>
      <c r="I112" s="120">
        <v>0</v>
      </c>
      <c r="J112" s="6">
        <f>'[5]TS BYDem'!J26</f>
        <v>6.0852758810873713</v>
      </c>
      <c r="K112" s="24">
        <f t="shared" si="49"/>
        <v>5.8917973817997336</v>
      </c>
      <c r="L112" s="24">
        <f t="shared" si="49"/>
        <v>5.6983188825120958</v>
      </c>
      <c r="M112" s="24">
        <f t="shared" si="49"/>
        <v>5.5048403832244572</v>
      </c>
      <c r="N112" s="24">
        <f t="shared" si="49"/>
        <v>5.3113618839368195</v>
      </c>
      <c r="O112" s="24">
        <f>'[5]TS BYDem'!O26</f>
        <v>5.1178833846491818</v>
      </c>
      <c r="P112" s="24">
        <f t="shared" ref="P112:AP112" ca="1" si="67">OFFSET(P$33,$BB112,$J$93)/OFFSET(O$33,$BB112,$J$93)*O112</f>
        <v>5.3088322404846746</v>
      </c>
      <c r="Q112" s="24">
        <f t="shared" ca="1" si="67"/>
        <v>5.5003072282500067</v>
      </c>
      <c r="R112" s="24">
        <f t="shared" ca="1" si="67"/>
        <v>5.8513983010023267</v>
      </c>
      <c r="S112" s="24">
        <f t="shared" ca="1" si="67"/>
        <v>5.7002881069471449</v>
      </c>
      <c r="T112" s="24">
        <f t="shared" ca="1" si="67"/>
        <v>5.9352303224413063</v>
      </c>
      <c r="U112" s="24">
        <f t="shared" ca="1" si="67"/>
        <v>6.1501613235576986</v>
      </c>
      <c r="V112" s="24">
        <f t="shared" ca="1" si="67"/>
        <v>6.3747884684332572</v>
      </c>
      <c r="W112" s="24">
        <f t="shared" ca="1" si="67"/>
        <v>6.6158138238396482</v>
      </c>
      <c r="X112" s="24">
        <f t="shared" ca="1" si="67"/>
        <v>6.8245437046769375</v>
      </c>
      <c r="Y112" s="24">
        <f t="shared" ca="1" si="67"/>
        <v>7.0490885403979311</v>
      </c>
      <c r="Z112" s="24">
        <f t="shared" ca="1" si="67"/>
        <v>7.2739459084061142</v>
      </c>
      <c r="AA112" s="24">
        <f t="shared" ca="1" si="67"/>
        <v>7.4989931577808218</v>
      </c>
      <c r="AB112" s="24">
        <f t="shared" ca="1" si="67"/>
        <v>7.7396895354672983</v>
      </c>
      <c r="AC112" s="24">
        <f t="shared" ca="1" si="67"/>
        <v>7.9052744788925571</v>
      </c>
      <c r="AD112" s="24">
        <f t="shared" ca="1" si="67"/>
        <v>8.0730814767894632</v>
      </c>
      <c r="AE112" s="24">
        <f t="shared" ca="1" si="67"/>
        <v>8.2366563501208727</v>
      </c>
      <c r="AF112" s="24">
        <f t="shared" ca="1" si="67"/>
        <v>8.3979631872627802</v>
      </c>
      <c r="AG112" s="24">
        <f t="shared" ca="1" si="67"/>
        <v>8.561086250598132</v>
      </c>
      <c r="AH112" s="24">
        <f t="shared" ca="1" si="67"/>
        <v>8.6866380445010858</v>
      </c>
      <c r="AI112" s="24">
        <f t="shared" ca="1" si="67"/>
        <v>8.8080957198231786</v>
      </c>
      <c r="AJ112" s="24">
        <f t="shared" ca="1" si="67"/>
        <v>8.9402086021727296</v>
      </c>
      <c r="AK112" s="24">
        <f t="shared" ca="1" si="67"/>
        <v>9.0627769953831248</v>
      </c>
      <c r="AL112" s="24">
        <f t="shared" ca="1" si="67"/>
        <v>9.1849350368069942</v>
      </c>
      <c r="AM112" s="24">
        <f t="shared" ca="1" si="67"/>
        <v>9.8690688613526376</v>
      </c>
      <c r="AN112" s="24">
        <f t="shared" ca="1" si="67"/>
        <v>10.358864751920043</v>
      </c>
      <c r="AO112" s="24">
        <f t="shared" ca="1" si="67"/>
        <v>10.358864751920043</v>
      </c>
      <c r="AP112" s="24">
        <f t="shared" ca="1" si="67"/>
        <v>10.358864751920043</v>
      </c>
      <c r="AQ112" s="6"/>
      <c r="AR112" s="6"/>
      <c r="AS112" s="200"/>
      <c r="AT112" s="200"/>
      <c r="AU112" s="6"/>
      <c r="AV112" s="6"/>
      <c r="BB112" s="4">
        <f t="shared" si="53"/>
        <v>2</v>
      </c>
    </row>
    <row r="113" spans="1:54">
      <c r="A113" s="22" t="str">
        <f>'[5]TS BYDem'!A27</f>
        <v/>
      </c>
      <c r="B113" s="22" t="str">
        <f>'[5]TS BYDem'!B27</f>
        <v>COM_PROJ</v>
      </c>
      <c r="C113" s="22" t="str">
        <f>'[5]TS BYDem'!C27</f>
        <v>-</v>
      </c>
      <c r="D113" s="22" t="str">
        <f>'[5]TS BYDem'!D27</f>
        <v>RMER</v>
      </c>
      <c r="E113" s="120" t="s">
        <v>137</v>
      </c>
      <c r="F113" s="120" t="s">
        <v>137</v>
      </c>
      <c r="G113" s="120" t="s">
        <v>137</v>
      </c>
      <c r="H113" s="120" t="s">
        <v>137</v>
      </c>
      <c r="I113" s="120">
        <v>0</v>
      </c>
      <c r="J113" s="6">
        <f>'[5]TS BYDem'!J27</f>
        <v>3.2557540936677181</v>
      </c>
      <c r="K113" s="24">
        <f t="shared" si="49"/>
        <v>3.5369252230832862</v>
      </c>
      <c r="L113" s="24">
        <f t="shared" si="49"/>
        <v>3.8180963524988547</v>
      </c>
      <c r="M113" s="24">
        <f t="shared" si="49"/>
        <v>4.0992674819144233</v>
      </c>
      <c r="N113" s="24">
        <f t="shared" si="49"/>
        <v>4.3804386113299909</v>
      </c>
      <c r="O113" s="24">
        <f>'[5]TS BYDem'!O27</f>
        <v>4.6616097407455594</v>
      </c>
      <c r="P113" s="24">
        <f t="shared" ref="P113:AP113" ca="1" si="68">OFFSET(P$33,$BB113,$J$93)/OFFSET(O$33,$BB113,$J$93)*O113</f>
        <v>4.8355349710501123</v>
      </c>
      <c r="Q113" s="24">
        <f t="shared" ca="1" si="68"/>
        <v>5.0099394271487521</v>
      </c>
      <c r="R113" s="24">
        <f t="shared" ca="1" si="68"/>
        <v>5.3297297470181082</v>
      </c>
      <c r="S113" s="24">
        <f t="shared" ca="1" si="68"/>
        <v>5.1920914501693671</v>
      </c>
      <c r="T113" s="24">
        <f t="shared" ca="1" si="68"/>
        <v>5.4060879088508891</v>
      </c>
      <c r="U113" s="24">
        <f t="shared" ca="1" si="68"/>
        <v>5.6018572089872674</v>
      </c>
      <c r="V113" s="24">
        <f t="shared" ca="1" si="68"/>
        <v>5.8064582144983659</v>
      </c>
      <c r="W113" s="24">
        <f t="shared" ca="1" si="68"/>
        <v>6.0259954841241585</v>
      </c>
      <c r="X113" s="24">
        <f t="shared" ca="1" si="68"/>
        <v>6.2161165112296768</v>
      </c>
      <c r="Y113" s="24">
        <f t="shared" ca="1" si="68"/>
        <v>6.4206425456779677</v>
      </c>
      <c r="Z113" s="24">
        <f t="shared" ca="1" si="68"/>
        <v>6.6254532492843392</v>
      </c>
      <c r="AA113" s="24">
        <f t="shared" ca="1" si="68"/>
        <v>6.830436905801367</v>
      </c>
      <c r="AB113" s="24">
        <f t="shared" ca="1" si="68"/>
        <v>7.0496745269927619</v>
      </c>
      <c r="AC113" s="24">
        <f t="shared" ca="1" si="68"/>
        <v>7.200497108747407</v>
      </c>
      <c r="AD113" s="24">
        <f t="shared" ca="1" si="68"/>
        <v>7.353343642591418</v>
      </c>
      <c r="AE113" s="24">
        <f t="shared" ca="1" si="68"/>
        <v>7.502335357633239</v>
      </c>
      <c r="AF113" s="24">
        <f t="shared" ca="1" si="68"/>
        <v>7.649261238266825</v>
      </c>
      <c r="AG113" s="24">
        <f t="shared" ca="1" si="68"/>
        <v>7.7978414234396949</v>
      </c>
      <c r="AH113" s="24">
        <f t="shared" ca="1" si="68"/>
        <v>7.9121999231236835</v>
      </c>
      <c r="AI113" s="24">
        <f t="shared" ca="1" si="68"/>
        <v>8.0228293063698963</v>
      </c>
      <c r="AJ113" s="24">
        <f t="shared" ca="1" si="68"/>
        <v>8.1431639550814872</v>
      </c>
      <c r="AK113" s="24">
        <f t="shared" ca="1" si="68"/>
        <v>8.254805032604061</v>
      </c>
      <c r="AL113" s="24">
        <f t="shared" ca="1" si="68"/>
        <v>8.3660723423516714</v>
      </c>
      <c r="AM113" s="24">
        <f t="shared" ca="1" si="68"/>
        <v>8.9892137195157584</v>
      </c>
      <c r="AN113" s="24">
        <f t="shared" ca="1" si="68"/>
        <v>9.435342934045071</v>
      </c>
      <c r="AO113" s="24">
        <f t="shared" ca="1" si="68"/>
        <v>9.435342934045071</v>
      </c>
      <c r="AP113" s="24">
        <f t="shared" ca="1" si="68"/>
        <v>9.435342934045071</v>
      </c>
      <c r="AQ113" s="6"/>
      <c r="AR113" s="6"/>
      <c r="AS113" s="200"/>
      <c r="AT113" s="200"/>
      <c r="AU113" s="6"/>
      <c r="AV113" s="6"/>
      <c r="BB113" s="4">
        <f t="shared" si="53"/>
        <v>2</v>
      </c>
    </row>
    <row r="114" spans="1:54">
      <c r="A114" s="22" t="str">
        <f>'[5]TS BYDem'!A28</f>
        <v/>
      </c>
      <c r="B114" s="22" t="str">
        <f>'[5]TS BYDem'!B28</f>
        <v>COM_PROJ</v>
      </c>
      <c r="C114" s="22" t="str">
        <f>'[5]TS BYDem'!C28</f>
        <v>-</v>
      </c>
      <c r="D114" s="22" t="str">
        <f>'[5]TS BYDem'!D28</f>
        <v>RMEO</v>
      </c>
      <c r="E114" s="120" t="s">
        <v>137</v>
      </c>
      <c r="F114" s="120" t="s">
        <v>137</v>
      </c>
      <c r="G114" s="120" t="s">
        <v>137</v>
      </c>
      <c r="H114" s="120" t="s">
        <v>137</v>
      </c>
      <c r="I114" s="120">
        <v>0</v>
      </c>
      <c r="J114" s="6">
        <f>'[5]TS BYDem'!J28</f>
        <v>5.8181446629629967</v>
      </c>
      <c r="K114" s="24">
        <f t="shared" si="49"/>
        <v>6.4084282360981142</v>
      </c>
      <c r="L114" s="24">
        <f t="shared" si="49"/>
        <v>6.9987118092332326</v>
      </c>
      <c r="M114" s="24">
        <f t="shared" si="49"/>
        <v>7.58899538236835</v>
      </c>
      <c r="N114" s="24">
        <f t="shared" si="49"/>
        <v>8.1792789555034684</v>
      </c>
      <c r="O114" s="24">
        <f>'[5]TS BYDem'!O28</f>
        <v>8.7695625286385859</v>
      </c>
      <c r="P114" s="24">
        <f t="shared" ref="P114:AP114" ca="1" si="69">OFFSET(P$33,$BB114,$J$93)/OFFSET(O$33,$BB114,$J$93)*O114</f>
        <v>9.0967559805339615</v>
      </c>
      <c r="Q114" s="24">
        <f t="shared" ca="1" si="69"/>
        <v>9.4248509666203795</v>
      </c>
      <c r="R114" s="24">
        <f t="shared" ca="1" si="69"/>
        <v>10.02645027718367</v>
      </c>
      <c r="S114" s="24">
        <f t="shared" ca="1" si="69"/>
        <v>9.767520912076133</v>
      </c>
      <c r="T114" s="24">
        <f t="shared" ca="1" si="69"/>
        <v>10.170097581871465</v>
      </c>
      <c r="U114" s="24">
        <f t="shared" ca="1" si="69"/>
        <v>10.5383847646718</v>
      </c>
      <c r="V114" s="24">
        <f t="shared" ca="1" si="69"/>
        <v>10.923286421189477</v>
      </c>
      <c r="W114" s="24">
        <f t="shared" ca="1" si="69"/>
        <v>11.336286633653007</v>
      </c>
      <c r="X114" s="24">
        <f t="shared" ca="1" si="69"/>
        <v>11.693948112827833</v>
      </c>
      <c r="Y114" s="24">
        <f t="shared" ca="1" si="69"/>
        <v>12.078708731493847</v>
      </c>
      <c r="Z114" s="24">
        <f t="shared" ca="1" si="69"/>
        <v>12.464004878468879</v>
      </c>
      <c r="AA114" s="24">
        <f t="shared" ca="1" si="69"/>
        <v>12.849626389738406</v>
      </c>
      <c r="AB114" s="24">
        <f t="shared" ca="1" si="69"/>
        <v>13.262062894421105</v>
      </c>
      <c r="AC114" s="24">
        <f t="shared" ca="1" si="69"/>
        <v>13.545794938711994</v>
      </c>
      <c r="AD114" s="24">
        <f t="shared" ca="1" si="69"/>
        <v>13.833334503449636</v>
      </c>
      <c r="AE114" s="24">
        <f t="shared" ca="1" si="69"/>
        <v>14.11362226539759</v>
      </c>
      <c r="AF114" s="24">
        <f t="shared" ca="1" si="69"/>
        <v>14.390023716602178</v>
      </c>
      <c r="AG114" s="24">
        <f t="shared" ca="1" si="69"/>
        <v>14.669537295999708</v>
      </c>
      <c r="AH114" s="24">
        <f t="shared" ca="1" si="69"/>
        <v>14.884671996121481</v>
      </c>
      <c r="AI114" s="24">
        <f t="shared" ca="1" si="69"/>
        <v>15.092791368578265</v>
      </c>
      <c r="AJ114" s="24">
        <f t="shared" ca="1" si="69"/>
        <v>15.319168582658238</v>
      </c>
      <c r="AK114" s="24">
        <f t="shared" ca="1" si="69"/>
        <v>15.529191185267226</v>
      </c>
      <c r="AL114" s="24">
        <f t="shared" ca="1" si="69"/>
        <v>15.738510644529599</v>
      </c>
      <c r="AM114" s="24">
        <f t="shared" ca="1" si="69"/>
        <v>16.910783223132118</v>
      </c>
      <c r="AN114" s="24">
        <f t="shared" ca="1" si="69"/>
        <v>17.750055118518517</v>
      </c>
      <c r="AO114" s="24">
        <f t="shared" ca="1" si="69"/>
        <v>17.750055118518517</v>
      </c>
      <c r="AP114" s="24">
        <f t="shared" ca="1" si="69"/>
        <v>17.750055118518517</v>
      </c>
      <c r="AQ114" s="6"/>
      <c r="AR114" s="6"/>
      <c r="AS114" s="200"/>
      <c r="AT114" s="200"/>
      <c r="AU114" s="6"/>
      <c r="AV114" s="6"/>
      <c r="BB114" s="4">
        <f t="shared" si="53"/>
        <v>2</v>
      </c>
    </row>
    <row r="115" spans="1:54">
      <c r="A115" s="22" t="str">
        <f>'[5]TS BYDem'!A29</f>
        <v>*</v>
      </c>
      <c r="B115" s="22" t="str">
        <f>'[5]TS BYDem'!B29</f>
        <v>COM_PROJ</v>
      </c>
      <c r="C115" s="22" t="str">
        <f>'[5]TS BYDem'!C29</f>
        <v>-</v>
      </c>
      <c r="D115" s="22">
        <f>'[5]TS BYDem'!D29</f>
        <v>0</v>
      </c>
      <c r="E115" s="120" t="s">
        <v>137</v>
      </c>
      <c r="F115" s="120" t="s">
        <v>137</v>
      </c>
      <c r="G115" s="120" t="s">
        <v>137</v>
      </c>
      <c r="H115" s="120" t="s">
        <v>137</v>
      </c>
      <c r="I115" s="120">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20" t="s">
        <v>137</v>
      </c>
      <c r="F116" s="120" t="s">
        <v>137</v>
      </c>
      <c r="G116" s="120" t="s">
        <v>137</v>
      </c>
      <c r="H116" s="120" t="s">
        <v>137</v>
      </c>
      <c r="I116" s="120">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20" t="s">
        <v>137</v>
      </c>
      <c r="F117" s="120" t="s">
        <v>137</v>
      </c>
      <c r="G117" s="120" t="s">
        <v>137</v>
      </c>
      <c r="H117" s="120" t="s">
        <v>137</v>
      </c>
      <c r="I117" s="120">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20" t="s">
        <v>137</v>
      </c>
      <c r="F118" s="120" t="s">
        <v>137</v>
      </c>
      <c r="G118" s="120" t="s">
        <v>137</v>
      </c>
      <c r="H118" s="120" t="s">
        <v>137</v>
      </c>
      <c r="I118" s="120">
        <v>0</v>
      </c>
      <c r="J118" s="6">
        <f>'[5]TS BYDem'!J32</f>
        <v>29.15490908598996</v>
      </c>
      <c r="K118" s="24">
        <f t="shared" si="49"/>
        <v>29.919036883195538</v>
      </c>
      <c r="L118" s="24">
        <f t="shared" si="49"/>
        <v>30.683164680401113</v>
      </c>
      <c r="M118" s="24">
        <f t="shared" si="49"/>
        <v>31.447292477606691</v>
      </c>
      <c r="N118" s="24">
        <f t="shared" si="49"/>
        <v>32.211420274812269</v>
      </c>
      <c r="O118" s="24">
        <f>'[5]TS BYDem'!O32</f>
        <v>32.975548072017844</v>
      </c>
      <c r="P118" s="24">
        <f t="shared" ref="P118:AP118" ca="1" si="73">IF($E$78=1, P89, P83)</f>
        <v>34.799650512357417</v>
      </c>
      <c r="Q118" s="24">
        <f t="shared" ca="1" si="73"/>
        <v>35.282443373845915</v>
      </c>
      <c r="R118" s="24">
        <f t="shared" ca="1" si="73"/>
        <v>31.997968023045065</v>
      </c>
      <c r="S118" s="24">
        <f t="shared" ca="1" si="73"/>
        <v>33.515237534752728</v>
      </c>
      <c r="T118" s="24">
        <f t="shared" ca="1" si="73"/>
        <v>35.003149922900654</v>
      </c>
      <c r="U118" s="24">
        <f t="shared" ca="1" si="73"/>
        <v>36.608965783327676</v>
      </c>
      <c r="V118" s="24">
        <f t="shared" ca="1" si="73"/>
        <v>38.439139379730648</v>
      </c>
      <c r="W118" s="24">
        <f t="shared" ca="1" si="73"/>
        <v>40.300390007548238</v>
      </c>
      <c r="X118" s="24">
        <f t="shared" ca="1" si="73"/>
        <v>42.296158994882731</v>
      </c>
      <c r="Y118" s="24">
        <f t="shared" ca="1" si="73"/>
        <v>44.306723557000041</v>
      </c>
      <c r="Z118" s="24">
        <f t="shared" ca="1" si="73"/>
        <v>46.363982586670332</v>
      </c>
      <c r="AA118" s="24">
        <f t="shared" ca="1" si="73"/>
        <v>48.589967164073251</v>
      </c>
      <c r="AB118" s="24">
        <f t="shared" ca="1" si="73"/>
        <v>50.729639479459024</v>
      </c>
      <c r="AC118" s="24">
        <f t="shared" ca="1" si="73"/>
        <v>52.859386386360264</v>
      </c>
      <c r="AD118" s="24">
        <f t="shared" ca="1" si="73"/>
        <v>54.937138677110724</v>
      </c>
      <c r="AE118" s="24">
        <f t="shared" ca="1" si="73"/>
        <v>56.992937286004171</v>
      </c>
      <c r="AF118" s="24">
        <f t="shared" ca="1" si="73"/>
        <v>59.022422432970835</v>
      </c>
      <c r="AG118" s="24">
        <f t="shared" ca="1" si="73"/>
        <v>60.918938426815494</v>
      </c>
      <c r="AH118" s="24">
        <f t="shared" ca="1" si="73"/>
        <v>62.834826212600269</v>
      </c>
      <c r="AI118" s="24">
        <f t="shared" ca="1" si="73"/>
        <v>64.925813043007466</v>
      </c>
      <c r="AJ118" s="24">
        <f t="shared" ca="1" si="73"/>
        <v>66.896117897830081</v>
      </c>
      <c r="AK118" s="24">
        <f t="shared" ca="1" si="73"/>
        <v>68.861989796632685</v>
      </c>
      <c r="AL118" s="24">
        <f t="shared" ca="1" si="73"/>
        <v>70.800082807436837</v>
      </c>
      <c r="AM118" s="24">
        <f t="shared" ca="1" si="73"/>
        <v>80.257458304886882</v>
      </c>
      <c r="AN118" s="24">
        <f t="shared" ca="1" si="73"/>
        <v>89.092590853546142</v>
      </c>
      <c r="AO118" s="24">
        <f t="shared" ca="1" si="73"/>
        <v>89.092590853546142</v>
      </c>
      <c r="AP118" s="24">
        <f t="shared" ca="1" si="73"/>
        <v>89.092590853546142</v>
      </c>
      <c r="AQ118" s="6"/>
      <c r="AR118" s="200"/>
      <c r="AS118" s="200"/>
      <c r="AT118" s="199"/>
      <c r="AU118" s="6"/>
      <c r="AV118" s="6"/>
      <c r="BB118" s="4">
        <f t="shared" si="53"/>
        <v>3</v>
      </c>
    </row>
    <row r="119" spans="1:54">
      <c r="A119" s="22" t="str">
        <f>'[5]TS BYDem'!A33</f>
        <v/>
      </c>
      <c r="B119" s="22" t="str">
        <f>'[5]TS BYDem'!B33</f>
        <v>COM_PROJ</v>
      </c>
      <c r="C119" s="22" t="str">
        <f>'[5]TS BYDem'!C33</f>
        <v>-</v>
      </c>
      <c r="D119" s="22" t="str">
        <f>'[5]TS BYDem'!D33</f>
        <v>RHEK</v>
      </c>
      <c r="E119" s="120" t="s">
        <v>137</v>
      </c>
      <c r="F119" s="120" t="s">
        <v>137</v>
      </c>
      <c r="G119" s="120" t="s">
        <v>137</v>
      </c>
      <c r="H119" s="120" t="s">
        <v>137</v>
      </c>
      <c r="I119" s="120">
        <v>0</v>
      </c>
      <c r="J119" s="6">
        <f>'[5]TS BYDem'!J33</f>
        <v>3.8919130042693295</v>
      </c>
      <c r="K119" s="24">
        <f t="shared" si="49"/>
        <v>4.2233553788747606</v>
      </c>
      <c r="L119" s="24">
        <f t="shared" si="49"/>
        <v>4.5547977534801918</v>
      </c>
      <c r="M119" s="24">
        <f t="shared" si="49"/>
        <v>4.886240128085622</v>
      </c>
      <c r="N119" s="24">
        <f t="shared" si="49"/>
        <v>5.2176825026910532</v>
      </c>
      <c r="O119" s="24">
        <f>'[5]TS BYDem'!O33</f>
        <v>5.5491248772964843</v>
      </c>
      <c r="P119" s="24">
        <f t="shared" ref="P119:AP119" ca="1" si="74">OFFSET(P$33,$BB119,$J$93)/OFFSET(O$33,$BB119,$J$93)*O119</f>
        <v>5.7254497011098566</v>
      </c>
      <c r="Q119" s="24">
        <f t="shared" ca="1" si="74"/>
        <v>5.804881712748184</v>
      </c>
      <c r="R119" s="24">
        <f t="shared" ca="1" si="74"/>
        <v>5.2644998945782655</v>
      </c>
      <c r="S119" s="24">
        <f t="shared" ca="1" si="74"/>
        <v>5.5141302829416476</v>
      </c>
      <c r="T119" s="24">
        <f t="shared" ca="1" si="74"/>
        <v>5.7589306591688203</v>
      </c>
      <c r="U119" s="24">
        <f t="shared" ca="1" si="74"/>
        <v>6.0231292302106345</v>
      </c>
      <c r="V119" s="24">
        <f t="shared" ca="1" si="74"/>
        <v>6.3242404976006217</v>
      </c>
      <c r="W119" s="24">
        <f t="shared" ca="1" si="74"/>
        <v>6.6304647468052114</v>
      </c>
      <c r="X119" s="24">
        <f t="shared" ca="1" si="74"/>
        <v>6.9588207729084317</v>
      </c>
      <c r="Y119" s="24">
        <f t="shared" ca="1" si="74"/>
        <v>7.2896110567691537</v>
      </c>
      <c r="Z119" s="24">
        <f t="shared" ca="1" si="74"/>
        <v>7.6280837978200635</v>
      </c>
      <c r="AA119" s="24">
        <f t="shared" ca="1" si="74"/>
        <v>7.9943162899780233</v>
      </c>
      <c r="AB119" s="24">
        <f t="shared" ca="1" si="74"/>
        <v>8.346348164960455</v>
      </c>
      <c r="AC119" s="24">
        <f t="shared" ca="1" si="74"/>
        <v>8.6967470515017808</v>
      </c>
      <c r="AD119" s="24">
        <f t="shared" ca="1" si="74"/>
        <v>9.0385914682390478</v>
      </c>
      <c r="AE119" s="24">
        <f t="shared" ca="1" si="74"/>
        <v>9.3768239320004696</v>
      </c>
      <c r="AF119" s="24">
        <f t="shared" ca="1" si="74"/>
        <v>9.7107271453094928</v>
      </c>
      <c r="AG119" s="24">
        <f t="shared" ca="1" si="74"/>
        <v>10.022753466558097</v>
      </c>
      <c r="AH119" s="24">
        <f t="shared" ca="1" si="74"/>
        <v>10.337966952583947</v>
      </c>
      <c r="AI119" s="24">
        <f t="shared" ca="1" si="74"/>
        <v>10.681988796105863</v>
      </c>
      <c r="AJ119" s="24">
        <f t="shared" ca="1" si="74"/>
        <v>11.006155308586601</v>
      </c>
      <c r="AK119" s="24">
        <f t="shared" ca="1" si="74"/>
        <v>11.329592484239349</v>
      </c>
      <c r="AL119" s="24">
        <f t="shared" ca="1" si="74"/>
        <v>11.648459308648732</v>
      </c>
      <c r="AM119" s="24">
        <f t="shared" ca="1" si="74"/>
        <v>13.204444122229866</v>
      </c>
      <c r="AN119" s="24">
        <f t="shared" ca="1" si="74"/>
        <v>14.658053749488172</v>
      </c>
      <c r="AO119" s="24">
        <f t="shared" ca="1" si="74"/>
        <v>14.658053749488172</v>
      </c>
      <c r="AP119" s="24">
        <f t="shared" ca="1" si="74"/>
        <v>14.658053749488172</v>
      </c>
      <c r="AQ119" s="6"/>
      <c r="AR119" s="200"/>
      <c r="AS119" s="200"/>
      <c r="AT119" s="199"/>
      <c r="AU119" s="6"/>
      <c r="AV119" s="6"/>
      <c r="BB119" s="4">
        <f t="shared" si="53"/>
        <v>3</v>
      </c>
    </row>
    <row r="120" spans="1:54">
      <c r="A120" s="22" t="str">
        <f>'[5]TS BYDem'!A34</f>
        <v/>
      </c>
      <c r="B120" s="22" t="str">
        <f>'[5]TS BYDem'!B34</f>
        <v>COM_PROJ</v>
      </c>
      <c r="C120" s="22" t="str">
        <f>'[5]TS BYDem'!C34</f>
        <v>-</v>
      </c>
      <c r="D120" s="22" t="str">
        <f>'[5]TS BYDem'!D34</f>
        <v>RHEH</v>
      </c>
      <c r="E120" s="120" t="s">
        <v>137</v>
      </c>
      <c r="F120" s="120" t="s">
        <v>137</v>
      </c>
      <c r="G120" s="120" t="s">
        <v>137</v>
      </c>
      <c r="H120" s="120" t="s">
        <v>137</v>
      </c>
      <c r="I120" s="120">
        <v>0</v>
      </c>
      <c r="J120" s="6">
        <f>'[5]TS BYDem'!J34</f>
        <v>7.0842557645058601</v>
      </c>
      <c r="K120" s="24">
        <f t="shared" si="49"/>
        <v>7.2302855472935121</v>
      </c>
      <c r="L120" s="24">
        <f t="shared" si="49"/>
        <v>7.3763153300811641</v>
      </c>
      <c r="M120" s="24">
        <f t="shared" si="49"/>
        <v>7.5223451128688161</v>
      </c>
      <c r="N120" s="24">
        <f t="shared" si="49"/>
        <v>7.6683748956564681</v>
      </c>
      <c r="O120" s="24">
        <f>'[5]TS BYDem'!O34</f>
        <v>7.8144046784441201</v>
      </c>
      <c r="P120" s="24">
        <f t="shared" ref="P120:AP120" ca="1" si="75">OFFSET(P$33,$BB120,$J$93)/OFFSET(O$33,$BB120,$J$93)*O120</f>
        <v>8.0627093316283442</v>
      </c>
      <c r="Q120" s="24">
        <f t="shared" ca="1" si="75"/>
        <v>8.1745673087130459</v>
      </c>
      <c r="R120" s="24">
        <f t="shared" ca="1" si="75"/>
        <v>7.4135892623673918</v>
      </c>
      <c r="S120" s="24">
        <f t="shared" ca="1" si="75"/>
        <v>7.7651244896047027</v>
      </c>
      <c r="T120" s="24">
        <f t="shared" ca="1" si="75"/>
        <v>8.1098579831869362</v>
      </c>
      <c r="U120" s="24">
        <f t="shared" ca="1" si="75"/>
        <v>8.4819084587554823</v>
      </c>
      <c r="V120" s="24">
        <f t="shared" ca="1" si="75"/>
        <v>8.9059402382981574</v>
      </c>
      <c r="W120" s="24">
        <f t="shared" ca="1" si="75"/>
        <v>9.3371722358745437</v>
      </c>
      <c r="X120" s="24">
        <f t="shared" ca="1" si="75"/>
        <v>9.7995707083029426</v>
      </c>
      <c r="Y120" s="24">
        <f t="shared" ca="1" si="75"/>
        <v>10.265397158228584</v>
      </c>
      <c r="Z120" s="24">
        <f t="shared" ca="1" si="75"/>
        <v>10.742042220230262</v>
      </c>
      <c r="AA120" s="24">
        <f t="shared" ca="1" si="75"/>
        <v>11.257779199195442</v>
      </c>
      <c r="AB120" s="24">
        <f t="shared" ca="1" si="75"/>
        <v>11.753518543984599</v>
      </c>
      <c r="AC120" s="24">
        <f t="shared" ca="1" si="75"/>
        <v>12.246958277069895</v>
      </c>
      <c r="AD120" s="24">
        <f t="shared" ca="1" si="75"/>
        <v>12.728351409954868</v>
      </c>
      <c r="AE120" s="24">
        <f t="shared" ca="1" si="75"/>
        <v>13.204658107977249</v>
      </c>
      <c r="AF120" s="24">
        <f t="shared" ca="1" si="75"/>
        <v>13.67486825641074</v>
      </c>
      <c r="AG120" s="24">
        <f t="shared" ca="1" si="75"/>
        <v>14.11427086465601</v>
      </c>
      <c r="AH120" s="24">
        <f t="shared" ca="1" si="75"/>
        <v>14.558161711298689</v>
      </c>
      <c r="AI120" s="24">
        <f t="shared" ca="1" si="75"/>
        <v>15.042621146425759</v>
      </c>
      <c r="AJ120" s="24">
        <f t="shared" ca="1" si="75"/>
        <v>15.499119849867904</v>
      </c>
      <c r="AK120" s="24">
        <f t="shared" ca="1" si="75"/>
        <v>15.954591484493465</v>
      </c>
      <c r="AL120" s="24">
        <f t="shared" ca="1" si="75"/>
        <v>16.403627045877204</v>
      </c>
      <c r="AM120" s="24">
        <f t="shared" ca="1" si="75"/>
        <v>18.594800478751957</v>
      </c>
      <c r="AN120" s="24">
        <f t="shared" ca="1" si="75"/>
        <v>20.641806830754046</v>
      </c>
      <c r="AO120" s="24">
        <f t="shared" ca="1" si="75"/>
        <v>20.641806830754046</v>
      </c>
      <c r="AP120" s="24">
        <f t="shared" ca="1" si="75"/>
        <v>20.641806830754046</v>
      </c>
      <c r="AQ120" s="6"/>
      <c r="AR120" s="200"/>
      <c r="AS120" s="200"/>
      <c r="AT120" s="199"/>
      <c r="AU120" s="6"/>
      <c r="AV120" s="6"/>
      <c r="BB120" s="4">
        <f t="shared" si="53"/>
        <v>3</v>
      </c>
    </row>
    <row r="121" spans="1:54">
      <c r="A121" s="22" t="str">
        <f>'[5]TS BYDem'!A35</f>
        <v/>
      </c>
      <c r="B121" s="22" t="str">
        <f>'[5]TS BYDem'!B35</f>
        <v>COM_PROJ</v>
      </c>
      <c r="C121" s="22" t="str">
        <f>'[5]TS BYDem'!C35</f>
        <v>-</v>
      </c>
      <c r="D121" s="22" t="str">
        <f>'[5]TS BYDem'!D35</f>
        <v>RHEWG</v>
      </c>
      <c r="E121" s="120" t="s">
        <v>137</v>
      </c>
      <c r="F121" s="120" t="s">
        <v>137</v>
      </c>
      <c r="G121" s="120" t="s">
        <v>137</v>
      </c>
      <c r="H121" s="120" t="s">
        <v>137</v>
      </c>
      <c r="I121" s="120">
        <v>0</v>
      </c>
      <c r="J121" s="6">
        <f>'[5]TS BYDem'!J35</f>
        <v>31.741720257828536</v>
      </c>
      <c r="K121" s="24">
        <f t="shared" si="49"/>
        <v>32.208008967956879</v>
      </c>
      <c r="L121" s="24">
        <f t="shared" si="49"/>
        <v>32.674297678085217</v>
      </c>
      <c r="M121" s="24">
        <f t="shared" si="49"/>
        <v>33.140586388213556</v>
      </c>
      <c r="N121" s="24">
        <f t="shared" si="49"/>
        <v>33.606875098341902</v>
      </c>
      <c r="O121" s="24">
        <f>'[5]TS BYDem'!O35</f>
        <v>34.073163808470241</v>
      </c>
      <c r="P121" s="24">
        <f t="shared" ref="P121:AP121" ca="1" si="76">OFFSET(P$33,$BB121,$J$93)/OFFSET(O$33,$BB121,$J$93)*O121</f>
        <v>35.155847067207745</v>
      </c>
      <c r="Q121" s="24">
        <f t="shared" ca="1" si="76"/>
        <v>35.643581620679832</v>
      </c>
      <c r="R121" s="24">
        <f t="shared" ca="1" si="76"/>
        <v>32.325487575805298</v>
      </c>
      <c r="S121" s="24">
        <f t="shared" ca="1" si="76"/>
        <v>33.858287305917251</v>
      </c>
      <c r="T121" s="24">
        <f t="shared" ca="1" si="76"/>
        <v>35.361429423639308</v>
      </c>
      <c r="U121" s="24">
        <f t="shared" ca="1" si="76"/>
        <v>36.9836818306634</v>
      </c>
      <c r="V121" s="24">
        <f t="shared" ca="1" si="76"/>
        <v>38.832588417778027</v>
      </c>
      <c r="W121" s="24">
        <f t="shared" ca="1" si="76"/>
        <v>40.712890129488144</v>
      </c>
      <c r="X121" s="24">
        <f t="shared" ca="1" si="76"/>
        <v>42.729087081675708</v>
      </c>
      <c r="Y121" s="24">
        <f t="shared" ca="1" si="76"/>
        <v>44.760231050763672</v>
      </c>
      <c r="Z121" s="24">
        <f t="shared" ca="1" si="76"/>
        <v>46.838547434976732</v>
      </c>
      <c r="AA121" s="24">
        <f t="shared" ca="1" si="76"/>
        <v>49.087316380209415</v>
      </c>
      <c r="AB121" s="24">
        <f t="shared" ca="1" si="76"/>
        <v>51.248889602530404</v>
      </c>
      <c r="AC121" s="24">
        <f t="shared" ca="1" si="76"/>
        <v>53.400435823498661</v>
      </c>
      <c r="AD121" s="24">
        <f t="shared" ca="1" si="76"/>
        <v>55.499455230352339</v>
      </c>
      <c r="AE121" s="24">
        <f t="shared" ca="1" si="76"/>
        <v>57.576296245453115</v>
      </c>
      <c r="AF121" s="24">
        <f t="shared" ca="1" si="76"/>
        <v>59.626554463609466</v>
      </c>
      <c r="AG121" s="24">
        <f t="shared" ca="1" si="76"/>
        <v>61.542482504795984</v>
      </c>
      <c r="AH121" s="24">
        <f t="shared" ca="1" si="76"/>
        <v>63.477980620533181</v>
      </c>
      <c r="AI121" s="24">
        <f t="shared" ca="1" si="76"/>
        <v>65.590370030973887</v>
      </c>
      <c r="AJ121" s="24">
        <f t="shared" ca="1" si="76"/>
        <v>67.580842209058659</v>
      </c>
      <c r="AK121" s="24">
        <f t="shared" ca="1" si="76"/>
        <v>69.566836056999279</v>
      </c>
      <c r="AL121" s="24">
        <f t="shared" ca="1" si="76"/>
        <v>71.524766682356002</v>
      </c>
      <c r="AM121" s="24">
        <f t="shared" ca="1" si="76"/>
        <v>81.078944432717222</v>
      </c>
      <c r="AN121" s="24">
        <f t="shared" ca="1" si="76"/>
        <v>90.004510181973174</v>
      </c>
      <c r="AO121" s="24">
        <f t="shared" ca="1" si="76"/>
        <v>90.004510181973174</v>
      </c>
      <c r="AP121" s="24">
        <f t="shared" ca="1" si="76"/>
        <v>90.004510181973174</v>
      </c>
      <c r="AQ121" s="6"/>
      <c r="AR121" s="200"/>
      <c r="AS121" s="200"/>
      <c r="AT121" s="199"/>
      <c r="AU121" s="6"/>
      <c r="AV121" s="6"/>
      <c r="BB121" s="4">
        <f t="shared" si="53"/>
        <v>3</v>
      </c>
    </row>
    <row r="122" spans="1:54">
      <c r="A122" s="22" t="str">
        <f>'[5]TS BYDem'!A36</f>
        <v/>
      </c>
      <c r="B122" s="22" t="str">
        <f>'[5]TS BYDem'!B36</f>
        <v>COM_PROJ</v>
      </c>
      <c r="C122" s="22" t="str">
        <f>'[5]TS BYDem'!C36</f>
        <v>-</v>
      </c>
      <c r="D122" s="22" t="str">
        <f>'[5]TS BYDem'!D36</f>
        <v>RHEW</v>
      </c>
      <c r="E122" s="120" t="s">
        <v>137</v>
      </c>
      <c r="F122" s="120" t="s">
        <v>137</v>
      </c>
      <c r="G122" s="120" t="s">
        <v>137</v>
      </c>
      <c r="H122" s="120" t="s">
        <v>137</v>
      </c>
      <c r="I122" s="120">
        <v>0</v>
      </c>
      <c r="J122" s="6">
        <f>'[5]TS BYDem'!J36</f>
        <v>0.56043977372187515</v>
      </c>
      <c r="K122" s="24">
        <f t="shared" si="49"/>
        <v>1.8567305480628324</v>
      </c>
      <c r="L122" s="24">
        <f t="shared" si="49"/>
        <v>3.1530213224037897</v>
      </c>
      <c r="M122" s="24">
        <f t="shared" si="49"/>
        <v>4.4493120967447473</v>
      </c>
      <c r="N122" s="24">
        <f t="shared" si="49"/>
        <v>5.7456028710857048</v>
      </c>
      <c r="O122" s="24">
        <f>'[5]TS BYDem'!O36</f>
        <v>7.0418936454266614</v>
      </c>
      <c r="P122" s="24">
        <f t="shared" ref="P122:AP122" ca="1" si="77">OFFSET(P$33,$BB122,$J$93)/OFFSET(O$33,$BB122,$J$93)*O122</f>
        <v>7.2656515683060787</v>
      </c>
      <c r="Q122" s="24">
        <f t="shared" ca="1" si="77"/>
        <v>7.3664515665702934</v>
      </c>
      <c r="R122" s="24">
        <f t="shared" ca="1" si="77"/>
        <v>6.6807017635619337</v>
      </c>
      <c r="S122" s="24">
        <f t="shared" ca="1" si="77"/>
        <v>6.9974851635379531</v>
      </c>
      <c r="T122" s="24">
        <f t="shared" ca="1" si="77"/>
        <v>7.3081392309576865</v>
      </c>
      <c r="U122" s="24">
        <f t="shared" ca="1" si="77"/>
        <v>7.6434097969818859</v>
      </c>
      <c r="V122" s="24">
        <f t="shared" ca="1" si="77"/>
        <v>8.0255229350507786</v>
      </c>
      <c r="W122" s="24">
        <f t="shared" ca="1" si="77"/>
        <v>8.414124496960472</v>
      </c>
      <c r="X122" s="24">
        <f t="shared" ca="1" si="77"/>
        <v>8.83081149982719</v>
      </c>
      <c r="Y122" s="24">
        <f t="shared" ca="1" si="77"/>
        <v>9.2505875995538496</v>
      </c>
      <c r="Z122" s="24">
        <f t="shared" ca="1" si="77"/>
        <v>9.6801128124587308</v>
      </c>
      <c r="AA122" s="24">
        <f t="shared" ca="1" si="77"/>
        <v>10.144865420537066</v>
      </c>
      <c r="AB122" s="24">
        <f t="shared" ca="1" si="77"/>
        <v>10.591597306778949</v>
      </c>
      <c r="AC122" s="24">
        <f t="shared" ca="1" si="77"/>
        <v>11.036256914746195</v>
      </c>
      <c r="AD122" s="24">
        <f t="shared" ca="1" si="77"/>
        <v>11.470060817014751</v>
      </c>
      <c r="AE122" s="24">
        <f t="shared" ca="1" si="77"/>
        <v>11.899281115693443</v>
      </c>
      <c r="AF122" s="24">
        <f t="shared" ca="1" si="77"/>
        <v>12.323007553281546</v>
      </c>
      <c r="AG122" s="24">
        <f t="shared" ca="1" si="77"/>
        <v>12.718972001260754</v>
      </c>
      <c r="AH122" s="24">
        <f t="shared" ca="1" si="77"/>
        <v>13.118980992458598</v>
      </c>
      <c r="AI122" s="24">
        <f t="shared" ca="1" si="77"/>
        <v>13.555548070575103</v>
      </c>
      <c r="AJ122" s="24">
        <f t="shared" ca="1" si="77"/>
        <v>13.966918539752648</v>
      </c>
      <c r="AK122" s="24">
        <f t="shared" ca="1" si="77"/>
        <v>14.377363473374952</v>
      </c>
      <c r="AL122" s="24">
        <f t="shared" ca="1" si="77"/>
        <v>14.782008586649061</v>
      </c>
      <c r="AM122" s="24">
        <f t="shared" ca="1" si="77"/>
        <v>16.756568506172016</v>
      </c>
      <c r="AN122" s="24">
        <f t="shared" ca="1" si="77"/>
        <v>18.601213314761782</v>
      </c>
      <c r="AO122" s="24">
        <f t="shared" ca="1" si="77"/>
        <v>18.601213314761782</v>
      </c>
      <c r="AP122" s="24">
        <f t="shared" ca="1" si="77"/>
        <v>18.601213314761782</v>
      </c>
      <c r="AQ122" s="6"/>
      <c r="AR122" s="200"/>
      <c r="AS122" s="200"/>
      <c r="AT122" s="199"/>
      <c r="AU122" s="6"/>
      <c r="AV122" s="6"/>
      <c r="BB122" s="4">
        <f t="shared" si="53"/>
        <v>3</v>
      </c>
    </row>
    <row r="123" spans="1:54">
      <c r="A123" s="22" t="str">
        <f>'[5]TS BYDem'!A37</f>
        <v/>
      </c>
      <c r="B123" s="22" t="str">
        <f>'[5]TS BYDem'!B37</f>
        <v>COM_PROJ</v>
      </c>
      <c r="C123" s="22" t="str">
        <f>'[5]TS BYDem'!C37</f>
        <v>-</v>
      </c>
      <c r="D123" s="22" t="str">
        <f>'[5]TS BYDem'!D37</f>
        <v>RHER</v>
      </c>
      <c r="E123" s="120" t="s">
        <v>137</v>
      </c>
      <c r="F123" s="120" t="s">
        <v>137</v>
      </c>
      <c r="G123" s="120" t="s">
        <v>137</v>
      </c>
      <c r="H123" s="120" t="s">
        <v>137</v>
      </c>
      <c r="I123" s="120">
        <v>0</v>
      </c>
      <c r="J123" s="6">
        <f>'[5]TS BYDem'!J37</f>
        <v>5.223009778600523</v>
      </c>
      <c r="K123" s="24">
        <f t="shared" si="49"/>
        <v>5.3613760001895816</v>
      </c>
      <c r="L123" s="24">
        <f t="shared" si="49"/>
        <v>5.4997422217786411</v>
      </c>
      <c r="M123" s="24">
        <f t="shared" si="49"/>
        <v>5.6381084433676998</v>
      </c>
      <c r="N123" s="24">
        <f t="shared" si="49"/>
        <v>5.7764746649567593</v>
      </c>
      <c r="O123" s="24">
        <f>'[5]TS BYDem'!O37</f>
        <v>5.914840886545818</v>
      </c>
      <c r="P123" s="24">
        <f t="shared" ref="P123:AP123" ca="1" si="78">OFFSET(P$33,$BB123,$J$93)/OFFSET(O$33,$BB123,$J$93)*O123</f>
        <v>6.1027864275574011</v>
      </c>
      <c r="Q123" s="24">
        <f t="shared" ca="1" si="78"/>
        <v>6.1874534192953599</v>
      </c>
      <c r="R123" s="24">
        <f t="shared" ca="1" si="78"/>
        <v>5.6114576464241228</v>
      </c>
      <c r="S123" s="24">
        <f t="shared" ca="1" si="78"/>
        <v>5.8775399675585867</v>
      </c>
      <c r="T123" s="24">
        <f t="shared" ca="1" si="78"/>
        <v>6.1384739537938575</v>
      </c>
      <c r="U123" s="24">
        <f t="shared" ca="1" si="78"/>
        <v>6.4200845761387706</v>
      </c>
      <c r="V123" s="24">
        <f t="shared" ca="1" si="78"/>
        <v>6.7410406322990415</v>
      </c>
      <c r="W123" s="24">
        <f t="shared" ca="1" si="78"/>
        <v>7.0674466422011912</v>
      </c>
      <c r="X123" s="24">
        <f t="shared" ca="1" si="78"/>
        <v>7.4174430274844241</v>
      </c>
      <c r="Y123" s="24">
        <f t="shared" ca="1" si="78"/>
        <v>7.7700341006924809</v>
      </c>
      <c r="Z123" s="24">
        <f t="shared" ca="1" si="78"/>
        <v>8.1308139447252099</v>
      </c>
      <c r="AA123" s="24">
        <f t="shared" ca="1" si="78"/>
        <v>8.5211830509351323</v>
      </c>
      <c r="AB123" s="24">
        <f t="shared" ca="1" si="78"/>
        <v>8.8964156459038595</v>
      </c>
      <c r="AC123" s="24">
        <f t="shared" ca="1" si="78"/>
        <v>9.2699076300533516</v>
      </c>
      <c r="AD123" s="24">
        <f t="shared" ca="1" si="78"/>
        <v>9.6342813606261775</v>
      </c>
      <c r="AE123" s="24">
        <f t="shared" ca="1" si="78"/>
        <v>9.994805091854202</v>
      </c>
      <c r="AF123" s="24">
        <f t="shared" ca="1" si="78"/>
        <v>10.350714252649922</v>
      </c>
      <c r="AG123" s="24">
        <f t="shared" ca="1" si="78"/>
        <v>10.683304721130943</v>
      </c>
      <c r="AH123" s="24">
        <f t="shared" ca="1" si="78"/>
        <v>11.019292405020424</v>
      </c>
      <c r="AI123" s="24">
        <f t="shared" ca="1" si="78"/>
        <v>11.385987066056718</v>
      </c>
      <c r="AJ123" s="24">
        <f t="shared" ca="1" si="78"/>
        <v>11.731517827116862</v>
      </c>
      <c r="AK123" s="24">
        <f t="shared" ca="1" si="78"/>
        <v>12.076271184282582</v>
      </c>
      <c r="AL123" s="24">
        <f t="shared" ca="1" si="78"/>
        <v>12.416152980436811</v>
      </c>
      <c r="AM123" s="24">
        <f t="shared" ca="1" si="78"/>
        <v>14.074685235111522</v>
      </c>
      <c r="AN123" s="24">
        <f t="shared" ca="1" si="78"/>
        <v>15.624095249573642</v>
      </c>
      <c r="AO123" s="24">
        <f t="shared" ca="1" si="78"/>
        <v>15.624095249573642</v>
      </c>
      <c r="AP123" s="24">
        <f t="shared" ca="1" si="78"/>
        <v>15.624095249573642</v>
      </c>
      <c r="AQ123" s="6"/>
      <c r="AR123" s="200"/>
      <c r="AS123" s="200"/>
      <c r="AT123" s="199"/>
      <c r="AU123" s="6"/>
      <c r="AV123" s="6"/>
      <c r="BB123" s="4">
        <f t="shared" si="53"/>
        <v>3</v>
      </c>
    </row>
    <row r="124" spans="1:54">
      <c r="A124" s="22" t="str">
        <f>'[5]TS BYDem'!A38</f>
        <v/>
      </c>
      <c r="B124" s="22" t="str">
        <f>'[5]TS BYDem'!B38</f>
        <v>COM_PROJ</v>
      </c>
      <c r="C124" s="22" t="str">
        <f>'[5]TS BYDem'!C38</f>
        <v>-</v>
      </c>
      <c r="D124" s="22" t="str">
        <f>'[5]TS BYDem'!D38</f>
        <v>RHEO</v>
      </c>
      <c r="E124" s="120" t="s">
        <v>137</v>
      </c>
      <c r="F124" s="120" t="s">
        <v>137</v>
      </c>
      <c r="G124" s="120" t="s">
        <v>137</v>
      </c>
      <c r="H124" s="120" t="s">
        <v>137</v>
      </c>
      <c r="I124" s="120">
        <v>0</v>
      </c>
      <c r="J124" s="6">
        <f>'[5]TS BYDem'!J38</f>
        <v>11.690334156193106</v>
      </c>
      <c r="K124" s="24">
        <f t="shared" si="49"/>
        <v>12.00003056398719</v>
      </c>
      <c r="L124" s="24">
        <f t="shared" si="49"/>
        <v>12.309726971781274</v>
      </c>
      <c r="M124" s="24">
        <f t="shared" si="49"/>
        <v>12.619423379575359</v>
      </c>
      <c r="N124" s="24">
        <f t="shared" si="49"/>
        <v>12.929119787369443</v>
      </c>
      <c r="O124" s="24">
        <f>'[5]TS BYDem'!O38</f>
        <v>13.238816195163526</v>
      </c>
      <c r="P124" s="24">
        <f t="shared" ref="P124:AP124" ca="1" si="79">OFFSET(P$33,$BB124,$J$93)/OFFSET(O$33,$BB124,$J$93)*O124</f>
        <v>13.65948287409527</v>
      </c>
      <c r="Q124" s="24">
        <f t="shared" ca="1" si="79"/>
        <v>13.848987674463762</v>
      </c>
      <c r="R124" s="24">
        <f t="shared" ca="1" si="79"/>
        <v>12.559772577642002</v>
      </c>
      <c r="S124" s="24">
        <f t="shared" ca="1" si="79"/>
        <v>13.155327895164465</v>
      </c>
      <c r="T124" s="24">
        <f t="shared" ca="1" si="79"/>
        <v>13.739360018614777</v>
      </c>
      <c r="U124" s="24">
        <f t="shared" ca="1" si="79"/>
        <v>14.369671355697443</v>
      </c>
      <c r="V124" s="24">
        <f t="shared" ca="1" si="79"/>
        <v>15.088047101678297</v>
      </c>
      <c r="W124" s="24">
        <f t="shared" ca="1" si="79"/>
        <v>15.818621136209059</v>
      </c>
      <c r="X124" s="24">
        <f t="shared" ca="1" si="79"/>
        <v>16.60199602365126</v>
      </c>
      <c r="Y124" s="24">
        <f t="shared" ca="1" si="79"/>
        <v>17.391178437818091</v>
      </c>
      <c r="Z124" s="24">
        <f t="shared" ca="1" si="79"/>
        <v>18.19868926248515</v>
      </c>
      <c r="AA124" s="24">
        <f t="shared" ca="1" si="79"/>
        <v>19.072427870930031</v>
      </c>
      <c r="AB124" s="24">
        <f t="shared" ca="1" si="79"/>
        <v>19.912287378651502</v>
      </c>
      <c r="AC124" s="24">
        <f t="shared" ca="1" si="79"/>
        <v>20.748250986695339</v>
      </c>
      <c r="AD124" s="24">
        <f t="shared" ca="1" si="79"/>
        <v>21.56380578147812</v>
      </c>
      <c r="AE124" s="24">
        <f t="shared" ca="1" si="79"/>
        <v>22.370743364969002</v>
      </c>
      <c r="AF124" s="24">
        <f t="shared" ca="1" si="79"/>
        <v>23.167352445809563</v>
      </c>
      <c r="AG124" s="24">
        <f t="shared" ca="1" si="79"/>
        <v>23.9117687648519</v>
      </c>
      <c r="AH124" s="24">
        <f t="shared" ca="1" si="79"/>
        <v>24.663788857390543</v>
      </c>
      <c r="AI124" s="24">
        <f t="shared" ca="1" si="79"/>
        <v>25.484538444796989</v>
      </c>
      <c r="AJ124" s="24">
        <f t="shared" ca="1" si="79"/>
        <v>26.257918206517278</v>
      </c>
      <c r="AK124" s="24">
        <f t="shared" ca="1" si="79"/>
        <v>27.029557954014852</v>
      </c>
      <c r="AL124" s="24">
        <f t="shared" ca="1" si="79"/>
        <v>27.79029399301853</v>
      </c>
      <c r="AM124" s="24">
        <f t="shared" ca="1" si="79"/>
        <v>31.502482383974758</v>
      </c>
      <c r="AN124" s="24">
        <f t="shared" ca="1" si="79"/>
        <v>34.970429330623489</v>
      </c>
      <c r="AO124" s="24">
        <f t="shared" ca="1" si="79"/>
        <v>34.970429330623489</v>
      </c>
      <c r="AP124" s="24">
        <f t="shared" ca="1" si="79"/>
        <v>34.970429330623489</v>
      </c>
      <c r="AQ124" s="6"/>
      <c r="AR124" s="200"/>
      <c r="AS124" s="200"/>
      <c r="AT124" s="199"/>
      <c r="AU124" s="6"/>
      <c r="AV124" s="6"/>
      <c r="BB124" s="4">
        <f t="shared" si="53"/>
        <v>3</v>
      </c>
    </row>
    <row r="125" spans="1:54">
      <c r="A125" s="22" t="str">
        <f>'[5]TS BYDem'!A39</f>
        <v>*</v>
      </c>
      <c r="B125" s="22" t="str">
        <f>'[5]TS BYDem'!B39</f>
        <v>COM_PROJ</v>
      </c>
      <c r="C125" s="22" t="str">
        <f>'[5]TS BYDem'!C39</f>
        <v>-</v>
      </c>
      <c r="D125" s="22">
        <f>'[5]TS BYDem'!D39</f>
        <v>0</v>
      </c>
      <c r="E125" s="120" t="s">
        <v>137</v>
      </c>
      <c r="F125" s="120" t="s">
        <v>137</v>
      </c>
      <c r="G125" s="120" t="s">
        <v>137</v>
      </c>
      <c r="H125" s="120" t="s">
        <v>137</v>
      </c>
      <c r="I125" s="120">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20" t="s">
        <v>137</v>
      </c>
      <c r="F126" s="120" t="s">
        <v>137</v>
      </c>
      <c r="G126" s="120" t="s">
        <v>137</v>
      </c>
      <c r="H126" s="120" t="s">
        <v>137</v>
      </c>
      <c r="I126" s="120">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20" t="s">
        <v>137</v>
      </c>
      <c r="F127" s="120" t="s">
        <v>137</v>
      </c>
      <c r="G127" s="120" t="s">
        <v>137</v>
      </c>
      <c r="H127" s="120" t="s">
        <v>137</v>
      </c>
      <c r="I127" s="120">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20" t="s">
        <v>137</v>
      </c>
      <c r="F128" s="120" t="s">
        <v>137</v>
      </c>
      <c r="G128" s="120" t="s">
        <v>137</v>
      </c>
      <c r="H128" s="120" t="s">
        <v>137</v>
      </c>
      <c r="I128" s="120">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20" t="s">
        <v>137</v>
      </c>
      <c r="F129" s="120" t="s">
        <v>137</v>
      </c>
      <c r="G129" s="120" t="s">
        <v>137</v>
      </c>
      <c r="H129" s="120" t="s">
        <v>137</v>
      </c>
      <c r="I129" s="120">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20" t="s">
        <v>137</v>
      </c>
      <c r="F130" s="120" t="s">
        <v>137</v>
      </c>
      <c r="G130" s="120" t="s">
        <v>137</v>
      </c>
      <c r="H130" s="120" t="s">
        <v>137</v>
      </c>
      <c r="I130" s="120">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20" t="s">
        <v>137</v>
      </c>
      <c r="F131" s="120" t="s">
        <v>137</v>
      </c>
      <c r="G131" s="120" t="s">
        <v>137</v>
      </c>
      <c r="H131" s="120" t="s">
        <v>137</v>
      </c>
      <c r="I131" s="120">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20" t="s">
        <v>137</v>
      </c>
      <c r="F132" s="120" t="s">
        <v>137</v>
      </c>
      <c r="G132" s="120" t="s">
        <v>137</v>
      </c>
      <c r="H132" s="120" t="s">
        <v>137</v>
      </c>
      <c r="I132" s="120">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20" t="s">
        <v>137</v>
      </c>
      <c r="F133" s="120" t="s">
        <v>137</v>
      </c>
      <c r="G133" s="120" t="s">
        <v>137</v>
      </c>
      <c r="H133" s="120" t="s">
        <v>137</v>
      </c>
      <c r="I133" s="120">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20" t="s">
        <v>137</v>
      </c>
      <c r="F134" s="120" t="s">
        <v>137</v>
      </c>
      <c r="G134" s="120" t="s">
        <v>137</v>
      </c>
      <c r="H134" s="120" t="s">
        <v>137</v>
      </c>
      <c r="I134" s="120">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20" t="s">
        <v>137</v>
      </c>
      <c r="F135" s="120" t="s">
        <v>137</v>
      </c>
      <c r="G135" s="120" t="s">
        <v>137</v>
      </c>
      <c r="H135" s="120" t="s">
        <v>137</v>
      </c>
      <c r="I135" s="120">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20" t="s">
        <v>137</v>
      </c>
      <c r="F136" s="120" t="s">
        <v>137</v>
      </c>
      <c r="G136" s="120" t="s">
        <v>137</v>
      </c>
      <c r="H136" s="120" t="s">
        <v>137</v>
      </c>
      <c r="I136" s="120">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election activeCell="C9" sqref="C9"/>
    </sheetView>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T231" zoomScale="80" zoomScaleNormal="80" workbookViewId="0">
      <selection activeCell="L57" sqref="L57"/>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16" width="16.140625" style="95" customWidth="1"/>
    <col min="17" max="21" width="11.85546875" style="95" customWidth="1"/>
    <col min="22"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199" customFormat="1">
      <c r="A1" s="199" t="str">
        <f>IF(COM,"TS DATA","")</f>
        <v>TS DATA</v>
      </c>
      <c r="B1" s="199" t="s">
        <v>17</v>
      </c>
      <c r="J1" s="41"/>
    </row>
    <row r="2" spans="1:48" s="199" customFormat="1" ht="15.75" thickBot="1">
      <c r="A2" s="199" t="s">
        <v>16</v>
      </c>
      <c r="B2" s="301" t="s">
        <v>296</v>
      </c>
      <c r="C2" s="301"/>
      <c r="J2" s="41"/>
    </row>
    <row r="3" spans="1:48">
      <c r="A3" s="199"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199" t="s">
        <v>16</v>
      </c>
      <c r="B4" s="92" t="s">
        <v>11</v>
      </c>
      <c r="C4" s="92"/>
      <c r="D4" s="92"/>
      <c r="E4" s="93"/>
      <c r="F4" s="93"/>
      <c r="G4" s="93"/>
      <c r="H4" s="93"/>
      <c r="I4" s="93"/>
      <c r="J4" s="94">
        <v>2012</v>
      </c>
      <c r="K4" s="95">
        <f>J4+1</f>
        <v>2013</v>
      </c>
      <c r="L4" s="95">
        <f>K4+1</f>
        <v>2014</v>
      </c>
      <c r="M4" s="95">
        <f t="shared" ref="M4:AR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si="0"/>
        <v>2031</v>
      </c>
      <c r="AD4" s="95">
        <f t="shared" si="0"/>
        <v>2032</v>
      </c>
      <c r="AE4" s="95">
        <f t="shared" si="0"/>
        <v>2033</v>
      </c>
      <c r="AF4" s="95">
        <f t="shared" si="0"/>
        <v>2034</v>
      </c>
      <c r="AG4" s="95">
        <f t="shared" si="0"/>
        <v>2035</v>
      </c>
      <c r="AH4" s="95">
        <f t="shared" si="0"/>
        <v>2036</v>
      </c>
      <c r="AI4" s="95">
        <f t="shared" si="0"/>
        <v>2037</v>
      </c>
      <c r="AJ4" s="95">
        <f t="shared" si="0"/>
        <v>2038</v>
      </c>
      <c r="AK4" s="95">
        <f t="shared" si="0"/>
        <v>2039</v>
      </c>
      <c r="AL4" s="95">
        <f t="shared" si="0"/>
        <v>2040</v>
      </c>
      <c r="AM4" s="95">
        <f t="shared" si="0"/>
        <v>2041</v>
      </c>
      <c r="AN4" s="95">
        <f t="shared" si="0"/>
        <v>2042</v>
      </c>
      <c r="AO4" s="95">
        <f t="shared" si="0"/>
        <v>2043</v>
      </c>
      <c r="AP4" s="95">
        <f t="shared" si="0"/>
        <v>2044</v>
      </c>
      <c r="AQ4" s="95">
        <f t="shared" si="0"/>
        <v>2045</v>
      </c>
      <c r="AR4" s="95">
        <f t="shared" si="0"/>
        <v>2046</v>
      </c>
      <c r="AS4" s="95">
        <f>AR4+1</f>
        <v>2047</v>
      </c>
      <c r="AT4" s="95">
        <f>AS4+1</f>
        <v>2048</v>
      </c>
      <c r="AU4" s="95">
        <f>AT4+1</f>
        <v>2049</v>
      </c>
      <c r="AV4" s="95">
        <f>AU4+1</f>
        <v>2050</v>
      </c>
    </row>
    <row r="5" spans="1:48" s="199" customFormat="1">
      <c r="A5" s="199" t="s">
        <v>16</v>
      </c>
      <c r="C5" s="199">
        <v>1</v>
      </c>
      <c r="D5" s="199">
        <v>2012</v>
      </c>
      <c r="E5" s="199">
        <v>2017</v>
      </c>
      <c r="F5" s="199">
        <v>2020</v>
      </c>
      <c r="G5" s="199">
        <v>2030</v>
      </c>
      <c r="H5" s="199">
        <v>2050</v>
      </c>
      <c r="I5" s="199" t="s">
        <v>392</v>
      </c>
      <c r="J5" s="199">
        <f>MATCH(J$4,$D$5:$H$5,$C5)</f>
        <v>1</v>
      </c>
      <c r="K5" s="199">
        <f t="shared" ref="K5:AV6" si="1">MATCH(K$4,$D$5:$H$5,$C5)</f>
        <v>1</v>
      </c>
      <c r="L5" s="199">
        <f t="shared" si="1"/>
        <v>1</v>
      </c>
      <c r="M5" s="199">
        <f t="shared" si="1"/>
        <v>1</v>
      </c>
      <c r="N5" s="199">
        <f t="shared" si="1"/>
        <v>1</v>
      </c>
      <c r="O5" s="199">
        <f t="shared" si="1"/>
        <v>2</v>
      </c>
      <c r="P5" s="199">
        <f t="shared" si="1"/>
        <v>2</v>
      </c>
      <c r="Q5" s="199">
        <f t="shared" si="1"/>
        <v>2</v>
      </c>
      <c r="R5" s="199">
        <f t="shared" si="1"/>
        <v>3</v>
      </c>
      <c r="S5" s="199">
        <f t="shared" si="1"/>
        <v>3</v>
      </c>
      <c r="T5" s="199">
        <f t="shared" si="1"/>
        <v>3</v>
      </c>
      <c r="U5" s="199">
        <f t="shared" si="1"/>
        <v>3</v>
      </c>
      <c r="V5" s="199">
        <f t="shared" si="1"/>
        <v>3</v>
      </c>
      <c r="W5" s="199">
        <f t="shared" si="1"/>
        <v>3</v>
      </c>
      <c r="X5" s="199">
        <f t="shared" si="1"/>
        <v>3</v>
      </c>
      <c r="Y5" s="199">
        <f t="shared" si="1"/>
        <v>3</v>
      </c>
      <c r="Z5" s="199">
        <f t="shared" si="1"/>
        <v>3</v>
      </c>
      <c r="AA5" s="199">
        <f t="shared" si="1"/>
        <v>3</v>
      </c>
      <c r="AB5" s="199">
        <f t="shared" si="1"/>
        <v>4</v>
      </c>
      <c r="AC5" s="199">
        <f t="shared" si="1"/>
        <v>4</v>
      </c>
      <c r="AD5" s="199">
        <f t="shared" si="1"/>
        <v>4</v>
      </c>
      <c r="AE5" s="199">
        <f t="shared" si="1"/>
        <v>4</v>
      </c>
      <c r="AF5" s="199">
        <f t="shared" si="1"/>
        <v>4</v>
      </c>
      <c r="AG5" s="199">
        <f t="shared" si="1"/>
        <v>4</v>
      </c>
      <c r="AH5" s="199">
        <f t="shared" si="1"/>
        <v>4</v>
      </c>
      <c r="AI5" s="199">
        <f t="shared" si="1"/>
        <v>4</v>
      </c>
      <c r="AJ5" s="199">
        <f t="shared" si="1"/>
        <v>4</v>
      </c>
      <c r="AK5" s="199">
        <f t="shared" si="1"/>
        <v>4</v>
      </c>
      <c r="AL5" s="199">
        <f t="shared" si="1"/>
        <v>4</v>
      </c>
      <c r="AM5" s="199">
        <f t="shared" si="1"/>
        <v>4</v>
      </c>
      <c r="AN5" s="199">
        <f t="shared" si="1"/>
        <v>4</v>
      </c>
      <c r="AO5" s="199">
        <f t="shared" si="1"/>
        <v>4</v>
      </c>
      <c r="AP5" s="199">
        <f t="shared" si="1"/>
        <v>4</v>
      </c>
      <c r="AQ5" s="199">
        <f t="shared" si="1"/>
        <v>4</v>
      </c>
      <c r="AR5" s="199">
        <f t="shared" si="1"/>
        <v>4</v>
      </c>
      <c r="AS5" s="199">
        <f t="shared" si="1"/>
        <v>4</v>
      </c>
      <c r="AT5" s="199">
        <f t="shared" si="1"/>
        <v>4</v>
      </c>
      <c r="AU5" s="199">
        <f t="shared" si="1"/>
        <v>4</v>
      </c>
      <c r="AV5" s="199">
        <f t="shared" si="1"/>
        <v>5</v>
      </c>
    </row>
    <row r="6" spans="1:48" s="199" customFormat="1">
      <c r="A6" s="199" t="s">
        <v>16</v>
      </c>
      <c r="C6" s="199">
        <v>0</v>
      </c>
      <c r="D6" s="199">
        <f>INDEX($D5:$H5,0,COUNT($D5:$H5)-D7)</f>
        <v>2050</v>
      </c>
      <c r="E6" s="199">
        <f>INDEX($D5:$H5,0,COUNT($D5:$H5)-E7)</f>
        <v>2030</v>
      </c>
      <c r="F6" s="199">
        <f>INDEX($D5:$H5,0,COUNT($D5:$H5)-F7)</f>
        <v>2020</v>
      </c>
      <c r="G6" s="199">
        <f>INDEX($D5:$H5,0,COUNT($D5:$H5)-G7)</f>
        <v>2017</v>
      </c>
      <c r="H6" s="199">
        <f>INDEX($D5:$H5,0,COUNT($D5:$H5)-H7)</f>
        <v>2012</v>
      </c>
      <c r="I6" s="199" t="s">
        <v>393</v>
      </c>
      <c r="J6" s="199">
        <f>MATCH(J$4,$D$5:$H$5,$C6)</f>
        <v>1</v>
      </c>
      <c r="K6" s="199" t="e">
        <f t="shared" si="1"/>
        <v>#N/A</v>
      </c>
      <c r="L6" s="199" t="e">
        <f t="shared" si="1"/>
        <v>#N/A</v>
      </c>
      <c r="M6" s="199" t="e">
        <f t="shared" si="1"/>
        <v>#N/A</v>
      </c>
      <c r="N6" s="199" t="e">
        <f t="shared" si="1"/>
        <v>#N/A</v>
      </c>
      <c r="O6" s="199">
        <f t="shared" si="1"/>
        <v>2</v>
      </c>
      <c r="P6" s="199" t="e">
        <f t="shared" si="1"/>
        <v>#N/A</v>
      </c>
      <c r="Q6" s="199" t="e">
        <f t="shared" si="1"/>
        <v>#N/A</v>
      </c>
      <c r="R6" s="199">
        <f t="shared" si="1"/>
        <v>3</v>
      </c>
      <c r="S6" s="199" t="e">
        <f t="shared" si="1"/>
        <v>#N/A</v>
      </c>
      <c r="T6" s="199" t="e">
        <f t="shared" si="1"/>
        <v>#N/A</v>
      </c>
      <c r="U6" s="199" t="e">
        <f t="shared" si="1"/>
        <v>#N/A</v>
      </c>
      <c r="V6" s="199" t="e">
        <f t="shared" si="1"/>
        <v>#N/A</v>
      </c>
      <c r="W6" s="199" t="e">
        <f t="shared" si="1"/>
        <v>#N/A</v>
      </c>
      <c r="X6" s="199" t="e">
        <f t="shared" si="1"/>
        <v>#N/A</v>
      </c>
      <c r="Y6" s="199" t="e">
        <f t="shared" si="1"/>
        <v>#N/A</v>
      </c>
      <c r="Z6" s="199" t="e">
        <f t="shared" si="1"/>
        <v>#N/A</v>
      </c>
      <c r="AA6" s="199" t="e">
        <f t="shared" si="1"/>
        <v>#N/A</v>
      </c>
      <c r="AB6" s="199">
        <f t="shared" si="1"/>
        <v>4</v>
      </c>
      <c r="AC6" s="199" t="e">
        <f t="shared" si="1"/>
        <v>#N/A</v>
      </c>
      <c r="AD6" s="199" t="e">
        <f t="shared" si="1"/>
        <v>#N/A</v>
      </c>
      <c r="AE6" s="199" t="e">
        <f t="shared" si="1"/>
        <v>#N/A</v>
      </c>
      <c r="AF6" s="199" t="e">
        <f t="shared" si="1"/>
        <v>#N/A</v>
      </c>
      <c r="AG6" s="199" t="e">
        <f t="shared" si="1"/>
        <v>#N/A</v>
      </c>
      <c r="AH6" s="199" t="e">
        <f t="shared" si="1"/>
        <v>#N/A</v>
      </c>
      <c r="AI6" s="199" t="e">
        <f t="shared" si="1"/>
        <v>#N/A</v>
      </c>
      <c r="AJ6" s="199" t="e">
        <f t="shared" si="1"/>
        <v>#N/A</v>
      </c>
      <c r="AK6" s="199" t="e">
        <f t="shared" si="1"/>
        <v>#N/A</v>
      </c>
      <c r="AL6" s="199" t="e">
        <f t="shared" si="1"/>
        <v>#N/A</v>
      </c>
      <c r="AM6" s="199" t="e">
        <f t="shared" si="1"/>
        <v>#N/A</v>
      </c>
      <c r="AN6" s="199" t="e">
        <f t="shared" si="1"/>
        <v>#N/A</v>
      </c>
      <c r="AO6" s="199" t="e">
        <f t="shared" si="1"/>
        <v>#N/A</v>
      </c>
      <c r="AP6" s="199" t="e">
        <f t="shared" si="1"/>
        <v>#N/A</v>
      </c>
      <c r="AQ6" s="199" t="e">
        <f t="shared" si="1"/>
        <v>#N/A</v>
      </c>
      <c r="AR6" s="199" t="e">
        <f t="shared" si="1"/>
        <v>#N/A</v>
      </c>
      <c r="AS6" s="199" t="e">
        <f t="shared" si="1"/>
        <v>#N/A</v>
      </c>
      <c r="AT6" s="199" t="e">
        <f t="shared" si="1"/>
        <v>#N/A</v>
      </c>
      <c r="AU6" s="199" t="e">
        <f t="shared" si="1"/>
        <v>#N/A</v>
      </c>
      <c r="AV6" s="199">
        <f t="shared" si="1"/>
        <v>5</v>
      </c>
    </row>
    <row r="7" spans="1:48" s="199" customFormat="1">
      <c r="A7" s="199" t="s">
        <v>16</v>
      </c>
      <c r="C7" s="199">
        <v>-1</v>
      </c>
      <c r="D7" s="199">
        <v>0</v>
      </c>
      <c r="E7" s="199">
        <v>1</v>
      </c>
      <c r="F7" s="199">
        <v>2</v>
      </c>
      <c r="G7" s="199">
        <v>3</v>
      </c>
      <c r="H7" s="199">
        <v>4</v>
      </c>
      <c r="I7" s="199" t="s">
        <v>391</v>
      </c>
      <c r="J7" s="199">
        <f>MATCH(J$4,$D$6:$H$6,$C7)</f>
        <v>5</v>
      </c>
      <c r="K7" s="199">
        <f t="shared" ref="K7:AV7" si="2">MATCH(K$4,$D$6:$H$6,$C7)</f>
        <v>4</v>
      </c>
      <c r="L7" s="199">
        <f t="shared" si="2"/>
        <v>4</v>
      </c>
      <c r="M7" s="199">
        <f t="shared" si="2"/>
        <v>4</v>
      </c>
      <c r="N7" s="199">
        <f t="shared" si="2"/>
        <v>4</v>
      </c>
      <c r="O7" s="199">
        <f t="shared" si="2"/>
        <v>4</v>
      </c>
      <c r="P7" s="199">
        <f t="shared" si="2"/>
        <v>3</v>
      </c>
      <c r="Q7" s="199">
        <f t="shared" si="2"/>
        <v>3</v>
      </c>
      <c r="R7" s="199">
        <f t="shared" si="2"/>
        <v>3</v>
      </c>
      <c r="S7" s="199">
        <f t="shared" si="2"/>
        <v>2</v>
      </c>
      <c r="T7" s="199">
        <f t="shared" si="2"/>
        <v>2</v>
      </c>
      <c r="U7" s="199">
        <f t="shared" si="2"/>
        <v>2</v>
      </c>
      <c r="V7" s="199">
        <f t="shared" si="2"/>
        <v>2</v>
      </c>
      <c r="W7" s="199">
        <f t="shared" si="2"/>
        <v>2</v>
      </c>
      <c r="X7" s="199">
        <f t="shared" si="2"/>
        <v>2</v>
      </c>
      <c r="Y7" s="199">
        <f t="shared" si="2"/>
        <v>2</v>
      </c>
      <c r="Z7" s="199">
        <f t="shared" si="2"/>
        <v>2</v>
      </c>
      <c r="AA7" s="199">
        <f t="shared" si="2"/>
        <v>2</v>
      </c>
      <c r="AB7" s="199">
        <f t="shared" si="2"/>
        <v>2</v>
      </c>
      <c r="AC7" s="199">
        <f t="shared" si="2"/>
        <v>1</v>
      </c>
      <c r="AD7" s="199">
        <f t="shared" si="2"/>
        <v>1</v>
      </c>
      <c r="AE7" s="199">
        <f t="shared" si="2"/>
        <v>1</v>
      </c>
      <c r="AF7" s="199">
        <f t="shared" si="2"/>
        <v>1</v>
      </c>
      <c r="AG7" s="199">
        <f t="shared" si="2"/>
        <v>1</v>
      </c>
      <c r="AH7" s="199">
        <f t="shared" si="2"/>
        <v>1</v>
      </c>
      <c r="AI7" s="199">
        <f t="shared" si="2"/>
        <v>1</v>
      </c>
      <c r="AJ7" s="199">
        <f t="shared" si="2"/>
        <v>1</v>
      </c>
      <c r="AK7" s="199">
        <f t="shared" si="2"/>
        <v>1</v>
      </c>
      <c r="AL7" s="199">
        <f t="shared" si="2"/>
        <v>1</v>
      </c>
      <c r="AM7" s="199">
        <f t="shared" si="2"/>
        <v>1</v>
      </c>
      <c r="AN7" s="199">
        <f t="shared" si="2"/>
        <v>1</v>
      </c>
      <c r="AO7" s="199">
        <f t="shared" si="2"/>
        <v>1</v>
      </c>
      <c r="AP7" s="199">
        <f t="shared" si="2"/>
        <v>1</v>
      </c>
      <c r="AQ7" s="199">
        <f t="shared" si="2"/>
        <v>1</v>
      </c>
      <c r="AR7" s="199">
        <f t="shared" si="2"/>
        <v>1</v>
      </c>
      <c r="AS7" s="199">
        <f t="shared" si="2"/>
        <v>1</v>
      </c>
      <c r="AT7" s="199">
        <f t="shared" si="2"/>
        <v>1</v>
      </c>
      <c r="AU7" s="199">
        <f t="shared" si="2"/>
        <v>1</v>
      </c>
      <c r="AV7" s="199">
        <f t="shared" si="2"/>
        <v>1</v>
      </c>
    </row>
    <row r="8" spans="1:48" s="199" customFormat="1">
      <c r="A8" s="199" t="s">
        <v>16</v>
      </c>
      <c r="I8" s="199"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99" t="s">
        <v>16</v>
      </c>
      <c r="B9" s="95" t="s">
        <v>9</v>
      </c>
      <c r="C9" s="95" t="s">
        <v>10</v>
      </c>
      <c r="J9" s="94"/>
      <c r="K9" s="95"/>
    </row>
    <row r="10" spans="1:48">
      <c r="A10" s="199" t="s">
        <v>16</v>
      </c>
      <c r="B10" s="283" t="s">
        <v>4</v>
      </c>
      <c r="C10" s="95" t="s">
        <v>3</v>
      </c>
      <c r="E10" s="95">
        <f>MATCH(B10,Drivers!A7:A22,0)</f>
        <v>2</v>
      </c>
      <c r="J10" s="200">
        <f>INDEX(Drivers!$C$7:$AG$22,$E$10,J3)</f>
        <v>1833.85</v>
      </c>
      <c r="K10" s="200">
        <f>INDEX(Drivers!$C$7:$AG$22,$E$10,K3)</f>
        <v>1884.55</v>
      </c>
      <c r="L10" s="200">
        <f>INDEX(Drivers!$C$7:$AG$22,$E$10,L3)</f>
        <v>1927.88</v>
      </c>
      <c r="M10" s="200">
        <f>INDEX(Drivers!$C$7:$AG$22,$E$10,M3)</f>
        <v>1957.41</v>
      </c>
      <c r="N10" s="200">
        <f>INDEX(Drivers!$C$7:$AG$22,$E$10,N3)</f>
        <v>1982.72</v>
      </c>
      <c r="O10" s="200">
        <f>INDEX(Drivers!$C$7:$AG$22,$E$10,O3)</f>
        <v>2007.4</v>
      </c>
      <c r="P10" s="200">
        <f>INDEX(Drivers!$C$7:$AG$22,$E$10,P3)</f>
        <v>2036.6</v>
      </c>
      <c r="Q10" s="200">
        <f>INDEX(Drivers!$C$7:$AG$22,$E$10,Q3)</f>
        <v>2071.14</v>
      </c>
      <c r="R10" s="200">
        <f>INDEX(Drivers!$C$7:$AG$22,$E$10,R3)</f>
        <v>1915.6</v>
      </c>
      <c r="S10" s="200">
        <f>INDEX(Drivers!$C$7:$AG$22,$E$10,S3)</f>
        <v>1994.8603392660509</v>
      </c>
      <c r="T10" s="200">
        <f>INDEX(Drivers!$C$7:$AG$22,$E$10,T3)</f>
        <v>2066.85982042161</v>
      </c>
      <c r="U10" s="200">
        <f>INDEX(Drivers!$C$7:$AG$22,$E$10,U3)</f>
        <v>2144.8246137664132</v>
      </c>
      <c r="V10" s="200">
        <f>INDEX(Drivers!$C$7:$AG$22,$E$10,V3)</f>
        <v>2234.7683727554477</v>
      </c>
      <c r="W10" s="200">
        <f>INDEX(Drivers!$C$7:$AG$22,$E$10,W3)</f>
        <v>2333.0848389663406</v>
      </c>
      <c r="X10" s="200">
        <f>INDEX(Drivers!$C$7:$AG$22,$E$10,X3)</f>
        <v>2443.4189438340218</v>
      </c>
      <c r="Y10" s="200">
        <f>INDEX(Drivers!$C$7:$AG$22,$E$10,Y3)</f>
        <v>2562.8702114155644</v>
      </c>
      <c r="Z10" s="200">
        <f>INDEX(Drivers!$C$7:$AG$22,$E$10,Z3)</f>
        <v>2692.5214860629872</v>
      </c>
      <c r="AA10" s="200">
        <f>INDEX(Drivers!$C$7:$AG$22,$E$10,AA3)</f>
        <v>2839.2275592547094</v>
      </c>
      <c r="AB10" s="200">
        <f>INDEX(Drivers!$C$7:$AG$22,$E$10,AB3)</f>
        <v>2995.6115538425747</v>
      </c>
      <c r="AC10" s="200">
        <f>INDEX(Drivers!$C$7:$AG$22,$E$10,AC3)</f>
        <v>3156.1625655350422</v>
      </c>
      <c r="AD10" s="200">
        <f>INDEX(Drivers!$C$7:$AG$22,$E$10,AD3)</f>
        <v>3327.9094143671055</v>
      </c>
      <c r="AE10" s="200">
        <f>INDEX(Drivers!$C$7:$AG$22,$E$10,AE3)</f>
        <v>3509.788592493026</v>
      </c>
      <c r="AF10" s="200">
        <f>INDEX(Drivers!$C$7:$AG$22,$E$10,AF3)</f>
        <v>3702.8829442648207</v>
      </c>
      <c r="AG10" s="200">
        <f>INDEX(Drivers!$C$7:$AG$22,$E$10,AG3)</f>
        <v>3895.6002341639869</v>
      </c>
      <c r="AH10" s="200">
        <f>INDEX(Drivers!$C$7:$AG$22,$E$10,AH3)</f>
        <v>4097.2219852078397</v>
      </c>
      <c r="AI10" s="200">
        <f>INDEX(Drivers!$C$7:$AG$22,$E$10,AI3)</f>
        <v>4322.2119040983498</v>
      </c>
      <c r="AJ10" s="200">
        <f>INDEX(Drivers!$C$7:$AG$22,$E$10,AJ3)</f>
        <v>4563.8988961668201</v>
      </c>
      <c r="AK10" s="200">
        <f>INDEX(Drivers!$C$7:$AG$22,$E$10,AK3)</f>
        <v>4820.8520599480789</v>
      </c>
      <c r="AL10" s="200">
        <f>INDEX(Drivers!$C$7:$AG$22,$E$10,AL3)</f>
        <v>5090.7896877003686</v>
      </c>
      <c r="AM10" s="200">
        <f>(AQ10-AL10)/5+AL10</f>
        <v>5409.2542116279546</v>
      </c>
      <c r="AN10" s="200">
        <f>(AQ10-AL10)/5+AM10</f>
        <v>5727.7187355555407</v>
      </c>
      <c r="AO10" s="200">
        <f>(AQ10-AL10)/5+AN10</f>
        <v>6046.1832594831267</v>
      </c>
      <c r="AP10" s="200">
        <f>(AQ10-AL10)/5+AO10</f>
        <v>6364.6477834107127</v>
      </c>
      <c r="AQ10" s="200">
        <f>INDEX(Drivers!$C$7:$AG$22,$E$10,AQ3)</f>
        <v>6683.1123073382978</v>
      </c>
      <c r="AR10" s="200">
        <f>(AV10-AQ10)/5+AQ10</f>
        <v>7085.6364913922625</v>
      </c>
      <c r="AS10" s="200">
        <f>(AV10-AQ10)/5+AR10</f>
        <v>7488.1606754462273</v>
      </c>
      <c r="AT10" s="200">
        <f>(AV10-AQ10)/5+AS10</f>
        <v>7890.684859500192</v>
      </c>
      <c r="AU10" s="200">
        <f>(AV10-AQ10)/5+AT10</f>
        <v>8293.2090435541577</v>
      </c>
      <c r="AV10" s="200">
        <f>INDEX(Drivers!$C$7:$AG$22,$E$10,AV3)</f>
        <v>8695.7332276081215</v>
      </c>
    </row>
    <row r="11" spans="1:48">
      <c r="A11" s="199" t="s">
        <v>16</v>
      </c>
      <c r="B11" s="98" t="s">
        <v>227</v>
      </c>
      <c r="C11" s="99"/>
      <c r="D11" s="99"/>
      <c r="E11" s="99"/>
      <c r="F11" s="99"/>
      <c r="G11" s="99"/>
      <c r="H11" s="99"/>
      <c r="I11" s="99"/>
      <c r="J11" s="284" t="str">
        <f t="shared" ref="J11:AV11" si="4">INDEX($C$14:$C$18,MATCH(J$12,$B$14:$B$18,0))</f>
        <v>A</v>
      </c>
      <c r="K11" s="284" t="str">
        <f t="shared" si="4"/>
        <v>A</v>
      </c>
      <c r="L11" s="284" t="str">
        <f t="shared" si="4"/>
        <v>A</v>
      </c>
      <c r="M11" s="284" t="str">
        <f t="shared" si="4"/>
        <v>A</v>
      </c>
      <c r="N11" s="284" t="str">
        <f t="shared" si="4"/>
        <v>A</v>
      </c>
      <c r="O11" s="284" t="str">
        <f t="shared" si="4"/>
        <v>A</v>
      </c>
      <c r="P11" s="284" t="str">
        <f t="shared" si="4"/>
        <v>B</v>
      </c>
      <c r="Q11" s="284" t="str">
        <f t="shared" si="4"/>
        <v>B</v>
      </c>
      <c r="R11" s="284" t="str">
        <f t="shared" si="4"/>
        <v>B</v>
      </c>
      <c r="S11" s="284" t="str">
        <f t="shared" si="4"/>
        <v>B</v>
      </c>
      <c r="T11" s="284" t="str">
        <f t="shared" si="4"/>
        <v>B</v>
      </c>
      <c r="U11" s="284" t="str">
        <f t="shared" si="4"/>
        <v>B</v>
      </c>
      <c r="V11" s="284" t="str">
        <f t="shared" si="4"/>
        <v>B</v>
      </c>
      <c r="W11" s="284" t="str">
        <f t="shared" si="4"/>
        <v>B</v>
      </c>
      <c r="X11" s="284" t="str">
        <f t="shared" si="4"/>
        <v>B</v>
      </c>
      <c r="Y11" s="284" t="str">
        <f t="shared" si="4"/>
        <v>B</v>
      </c>
      <c r="Z11" s="284" t="str">
        <f t="shared" si="4"/>
        <v>B</v>
      </c>
      <c r="AA11" s="284" t="str">
        <f t="shared" si="4"/>
        <v>B</v>
      </c>
      <c r="AB11" s="284" t="str">
        <f t="shared" si="4"/>
        <v>B</v>
      </c>
      <c r="AC11" s="284" t="str">
        <f t="shared" si="4"/>
        <v>C</v>
      </c>
      <c r="AD11" s="284" t="str">
        <f t="shared" si="4"/>
        <v>C</v>
      </c>
      <c r="AE11" s="284" t="str">
        <f t="shared" si="4"/>
        <v>C</v>
      </c>
      <c r="AF11" s="284" t="str">
        <f t="shared" si="4"/>
        <v>C</v>
      </c>
      <c r="AG11" s="284" t="str">
        <f t="shared" si="4"/>
        <v>C</v>
      </c>
      <c r="AH11" s="284" t="str">
        <f t="shared" si="4"/>
        <v>C</v>
      </c>
      <c r="AI11" s="284" t="str">
        <f t="shared" si="4"/>
        <v>C</v>
      </c>
      <c r="AJ11" s="284" t="str">
        <f t="shared" si="4"/>
        <v>C</v>
      </c>
      <c r="AK11" s="284" t="str">
        <f t="shared" si="4"/>
        <v>C</v>
      </c>
      <c r="AL11" s="284" t="str">
        <f t="shared" si="4"/>
        <v>C</v>
      </c>
      <c r="AM11" s="284" t="str">
        <f t="shared" si="4"/>
        <v>D</v>
      </c>
      <c r="AN11" s="284" t="str">
        <f t="shared" si="4"/>
        <v>D</v>
      </c>
      <c r="AO11" s="284" t="str">
        <f t="shared" si="4"/>
        <v>D</v>
      </c>
      <c r="AP11" s="284" t="str">
        <f t="shared" si="4"/>
        <v>D</v>
      </c>
      <c r="AQ11" s="284" t="str">
        <f t="shared" si="4"/>
        <v>D</v>
      </c>
      <c r="AR11" s="284" t="str">
        <f t="shared" si="4"/>
        <v>D</v>
      </c>
      <c r="AS11" s="284" t="str">
        <f t="shared" si="4"/>
        <v>D</v>
      </c>
      <c r="AT11" s="284" t="str">
        <f t="shared" si="4"/>
        <v>D</v>
      </c>
      <c r="AU11" s="284" t="str">
        <f t="shared" si="4"/>
        <v>D</v>
      </c>
      <c r="AV11" s="284" t="str">
        <f t="shared" si="4"/>
        <v>D</v>
      </c>
    </row>
    <row r="12" spans="1:48">
      <c r="A12" s="199" t="s">
        <v>16</v>
      </c>
      <c r="B12" s="283"/>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199" t="s">
        <v>16</v>
      </c>
      <c r="B13" s="302" t="s">
        <v>228</v>
      </c>
      <c r="C13" s="303"/>
      <c r="D13" s="95" t="s">
        <v>229</v>
      </c>
      <c r="E13" s="95" t="s">
        <v>230</v>
      </c>
      <c r="J13" s="94"/>
      <c r="K13" s="95"/>
    </row>
    <row r="14" spans="1:48">
      <c r="A14" s="199" t="s">
        <v>16</v>
      </c>
      <c r="B14" s="283">
        <v>1</v>
      </c>
      <c r="C14" s="95" t="s">
        <v>109</v>
      </c>
      <c r="D14" s="100">
        <v>2012</v>
      </c>
      <c r="E14" s="100">
        <f>D14+5</f>
        <v>2017</v>
      </c>
      <c r="J14" s="94"/>
      <c r="K14" s="95"/>
      <c r="P14" s="95">
        <f>P10/O10</f>
        <v>1.0145461791371924</v>
      </c>
      <c r="Q14" s="95">
        <f t="shared" ref="Q14:T14" si="5">Q10/P10</f>
        <v>1.0169596386133752</v>
      </c>
      <c r="R14" s="95">
        <f t="shared" si="5"/>
        <v>0.92490126210685908</v>
      </c>
      <c r="S14" s="95">
        <f t="shared" si="5"/>
        <v>1.0413762472677235</v>
      </c>
      <c r="T14" s="95">
        <f t="shared" si="5"/>
        <v>1.0360924921601524</v>
      </c>
    </row>
    <row r="15" spans="1:48">
      <c r="A15" s="199" t="s">
        <v>16</v>
      </c>
      <c r="B15" s="283">
        <v>2</v>
      </c>
      <c r="C15" s="95" t="s">
        <v>231</v>
      </c>
      <c r="D15" s="100">
        <f>E14+1</f>
        <v>2018</v>
      </c>
      <c r="E15" s="100">
        <v>2030</v>
      </c>
      <c r="J15" s="94"/>
      <c r="K15" s="95"/>
    </row>
    <row r="16" spans="1:48">
      <c r="A16" s="199" t="s">
        <v>16</v>
      </c>
      <c r="B16" s="283">
        <v>3</v>
      </c>
      <c r="C16" s="95" t="s">
        <v>112</v>
      </c>
      <c r="D16" s="100">
        <v>2031</v>
      </c>
      <c r="E16" s="100">
        <v>2040</v>
      </c>
      <c r="J16" s="94"/>
      <c r="K16" s="95"/>
    </row>
    <row r="17" spans="1:48">
      <c r="A17" s="199" t="s">
        <v>16</v>
      </c>
      <c r="B17" s="283">
        <v>4</v>
      </c>
      <c r="C17" s="95" t="s">
        <v>232</v>
      </c>
      <c r="D17" s="100">
        <v>2041</v>
      </c>
      <c r="E17" s="100">
        <v>2070</v>
      </c>
      <c r="J17" s="94"/>
      <c r="K17" s="95"/>
    </row>
    <row r="18" spans="1:48">
      <c r="A18" s="199" t="s">
        <v>16</v>
      </c>
      <c r="B18" s="283"/>
      <c r="J18" s="94"/>
      <c r="K18" s="95"/>
    </row>
    <row r="19" spans="1:48" ht="15.75" thickBot="1">
      <c r="A19" s="199" t="s">
        <v>16</v>
      </c>
      <c r="B19" s="92" t="s">
        <v>511</v>
      </c>
      <c r="C19" s="92" t="s">
        <v>233</v>
      </c>
      <c r="D19" s="92"/>
      <c r="E19" s="93"/>
      <c r="F19" s="93"/>
      <c r="G19" s="93"/>
      <c r="H19" s="93"/>
      <c r="I19" s="93"/>
      <c r="J19" s="94"/>
      <c r="K19" s="95"/>
    </row>
    <row r="20" spans="1:48">
      <c r="A20" s="199" t="s">
        <v>16</v>
      </c>
      <c r="B20" s="97">
        <f>'[6]SA GDP'!$I$30</f>
        <v>0.44318133021912642</v>
      </c>
      <c r="C20" s="101">
        <v>0.01</v>
      </c>
      <c r="J20" s="94"/>
      <c r="K20" s="95"/>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row>
    <row r="21" spans="1:48">
      <c r="A21" s="199" t="s">
        <v>16</v>
      </c>
      <c r="B21" s="283"/>
      <c r="J21" s="103"/>
      <c r="K21" s="104"/>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row>
    <row r="22" spans="1:48" ht="19.5" thickBot="1">
      <c r="A22" s="199" t="s">
        <v>16</v>
      </c>
      <c r="B22" s="180" t="s">
        <v>70</v>
      </c>
      <c r="C22" s="92"/>
      <c r="D22" s="92"/>
      <c r="E22" s="105">
        <v>2006</v>
      </c>
      <c r="F22" s="105">
        <v>2010</v>
      </c>
      <c r="G22" s="105">
        <v>2020</v>
      </c>
      <c r="H22" s="105">
        <v>2030</v>
      </c>
      <c r="I22" s="105">
        <v>2050</v>
      </c>
      <c r="J22" s="94">
        <f t="shared" ref="J22:AV22" si="6">J4</f>
        <v>2012</v>
      </c>
      <c r="K22" s="95">
        <f t="shared" si="6"/>
        <v>2013</v>
      </c>
      <c r="L22" s="95">
        <f t="shared" si="6"/>
        <v>2014</v>
      </c>
      <c r="M22" s="95">
        <f t="shared" si="6"/>
        <v>2015</v>
      </c>
      <c r="N22" s="95">
        <f t="shared" si="6"/>
        <v>2016</v>
      </c>
      <c r="O22" s="95">
        <f t="shared" si="6"/>
        <v>2017</v>
      </c>
      <c r="P22" s="95">
        <f t="shared" si="6"/>
        <v>2018</v>
      </c>
      <c r="Q22" s="95">
        <f t="shared" si="6"/>
        <v>2019</v>
      </c>
      <c r="R22" s="95">
        <f t="shared" si="6"/>
        <v>2020</v>
      </c>
      <c r="S22" s="95">
        <f t="shared" si="6"/>
        <v>2021</v>
      </c>
      <c r="T22" s="95">
        <f t="shared" si="6"/>
        <v>2022</v>
      </c>
      <c r="U22" s="95">
        <f t="shared" si="6"/>
        <v>2023</v>
      </c>
      <c r="V22" s="95">
        <f t="shared" si="6"/>
        <v>2024</v>
      </c>
      <c r="W22" s="95">
        <f t="shared" si="6"/>
        <v>2025</v>
      </c>
      <c r="X22" s="95">
        <f t="shared" si="6"/>
        <v>2026</v>
      </c>
      <c r="Y22" s="95">
        <f t="shared" si="6"/>
        <v>2027</v>
      </c>
      <c r="Z22" s="95">
        <f t="shared" si="6"/>
        <v>2028</v>
      </c>
      <c r="AA22" s="95">
        <f t="shared" si="6"/>
        <v>2029</v>
      </c>
      <c r="AB22" s="95">
        <f t="shared" si="6"/>
        <v>2030</v>
      </c>
      <c r="AC22" s="95">
        <f t="shared" si="6"/>
        <v>2031</v>
      </c>
      <c r="AD22" s="95">
        <f t="shared" si="6"/>
        <v>2032</v>
      </c>
      <c r="AE22" s="95">
        <f t="shared" si="6"/>
        <v>2033</v>
      </c>
      <c r="AF22" s="95">
        <f t="shared" si="6"/>
        <v>2034</v>
      </c>
      <c r="AG22" s="95">
        <f t="shared" si="6"/>
        <v>2035</v>
      </c>
      <c r="AH22" s="95">
        <f t="shared" si="6"/>
        <v>2036</v>
      </c>
      <c r="AI22" s="95">
        <f t="shared" si="6"/>
        <v>2037</v>
      </c>
      <c r="AJ22" s="95">
        <f t="shared" si="6"/>
        <v>2038</v>
      </c>
      <c r="AK22" s="95">
        <f t="shared" si="6"/>
        <v>2039</v>
      </c>
      <c r="AL22" s="95">
        <f t="shared" si="6"/>
        <v>2040</v>
      </c>
      <c r="AM22" s="95">
        <f t="shared" si="6"/>
        <v>2041</v>
      </c>
      <c r="AN22" s="95">
        <f t="shared" si="6"/>
        <v>2042</v>
      </c>
      <c r="AO22" s="95">
        <f t="shared" si="6"/>
        <v>2043</v>
      </c>
      <c r="AP22" s="95">
        <f t="shared" si="6"/>
        <v>2044</v>
      </c>
      <c r="AQ22" s="95">
        <f t="shared" si="6"/>
        <v>2045</v>
      </c>
      <c r="AR22" s="95">
        <f t="shared" si="6"/>
        <v>2046</v>
      </c>
      <c r="AS22" s="95">
        <f t="shared" si="6"/>
        <v>2047</v>
      </c>
      <c r="AT22" s="95">
        <f t="shared" si="6"/>
        <v>2048</v>
      </c>
      <c r="AU22" s="95">
        <f t="shared" si="6"/>
        <v>2049</v>
      </c>
      <c r="AV22" s="95">
        <f t="shared" si="6"/>
        <v>2050</v>
      </c>
    </row>
    <row r="23" spans="1:48">
      <c r="A23" s="199" t="s">
        <v>16</v>
      </c>
      <c r="B23" s="283" t="str">
        <f>B10</f>
        <v>COM</v>
      </c>
      <c r="C23" s="95" t="str">
        <f>C10</f>
        <v>Commercial</v>
      </c>
      <c r="D23" s="95" t="s">
        <v>71</v>
      </c>
      <c r="J23" s="235">
        <f>[6]Forecast!I$8</f>
        <v>132.81548999999998</v>
      </c>
      <c r="K23" s="235">
        <f>[6]Forecast!J$8</f>
        <v>134.00787499999998</v>
      </c>
      <c r="L23" s="235">
        <f>[6]Forecast!K$8</f>
        <v>135.598851</v>
      </c>
      <c r="M23" s="235">
        <f>[6]Forecast!L$8</f>
        <v>136.99421599999999</v>
      </c>
      <c r="N23" s="235">
        <f>[6]Forecast!M$8</f>
        <v>138.328236</v>
      </c>
      <c r="O23" s="236">
        <f>IF(O10/N10&lt;1,N23,(1+$B$20*(O10/N10-1))*N23)</f>
        <v>139.0913265289752</v>
      </c>
      <c r="P23" s="236">
        <f t="shared" ref="P23:AO23" si="7">IF(P10/O10&lt;1,O23,(1+$B$20*(P10/O10-1))*O23)</f>
        <v>139.98799198185014</v>
      </c>
      <c r="Q23" s="236">
        <f t="shared" si="7"/>
        <v>141.04016905534132</v>
      </c>
      <c r="R23" s="236">
        <f t="shared" si="7"/>
        <v>141.04016905534132</v>
      </c>
      <c r="S23" s="236">
        <f t="shared" si="7"/>
        <v>143.62644806535727</v>
      </c>
      <c r="T23" s="236">
        <f t="shared" si="7"/>
        <v>145.92382759925653</v>
      </c>
      <c r="U23" s="236">
        <f t="shared" si="7"/>
        <v>148.36329589827608</v>
      </c>
      <c r="V23" s="236">
        <f t="shared" si="7"/>
        <v>151.12061594523848</v>
      </c>
      <c r="W23" s="236">
        <f t="shared" si="7"/>
        <v>154.06706485908276</v>
      </c>
      <c r="X23" s="236">
        <f t="shared" si="7"/>
        <v>157.29608318653973</v>
      </c>
      <c r="Y23" s="236">
        <f t="shared" si="7"/>
        <v>160.70402515781592</v>
      </c>
      <c r="Z23" s="236">
        <f t="shared" si="7"/>
        <v>164.30697643315608</v>
      </c>
      <c r="AA23" s="236">
        <f t="shared" si="7"/>
        <v>168.27456267534473</v>
      </c>
      <c r="AB23" s="236">
        <f t="shared" si="7"/>
        <v>172.38219939657685</v>
      </c>
      <c r="AC23" s="236">
        <f t="shared" si="7"/>
        <v>176.47670456647791</v>
      </c>
      <c r="AD23" s="236">
        <f t="shared" si="7"/>
        <v>180.73267159819207</v>
      </c>
      <c r="AE23" s="236">
        <f t="shared" si="7"/>
        <v>185.11020644443315</v>
      </c>
      <c r="AF23" s="236">
        <f t="shared" si="7"/>
        <v>189.62357120944503</v>
      </c>
      <c r="AG23" s="236">
        <f t="shared" si="7"/>
        <v>193.99732643695185</v>
      </c>
      <c r="AH23" s="236">
        <f t="shared" si="7"/>
        <v>198.44712345219347</v>
      </c>
      <c r="AI23" s="236">
        <f t="shared" si="7"/>
        <v>203.27659742043284</v>
      </c>
      <c r="AJ23" s="236">
        <f t="shared" si="7"/>
        <v>208.31410903962907</v>
      </c>
      <c r="AK23" s="236">
        <f t="shared" si="7"/>
        <v>213.51189146891724</v>
      </c>
      <c r="AL23" s="236">
        <f t="shared" si="7"/>
        <v>218.81027201283084</v>
      </c>
      <c r="AM23" s="236">
        <f t="shared" si="7"/>
        <v>224.8765885410383</v>
      </c>
      <c r="AN23" s="236">
        <f t="shared" si="7"/>
        <v>230.74403816006856</v>
      </c>
      <c r="AO23" s="236">
        <f t="shared" si="7"/>
        <v>236.42983479592559</v>
      </c>
      <c r="AP23" s="106">
        <f t="shared" ref="AP23:AU23" si="8">(1+$B$20*(AP10/AO10-1))*AO23</f>
        <v>241.94887412810516</v>
      </c>
      <c r="AQ23" s="106">
        <f t="shared" si="8"/>
        <v>247.31414616945546</v>
      </c>
      <c r="AR23" s="106">
        <f t="shared" si="8"/>
        <v>253.91566146770148</v>
      </c>
      <c r="AS23" s="106">
        <f t="shared" si="8"/>
        <v>260.30835751550205</v>
      </c>
      <c r="AT23" s="106">
        <f t="shared" si="8"/>
        <v>266.50970964292895</v>
      </c>
      <c r="AU23" s="106">
        <f t="shared" si="8"/>
        <v>272.53491387425299</v>
      </c>
      <c r="AV23" s="106">
        <f t="shared" ref="AV23" si="9">(1+$B$20*(AT10/AS10-1))*AU23</f>
        <v>279.02754048095562</v>
      </c>
    </row>
    <row r="24" spans="1:48">
      <c r="A24" s="199" t="s">
        <v>16</v>
      </c>
      <c r="B24" s="283" t="str">
        <f>B23 &amp; "-" &amp; "indexed"</f>
        <v>COM-indexed</v>
      </c>
      <c r="C24" s="95" t="str">
        <f>C23 &amp;"-" &amp; "indexed"</f>
        <v>Commercial-indexed</v>
      </c>
      <c r="I24" s="165"/>
      <c r="J24" s="97">
        <f>K24*(1+((J23-K23)/K23))</f>
        <v>0.9548797420688353</v>
      </c>
      <c r="K24" s="97">
        <f>L24*(1+((K23-L23)/L23))</f>
        <v>0.96345241895499323</v>
      </c>
      <c r="L24" s="97">
        <f>M24*(1+((L23-M23)/M23))</f>
        <v>0.97489077416881442</v>
      </c>
      <c r="M24" s="97">
        <f>N24*(1+((M23-N23)/N23))</f>
        <v>0.98492278000858424</v>
      </c>
      <c r="N24" s="97">
        <f>O24*(1+((N23-O23)/O23))</f>
        <v>0.99451374468834164</v>
      </c>
      <c r="O24" s="97">
        <v>1</v>
      </c>
      <c r="P24" s="97">
        <f t="shared" ref="P24:AV24" si="10">O24*(1+((P23-O23)/O23))</f>
        <v>1.0064465950196266</v>
      </c>
      <c r="Q24" s="97">
        <f t="shared" si="10"/>
        <v>1.0140112440868854</v>
      </c>
      <c r="R24" s="97">
        <f t="shared" si="10"/>
        <v>1.0140112440868854</v>
      </c>
      <c r="S24" s="97">
        <f t="shared" si="10"/>
        <v>1.0326053510995694</v>
      </c>
      <c r="T24" s="97">
        <f t="shared" si="10"/>
        <v>1.0491224092888209</v>
      </c>
      <c r="U24" s="97">
        <f t="shared" si="10"/>
        <v>1.0666610176254907</v>
      </c>
      <c r="V24" s="97">
        <f t="shared" si="10"/>
        <v>1.0864848277491796</v>
      </c>
      <c r="W24" s="97">
        <f t="shared" si="10"/>
        <v>1.107668383815348</v>
      </c>
      <c r="X24" s="97">
        <f t="shared" si="10"/>
        <v>1.1308834785882367</v>
      </c>
      <c r="Y24" s="97">
        <f t="shared" si="10"/>
        <v>1.15538494863904</v>
      </c>
      <c r="Z24" s="97">
        <f t="shared" si="10"/>
        <v>1.1812884421583831</v>
      </c>
      <c r="AA24" s="97">
        <f t="shared" si="10"/>
        <v>1.2098134863951433</v>
      </c>
      <c r="AB24" s="97">
        <f t="shared" si="10"/>
        <v>1.239345426478959</v>
      </c>
      <c r="AC24" s="97">
        <f t="shared" si="10"/>
        <v>1.2687829569999443</v>
      </c>
      <c r="AD24" s="97">
        <f t="shared" si="10"/>
        <v>1.2993813209520455</v>
      </c>
      <c r="AE24" s="97">
        <f t="shared" si="10"/>
        <v>1.330853699248252</v>
      </c>
      <c r="AF24" s="97">
        <f t="shared" si="10"/>
        <v>1.3633026295851962</v>
      </c>
      <c r="AG24" s="97">
        <f t="shared" si="10"/>
        <v>1.3947478342334938</v>
      </c>
      <c r="AH24" s="97">
        <f t="shared" si="10"/>
        <v>1.4267397429044824</v>
      </c>
      <c r="AI24" s="97">
        <f t="shared" si="10"/>
        <v>1.4614613469667839</v>
      </c>
      <c r="AJ24" s="97">
        <f t="shared" si="10"/>
        <v>1.4976786420699895</v>
      </c>
      <c r="AK24" s="97">
        <f t="shared" si="10"/>
        <v>1.5350482075130609</v>
      </c>
      <c r="AL24" s="97">
        <f t="shared" si="10"/>
        <v>1.5731410252043916</v>
      </c>
      <c r="AM24" s="97">
        <f t="shared" si="10"/>
        <v>1.6167549347096961</v>
      </c>
      <c r="AN24" s="97">
        <f t="shared" si="10"/>
        <v>1.6589390864138498</v>
      </c>
      <c r="AO24" s="97">
        <f t="shared" si="10"/>
        <v>1.6998172401977421</v>
      </c>
      <c r="AP24" s="97">
        <f t="shared" si="10"/>
        <v>1.7394964888605253</v>
      </c>
      <c r="AQ24" s="97">
        <f t="shared" si="10"/>
        <v>1.7780702243711475</v>
      </c>
      <c r="AR24" s="97">
        <f t="shared" si="10"/>
        <v>1.8255319566228045</v>
      </c>
      <c r="AS24" s="97">
        <f t="shared" si="10"/>
        <v>1.8714923785076936</v>
      </c>
      <c r="AT24" s="97">
        <f t="shared" si="10"/>
        <v>1.9160771292767147</v>
      </c>
      <c r="AU24" s="97">
        <f t="shared" si="10"/>
        <v>1.9593954610640594</v>
      </c>
      <c r="AV24" s="97">
        <f t="shared" si="10"/>
        <v>2.0060743357913782</v>
      </c>
    </row>
    <row r="25" spans="1:48">
      <c r="A25" s="199" t="s">
        <v>16</v>
      </c>
      <c r="B25" s="283" t="str">
        <f>B10 &amp; "-" &amp; "EXISTING"</f>
        <v>COM-EXISTING</v>
      </c>
      <c r="C25" s="95" t="str">
        <f>C10 &amp; "-" &amp; "existing"</f>
        <v>Commercial-existing</v>
      </c>
      <c r="D25" s="95" t="s">
        <v>53</v>
      </c>
      <c r="E25" s="107">
        <v>1</v>
      </c>
      <c r="I25" s="165"/>
      <c r="J25" s="234">
        <f>E25</f>
        <v>1</v>
      </c>
      <c r="K25" s="234">
        <v>1</v>
      </c>
      <c r="L25" s="234">
        <v>1</v>
      </c>
      <c r="M25" s="234">
        <v>1</v>
      </c>
      <c r="N25" s="234">
        <v>1</v>
      </c>
      <c r="O25" s="234">
        <f>E25</f>
        <v>1</v>
      </c>
      <c r="P25" s="97">
        <f t="shared" ref="P25:AV25" si="11">IF(O25-$C$20*(P22-O22)&lt;0,0,O25-$C$20*(P22-O22))</f>
        <v>0.99</v>
      </c>
      <c r="Q25" s="97">
        <f t="shared" si="11"/>
        <v>0.98</v>
      </c>
      <c r="R25" s="97">
        <f t="shared" si="11"/>
        <v>0.97</v>
      </c>
      <c r="S25" s="97">
        <f t="shared" si="11"/>
        <v>0.96</v>
      </c>
      <c r="T25" s="97">
        <f t="shared" si="11"/>
        <v>0.95</v>
      </c>
      <c r="U25" s="97">
        <f t="shared" si="11"/>
        <v>0.94</v>
      </c>
      <c r="V25" s="97">
        <f t="shared" si="11"/>
        <v>0.92999999999999994</v>
      </c>
      <c r="W25" s="97">
        <f t="shared" si="11"/>
        <v>0.91999999999999993</v>
      </c>
      <c r="X25" s="97">
        <f t="shared" si="11"/>
        <v>0.90999999999999992</v>
      </c>
      <c r="Y25" s="97">
        <f t="shared" si="11"/>
        <v>0.89999999999999991</v>
      </c>
      <c r="Z25" s="97">
        <f t="shared" si="11"/>
        <v>0.8899999999999999</v>
      </c>
      <c r="AA25" s="97">
        <f t="shared" si="11"/>
        <v>0.87999999999999989</v>
      </c>
      <c r="AB25" s="97">
        <f t="shared" si="11"/>
        <v>0.86999999999999988</v>
      </c>
      <c r="AC25" s="97">
        <f t="shared" si="11"/>
        <v>0.85999999999999988</v>
      </c>
      <c r="AD25" s="97">
        <f t="shared" si="11"/>
        <v>0.84999999999999987</v>
      </c>
      <c r="AE25" s="97">
        <f t="shared" si="11"/>
        <v>0.83999999999999986</v>
      </c>
      <c r="AF25" s="97">
        <f t="shared" si="11"/>
        <v>0.82999999999999985</v>
      </c>
      <c r="AG25" s="97">
        <f t="shared" si="11"/>
        <v>0.81999999999999984</v>
      </c>
      <c r="AH25" s="97">
        <f t="shared" si="11"/>
        <v>0.80999999999999983</v>
      </c>
      <c r="AI25" s="97">
        <f t="shared" si="11"/>
        <v>0.79999999999999982</v>
      </c>
      <c r="AJ25" s="97">
        <f t="shared" si="11"/>
        <v>0.78999999999999981</v>
      </c>
      <c r="AK25" s="97">
        <f t="shared" si="11"/>
        <v>0.7799999999999998</v>
      </c>
      <c r="AL25" s="97">
        <f t="shared" si="11"/>
        <v>0.7699999999999998</v>
      </c>
      <c r="AM25" s="97">
        <f t="shared" si="11"/>
        <v>0.75999999999999979</v>
      </c>
      <c r="AN25" s="97">
        <f t="shared" si="11"/>
        <v>0.74999999999999978</v>
      </c>
      <c r="AO25" s="97">
        <f t="shared" si="11"/>
        <v>0.73999999999999977</v>
      </c>
      <c r="AP25" s="97">
        <f t="shared" si="11"/>
        <v>0.72999999999999976</v>
      </c>
      <c r="AQ25" s="97">
        <f t="shared" si="11"/>
        <v>0.71999999999999975</v>
      </c>
      <c r="AR25" s="97">
        <f t="shared" si="11"/>
        <v>0.70999999999999974</v>
      </c>
      <c r="AS25" s="97">
        <f t="shared" si="11"/>
        <v>0.69999999999999973</v>
      </c>
      <c r="AT25" s="97">
        <f t="shared" si="11"/>
        <v>0.68999999999999972</v>
      </c>
      <c r="AU25" s="97">
        <f t="shared" si="11"/>
        <v>0.67999999999999972</v>
      </c>
      <c r="AV25" s="97">
        <f t="shared" si="11"/>
        <v>0.66999999999999971</v>
      </c>
    </row>
    <row r="26" spans="1:48">
      <c r="A26" s="199" t="s">
        <v>16</v>
      </c>
      <c r="B26" s="283"/>
      <c r="I26" s="165"/>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199" t="s">
        <v>16</v>
      </c>
      <c r="B27" s="283" t="s">
        <v>486</v>
      </c>
      <c r="C27" s="285">
        <v>0.2</v>
      </c>
      <c r="I27" s="165"/>
      <c r="J27" s="97"/>
      <c r="K27" s="97"/>
      <c r="L27" s="97"/>
      <c r="M27" s="97"/>
      <c r="N27" s="97"/>
      <c r="O27" s="97"/>
      <c r="P27" s="97"/>
      <c r="Q27" s="97"/>
      <c r="R27" s="97"/>
      <c r="S27" s="97"/>
      <c r="T27" s="97"/>
      <c r="U27" s="97"/>
      <c r="V27" s="97"/>
      <c r="W27" s="97"/>
      <c r="X27" s="97"/>
      <c r="Y27" s="97"/>
      <c r="Z27" s="97"/>
      <c r="AH27" s="97"/>
      <c r="AI27" s="97"/>
      <c r="AJ27" s="97"/>
      <c r="AK27" s="97"/>
      <c r="AL27" s="97"/>
      <c r="AM27" s="97"/>
      <c r="AN27" s="97"/>
      <c r="AO27" s="97"/>
      <c r="AP27" s="97"/>
      <c r="AQ27" s="97"/>
      <c r="AR27" s="97"/>
      <c r="AS27" s="97"/>
      <c r="AT27" s="97"/>
      <c r="AU27" s="97"/>
      <c r="AV27" s="97"/>
    </row>
    <row r="28" spans="1:48">
      <c r="A28" s="199" t="s">
        <v>16</v>
      </c>
      <c r="B28" s="283"/>
      <c r="I28" s="165"/>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199" t="s">
        <v>16</v>
      </c>
      <c r="B29" s="286" t="s">
        <v>490</v>
      </c>
      <c r="C29" s="178"/>
      <c r="D29" s="178"/>
      <c r="I29" s="165"/>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199" t="s">
        <v>16</v>
      </c>
      <c r="B30" s="283" t="s">
        <v>487</v>
      </c>
      <c r="D30" s="95" t="s">
        <v>71</v>
      </c>
      <c r="I30" s="165"/>
      <c r="J30" s="234">
        <f>J23</f>
        <v>132.81548999999998</v>
      </c>
      <c r="K30" s="234">
        <f t="shared" ref="K30:O30" si="12">K23</f>
        <v>134.00787499999998</v>
      </c>
      <c r="L30" s="234">
        <f t="shared" si="12"/>
        <v>135.598851</v>
      </c>
      <c r="M30" s="234">
        <f t="shared" si="12"/>
        <v>136.99421599999999</v>
      </c>
      <c r="N30" s="234">
        <f t="shared" si="12"/>
        <v>138.328236</v>
      </c>
      <c r="O30" s="234">
        <f t="shared" si="12"/>
        <v>139.0913265289752</v>
      </c>
      <c r="P30" s="97">
        <f>P25*$O$23</f>
        <v>137.70041326368545</v>
      </c>
      <c r="Q30" s="97">
        <f t="shared" ref="Q30:AV30" si="13">Q25*$O$23</f>
        <v>136.30949999839569</v>
      </c>
      <c r="R30" s="97">
        <f t="shared" si="13"/>
        <v>134.91858673310594</v>
      </c>
      <c r="S30" s="97">
        <f t="shared" si="13"/>
        <v>133.52767346781619</v>
      </c>
      <c r="T30" s="97">
        <f t="shared" si="13"/>
        <v>132.13676020252643</v>
      </c>
      <c r="U30" s="97">
        <f t="shared" si="13"/>
        <v>130.74584693723668</v>
      </c>
      <c r="V30" s="97">
        <f t="shared" si="13"/>
        <v>129.35493367194692</v>
      </c>
      <c r="W30" s="97">
        <f t="shared" si="13"/>
        <v>127.96402040665717</v>
      </c>
      <c r="X30" s="97">
        <f t="shared" si="13"/>
        <v>126.57310714136742</v>
      </c>
      <c r="Y30" s="97">
        <f t="shared" si="13"/>
        <v>125.18219387607768</v>
      </c>
      <c r="Z30" s="97">
        <f t="shared" si="13"/>
        <v>123.79128061078792</v>
      </c>
      <c r="AA30" s="97">
        <f t="shared" si="13"/>
        <v>122.40036734549817</v>
      </c>
      <c r="AB30" s="97">
        <f t="shared" si="13"/>
        <v>121.00945408020841</v>
      </c>
      <c r="AC30" s="97">
        <f t="shared" si="13"/>
        <v>119.61854081491866</v>
      </c>
      <c r="AD30" s="97">
        <f t="shared" si="13"/>
        <v>118.22762754962891</v>
      </c>
      <c r="AE30" s="97">
        <f t="shared" si="13"/>
        <v>116.83671428433915</v>
      </c>
      <c r="AF30" s="97">
        <f t="shared" si="13"/>
        <v>115.4458010190494</v>
      </c>
      <c r="AG30" s="97">
        <f t="shared" si="13"/>
        <v>114.05488775375964</v>
      </c>
      <c r="AH30" s="97">
        <f t="shared" si="13"/>
        <v>112.66397448846989</v>
      </c>
      <c r="AI30" s="97">
        <f t="shared" si="13"/>
        <v>111.27306122318014</v>
      </c>
      <c r="AJ30" s="97">
        <f t="shared" si="13"/>
        <v>109.88214795789038</v>
      </c>
      <c r="AK30" s="97">
        <f t="shared" si="13"/>
        <v>108.49123469260063</v>
      </c>
      <c r="AL30" s="97">
        <f t="shared" si="13"/>
        <v>107.10032142731087</v>
      </c>
      <c r="AM30" s="97">
        <f t="shared" si="13"/>
        <v>105.70940816202112</v>
      </c>
      <c r="AN30" s="97">
        <f t="shared" si="13"/>
        <v>104.31849489673137</v>
      </c>
      <c r="AO30" s="97">
        <f t="shared" si="13"/>
        <v>102.92758163144161</v>
      </c>
      <c r="AP30" s="97">
        <f t="shared" si="13"/>
        <v>101.53666836615186</v>
      </c>
      <c r="AQ30" s="97">
        <f t="shared" si="13"/>
        <v>100.1457551008621</v>
      </c>
      <c r="AR30" s="97">
        <f t="shared" si="13"/>
        <v>98.754841835572364</v>
      </c>
      <c r="AS30" s="97">
        <f t="shared" si="13"/>
        <v>97.36392857028261</v>
      </c>
      <c r="AT30" s="97">
        <f t="shared" si="13"/>
        <v>95.973015304992856</v>
      </c>
      <c r="AU30" s="97">
        <f t="shared" si="13"/>
        <v>94.582102039703102</v>
      </c>
      <c r="AV30" s="97">
        <f t="shared" si="13"/>
        <v>93.191188774413348</v>
      </c>
    </row>
    <row r="31" spans="1:48">
      <c r="A31" s="199" t="s">
        <v>16</v>
      </c>
      <c r="B31" s="283" t="s">
        <v>488</v>
      </c>
      <c r="D31" s="95" t="s">
        <v>71</v>
      </c>
      <c r="I31" s="165"/>
      <c r="J31" s="97">
        <f>J23-J30</f>
        <v>0</v>
      </c>
      <c r="K31" s="97">
        <f t="shared" ref="K31:AV31" si="14">K23-K30</f>
        <v>0</v>
      </c>
      <c r="L31" s="97">
        <f t="shared" si="14"/>
        <v>0</v>
      </c>
      <c r="M31" s="97">
        <f t="shared" si="14"/>
        <v>0</v>
      </c>
      <c r="N31" s="97">
        <f t="shared" si="14"/>
        <v>0</v>
      </c>
      <c r="O31" s="97">
        <f t="shared" si="14"/>
        <v>0</v>
      </c>
      <c r="P31" s="97">
        <f t="shared" si="14"/>
        <v>2.2875787181646956</v>
      </c>
      <c r="Q31" s="97">
        <f t="shared" si="14"/>
        <v>4.7306690569456293</v>
      </c>
      <c r="R31" s="97">
        <f t="shared" si="14"/>
        <v>6.1215823222353833</v>
      </c>
      <c r="S31" s="97">
        <f t="shared" si="14"/>
        <v>10.09877459754108</v>
      </c>
      <c r="T31" s="97">
        <f t="shared" si="14"/>
        <v>13.787067396730095</v>
      </c>
      <c r="U31" s="97">
        <f t="shared" si="14"/>
        <v>17.617448961039401</v>
      </c>
      <c r="V31" s="97">
        <f t="shared" si="14"/>
        <v>21.76568227329156</v>
      </c>
      <c r="W31" s="97">
        <f t="shared" si="14"/>
        <v>26.103044452425593</v>
      </c>
      <c r="X31" s="97">
        <f t="shared" si="14"/>
        <v>30.722976045172317</v>
      </c>
      <c r="Y31" s="97">
        <f t="shared" si="14"/>
        <v>35.521831281738244</v>
      </c>
      <c r="Z31" s="97">
        <f t="shared" si="14"/>
        <v>40.515695822368158</v>
      </c>
      <c r="AA31" s="97">
        <f t="shared" si="14"/>
        <v>45.874195329846557</v>
      </c>
      <c r="AB31" s="97">
        <f t="shared" si="14"/>
        <v>51.372745316368437</v>
      </c>
      <c r="AC31" s="97">
        <f t="shared" si="14"/>
        <v>56.858163751559246</v>
      </c>
      <c r="AD31" s="97">
        <f t="shared" si="14"/>
        <v>62.505044048563164</v>
      </c>
      <c r="AE31" s="97">
        <f t="shared" si="14"/>
        <v>68.273492160093994</v>
      </c>
      <c r="AF31" s="97">
        <f t="shared" si="14"/>
        <v>74.177770190395634</v>
      </c>
      <c r="AG31" s="97">
        <f t="shared" si="14"/>
        <v>79.942438683192208</v>
      </c>
      <c r="AH31" s="97">
        <f t="shared" si="14"/>
        <v>85.783148963723576</v>
      </c>
      <c r="AI31" s="97">
        <f t="shared" si="14"/>
        <v>92.0035361972527</v>
      </c>
      <c r="AJ31" s="97">
        <f t="shared" si="14"/>
        <v>98.431961081738692</v>
      </c>
      <c r="AK31" s="97">
        <f t="shared" si="14"/>
        <v>105.02065677631661</v>
      </c>
      <c r="AL31" s="97">
        <f t="shared" si="14"/>
        <v>111.70995058551996</v>
      </c>
      <c r="AM31" s="97">
        <f t="shared" si="14"/>
        <v>119.16718037901718</v>
      </c>
      <c r="AN31" s="97">
        <f t="shared" si="14"/>
        <v>126.42554326333719</v>
      </c>
      <c r="AO31" s="97">
        <f t="shared" si="14"/>
        <v>133.50225316448399</v>
      </c>
      <c r="AP31" s="97">
        <f t="shared" si="14"/>
        <v>140.41220576195332</v>
      </c>
      <c r="AQ31" s="97">
        <f t="shared" si="14"/>
        <v>147.16839106859334</v>
      </c>
      <c r="AR31" s="97">
        <f t="shared" si="14"/>
        <v>155.16081963212912</v>
      </c>
      <c r="AS31" s="97">
        <f t="shared" si="14"/>
        <v>162.94442894521944</v>
      </c>
      <c r="AT31" s="97">
        <f t="shared" si="14"/>
        <v>170.5366943379361</v>
      </c>
      <c r="AU31" s="97">
        <f t="shared" si="14"/>
        <v>177.95281183454989</v>
      </c>
      <c r="AV31" s="97">
        <f t="shared" si="14"/>
        <v>185.83635170654227</v>
      </c>
    </row>
    <row r="32" spans="1:48">
      <c r="A32" s="199" t="s">
        <v>16</v>
      </c>
      <c r="B32" s="283"/>
      <c r="I32" s="165"/>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199" t="s">
        <v>16</v>
      </c>
      <c r="B33" s="286" t="s">
        <v>495</v>
      </c>
      <c r="C33" s="178"/>
      <c r="D33" s="178"/>
      <c r="I33" s="165"/>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199" t="s">
        <v>16</v>
      </c>
      <c r="B34" s="283" t="s">
        <v>489</v>
      </c>
      <c r="D34" s="95" t="s">
        <v>71</v>
      </c>
      <c r="I34" s="165"/>
      <c r="J34" s="97">
        <f>SUM(J30:J31)*$C$27</f>
        <v>26.563097999999997</v>
      </c>
      <c r="K34" s="97">
        <f t="shared" ref="K34:AV34" si="15">SUM(K30:K31)*$C$27</f>
        <v>26.801575</v>
      </c>
      <c r="L34" s="97">
        <f t="shared" si="15"/>
        <v>27.119770200000001</v>
      </c>
      <c r="M34" s="97">
        <f t="shared" si="15"/>
        <v>27.398843200000002</v>
      </c>
      <c r="N34" s="97">
        <f t="shared" si="15"/>
        <v>27.665647200000002</v>
      </c>
      <c r="O34" s="97">
        <f t="shared" si="15"/>
        <v>27.818265305795041</v>
      </c>
      <c r="P34" s="237">
        <f t="shared" si="15"/>
        <v>27.99759839637003</v>
      </c>
      <c r="Q34" s="97">
        <f t="shared" si="15"/>
        <v>28.208033811068265</v>
      </c>
      <c r="R34" s="97">
        <f t="shared" si="15"/>
        <v>28.208033811068265</v>
      </c>
      <c r="S34" s="97">
        <f t="shared" si="15"/>
        <v>28.725289613071453</v>
      </c>
      <c r="T34" s="97">
        <f t="shared" si="15"/>
        <v>29.184765519851307</v>
      </c>
      <c r="U34" s="97">
        <f t="shared" si="15"/>
        <v>29.672659179655216</v>
      </c>
      <c r="V34" s="97">
        <f t="shared" si="15"/>
        <v>30.224123189047699</v>
      </c>
      <c r="W34" s="97">
        <f t="shared" si="15"/>
        <v>30.813412971816554</v>
      </c>
      <c r="X34" s="97">
        <f t="shared" si="15"/>
        <v>31.459216637307946</v>
      </c>
      <c r="Y34" s="97">
        <f t="shared" si="15"/>
        <v>32.140805031563183</v>
      </c>
      <c r="Z34" s="97">
        <f t="shared" si="15"/>
        <v>32.861395286631215</v>
      </c>
      <c r="AA34" s="97">
        <f t="shared" si="15"/>
        <v>33.654912535068945</v>
      </c>
      <c r="AB34" s="97">
        <f t="shared" si="15"/>
        <v>34.476439879315372</v>
      </c>
      <c r="AC34" s="97">
        <f t="shared" si="15"/>
        <v>35.295340913295583</v>
      </c>
      <c r="AD34" s="97">
        <f t="shared" si="15"/>
        <v>36.146534319638413</v>
      </c>
      <c r="AE34" s="97">
        <f t="shared" si="15"/>
        <v>37.022041288886633</v>
      </c>
      <c r="AF34" s="97">
        <f t="shared" si="15"/>
        <v>37.924714241889006</v>
      </c>
      <c r="AG34" s="97">
        <f t="shared" si="15"/>
        <v>38.799465287390376</v>
      </c>
      <c r="AH34" s="97">
        <f t="shared" si="15"/>
        <v>39.689424690438699</v>
      </c>
      <c r="AI34" s="97">
        <f t="shared" si="15"/>
        <v>40.655319484086569</v>
      </c>
      <c r="AJ34" s="97">
        <f t="shared" si="15"/>
        <v>41.662821807925816</v>
      </c>
      <c r="AK34" s="97">
        <f t="shared" si="15"/>
        <v>42.702378293783454</v>
      </c>
      <c r="AL34" s="97">
        <f t="shared" si="15"/>
        <v>43.762054402566172</v>
      </c>
      <c r="AM34" s="97">
        <f t="shared" si="15"/>
        <v>44.975317708207662</v>
      </c>
      <c r="AN34" s="97">
        <f t="shared" si="15"/>
        <v>46.148807632013714</v>
      </c>
      <c r="AO34" s="97">
        <f t="shared" si="15"/>
        <v>47.285966959185124</v>
      </c>
      <c r="AP34" s="97">
        <f t="shared" si="15"/>
        <v>48.389774825621032</v>
      </c>
      <c r="AQ34" s="97">
        <f t="shared" si="15"/>
        <v>49.462829233891092</v>
      </c>
      <c r="AR34" s="97">
        <f t="shared" si="15"/>
        <v>50.783132293540298</v>
      </c>
      <c r="AS34" s="97">
        <f t="shared" si="15"/>
        <v>52.061671503100413</v>
      </c>
      <c r="AT34" s="97">
        <f t="shared" si="15"/>
        <v>53.301941928585791</v>
      </c>
      <c r="AU34" s="97">
        <f t="shared" si="15"/>
        <v>54.506982774850599</v>
      </c>
      <c r="AV34" s="97">
        <f t="shared" si="15"/>
        <v>55.805508096191126</v>
      </c>
    </row>
    <row r="35" spans="1:48">
      <c r="A35" s="199" t="s">
        <v>16</v>
      </c>
      <c r="B35" s="283" t="s">
        <v>491</v>
      </c>
      <c r="C35" s="283"/>
      <c r="D35" s="95" t="s">
        <v>71</v>
      </c>
      <c r="E35" s="97"/>
      <c r="F35" s="97"/>
      <c r="G35" s="97"/>
      <c r="H35" s="97"/>
      <c r="I35" s="165"/>
      <c r="J35" s="97">
        <f>J30-J34*(J30/SUM(J30:J31))</f>
        <v>106.25239199999999</v>
      </c>
      <c r="K35" s="97">
        <f t="shared" ref="K35:AV35" si="16">K30-K34*(K30/SUM(K30:K31))</f>
        <v>107.20629999999998</v>
      </c>
      <c r="L35" s="97">
        <f t="shared" si="16"/>
        <v>108.47908079999999</v>
      </c>
      <c r="M35" s="97">
        <f t="shared" si="16"/>
        <v>109.59537279999999</v>
      </c>
      <c r="N35" s="97">
        <f t="shared" si="16"/>
        <v>110.66258880000001</v>
      </c>
      <c r="O35" s="97">
        <f t="shared" si="16"/>
        <v>111.27306122318016</v>
      </c>
      <c r="P35" s="237">
        <f t="shared" si="16"/>
        <v>110.16033061094836</v>
      </c>
      <c r="Q35" s="97">
        <f t="shared" si="16"/>
        <v>109.04759999871655</v>
      </c>
      <c r="R35" s="97">
        <f t="shared" si="16"/>
        <v>107.93486938648475</v>
      </c>
      <c r="S35" s="97">
        <f t="shared" si="16"/>
        <v>106.82213877425295</v>
      </c>
      <c r="T35" s="97">
        <f t="shared" si="16"/>
        <v>105.70940816202113</v>
      </c>
      <c r="U35" s="97">
        <f t="shared" si="16"/>
        <v>104.59667754978935</v>
      </c>
      <c r="V35" s="97">
        <f t="shared" si="16"/>
        <v>103.48394693755753</v>
      </c>
      <c r="W35" s="97">
        <f t="shared" si="16"/>
        <v>102.37121632532573</v>
      </c>
      <c r="X35" s="97">
        <f t="shared" si="16"/>
        <v>101.25848571309393</v>
      </c>
      <c r="Y35" s="97">
        <f t="shared" si="16"/>
        <v>100.14575510086215</v>
      </c>
      <c r="Z35" s="97">
        <f t="shared" si="16"/>
        <v>99.033024488630332</v>
      </c>
      <c r="AA35" s="97">
        <f t="shared" si="16"/>
        <v>97.920293876398532</v>
      </c>
      <c r="AB35" s="97">
        <f t="shared" si="16"/>
        <v>96.807563264166731</v>
      </c>
      <c r="AC35" s="97">
        <f t="shared" si="16"/>
        <v>95.694832651934931</v>
      </c>
      <c r="AD35" s="97">
        <f t="shared" si="16"/>
        <v>94.58210203970313</v>
      </c>
      <c r="AE35" s="97">
        <f t="shared" si="16"/>
        <v>93.469371427471316</v>
      </c>
      <c r="AF35" s="97">
        <f t="shared" si="16"/>
        <v>92.356640815239516</v>
      </c>
      <c r="AG35" s="97">
        <f t="shared" si="16"/>
        <v>91.243910203007715</v>
      </c>
      <c r="AH35" s="97">
        <f t="shared" si="16"/>
        <v>90.131179590775901</v>
      </c>
      <c r="AI35" s="97">
        <f t="shared" si="16"/>
        <v>89.018448978544114</v>
      </c>
      <c r="AJ35" s="97">
        <f t="shared" si="16"/>
        <v>87.9057183663123</v>
      </c>
      <c r="AK35" s="97">
        <f t="shared" si="16"/>
        <v>86.792987754080499</v>
      </c>
      <c r="AL35" s="97">
        <f t="shared" si="16"/>
        <v>85.680257141848699</v>
      </c>
      <c r="AM35" s="97">
        <f t="shared" si="16"/>
        <v>84.567526529616899</v>
      </c>
      <c r="AN35" s="97">
        <f t="shared" si="16"/>
        <v>83.454795917385098</v>
      </c>
      <c r="AO35" s="97">
        <f t="shared" si="16"/>
        <v>82.342065305153284</v>
      </c>
      <c r="AP35" s="97">
        <f t="shared" si="16"/>
        <v>81.229334692921483</v>
      </c>
      <c r="AQ35" s="97">
        <f t="shared" si="16"/>
        <v>80.116604080689683</v>
      </c>
      <c r="AR35" s="97">
        <f t="shared" si="16"/>
        <v>79.003873468457897</v>
      </c>
      <c r="AS35" s="97">
        <f t="shared" si="16"/>
        <v>77.891142856226082</v>
      </c>
      <c r="AT35" s="97">
        <f t="shared" si="16"/>
        <v>76.778412243994282</v>
      </c>
      <c r="AU35" s="97">
        <f t="shared" si="16"/>
        <v>75.665681631762482</v>
      </c>
      <c r="AV35" s="97">
        <f t="shared" si="16"/>
        <v>74.552951019530681</v>
      </c>
    </row>
    <row r="36" spans="1:48">
      <c r="A36" s="199" t="s">
        <v>16</v>
      </c>
      <c r="B36" s="283" t="s">
        <v>492</v>
      </c>
      <c r="C36" s="283"/>
      <c r="D36" s="95" t="s">
        <v>71</v>
      </c>
      <c r="E36" s="97"/>
      <c r="F36" s="97"/>
      <c r="G36" s="97"/>
      <c r="H36" s="97"/>
      <c r="I36" s="165"/>
      <c r="J36" s="97">
        <f>J23-J35-J34</f>
        <v>0</v>
      </c>
      <c r="K36" s="97">
        <f t="shared" ref="K36:AV36" si="17">K23-K35-K34</f>
        <v>0</v>
      </c>
      <c r="L36" s="97">
        <f t="shared" si="17"/>
        <v>0</v>
      </c>
      <c r="M36" s="97">
        <f t="shared" si="17"/>
        <v>0</v>
      </c>
      <c r="N36" s="97">
        <f t="shared" si="17"/>
        <v>0</v>
      </c>
      <c r="O36" s="97">
        <f t="shared" si="17"/>
        <v>0</v>
      </c>
      <c r="P36" s="237">
        <f t="shared" si="17"/>
        <v>1.8300629745317494</v>
      </c>
      <c r="Q36" s="97">
        <f t="shared" si="17"/>
        <v>3.7845352455565084</v>
      </c>
      <c r="R36" s="97">
        <f t="shared" si="17"/>
        <v>4.8972658577883088</v>
      </c>
      <c r="S36" s="97">
        <f t="shared" si="17"/>
        <v>8.0790196780328642</v>
      </c>
      <c r="T36" s="97">
        <f t="shared" si="17"/>
        <v>11.029653917384085</v>
      </c>
      <c r="U36" s="97">
        <f t="shared" si="17"/>
        <v>14.093959168831514</v>
      </c>
      <c r="V36" s="97">
        <f t="shared" si="17"/>
        <v>17.412545818633252</v>
      </c>
      <c r="W36" s="97">
        <f t="shared" si="17"/>
        <v>20.882435561940476</v>
      </c>
      <c r="X36" s="97">
        <f t="shared" si="17"/>
        <v>24.578380836137853</v>
      </c>
      <c r="Y36" s="97">
        <f t="shared" si="17"/>
        <v>28.417465025390591</v>
      </c>
      <c r="Z36" s="97">
        <f t="shared" si="17"/>
        <v>32.412556657894534</v>
      </c>
      <c r="AA36" s="97">
        <f t="shared" si="17"/>
        <v>36.699356263877249</v>
      </c>
      <c r="AB36" s="97">
        <f t="shared" si="17"/>
        <v>41.098196253094748</v>
      </c>
      <c r="AC36" s="97">
        <f t="shared" si="17"/>
        <v>45.486531001247393</v>
      </c>
      <c r="AD36" s="97">
        <f t="shared" si="17"/>
        <v>50.004035238850527</v>
      </c>
      <c r="AE36" s="97">
        <f t="shared" si="17"/>
        <v>54.618793728075197</v>
      </c>
      <c r="AF36" s="97">
        <f t="shared" si="17"/>
        <v>59.34221615231651</v>
      </c>
      <c r="AG36" s="97">
        <f t="shared" si="17"/>
        <v>63.953950946553761</v>
      </c>
      <c r="AH36" s="97">
        <f t="shared" si="17"/>
        <v>68.626519170978867</v>
      </c>
      <c r="AI36" s="97">
        <f t="shared" si="17"/>
        <v>73.60282895780216</v>
      </c>
      <c r="AJ36" s="97">
        <f t="shared" si="17"/>
        <v>78.745568865390965</v>
      </c>
      <c r="AK36" s="97">
        <f t="shared" si="17"/>
        <v>84.016525421053288</v>
      </c>
      <c r="AL36" s="97">
        <f t="shared" si="17"/>
        <v>89.367960468415959</v>
      </c>
      <c r="AM36" s="97">
        <f t="shared" si="17"/>
        <v>95.333744303213763</v>
      </c>
      <c r="AN36" s="97">
        <f t="shared" si="17"/>
        <v>101.14043461066974</v>
      </c>
      <c r="AO36" s="97">
        <f t="shared" si="17"/>
        <v>106.80180253158719</v>
      </c>
      <c r="AP36" s="97">
        <f t="shared" si="17"/>
        <v>112.32976460956263</v>
      </c>
      <c r="AQ36" s="97">
        <f t="shared" si="17"/>
        <v>117.73471285487469</v>
      </c>
      <c r="AR36" s="97">
        <f t="shared" si="17"/>
        <v>124.1286557057033</v>
      </c>
      <c r="AS36" s="97">
        <f t="shared" si="17"/>
        <v>130.35554315617554</v>
      </c>
      <c r="AT36" s="97">
        <f t="shared" si="17"/>
        <v>136.42935547034887</v>
      </c>
      <c r="AU36" s="97">
        <f t="shared" si="17"/>
        <v>142.36224946763991</v>
      </c>
      <c r="AV36" s="97">
        <f t="shared" si="17"/>
        <v>148.66908136523384</v>
      </c>
    </row>
    <row r="37" spans="1:48">
      <c r="A37" s="199" t="s">
        <v>16</v>
      </c>
      <c r="B37" s="283"/>
      <c r="C37" s="283"/>
      <c r="E37" s="97"/>
      <c r="F37" s="97"/>
      <c r="G37" s="97"/>
      <c r="H37" s="97"/>
      <c r="I37" s="165"/>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199" t="s">
        <v>16</v>
      </c>
      <c r="E38" s="97"/>
      <c r="F38" s="97"/>
      <c r="G38" s="97"/>
      <c r="H38" s="97"/>
      <c r="I38" s="165"/>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199" t="s">
        <v>16</v>
      </c>
      <c r="B39" s="287" t="s">
        <v>493</v>
      </c>
      <c r="C39" s="283"/>
      <c r="E39" s="97"/>
      <c r="F39" s="97"/>
      <c r="G39" s="97"/>
      <c r="H39" s="97"/>
      <c r="I39" s="165"/>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199" t="s">
        <v>16</v>
      </c>
      <c r="B40" s="288" t="s">
        <v>499</v>
      </c>
      <c r="C40" s="283"/>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199" t="s">
        <v>16</v>
      </c>
      <c r="B41" s="98" t="s">
        <v>234</v>
      </c>
      <c r="C41" s="98"/>
      <c r="D41" s="99" t="s">
        <v>235</v>
      </c>
      <c r="E41" s="108"/>
      <c r="F41" s="108"/>
      <c r="G41" s="108"/>
      <c r="H41" s="108"/>
      <c r="I41" s="108"/>
      <c r="J41" s="109">
        <v>0</v>
      </c>
      <c r="K41" s="108">
        <f t="shared" ref="K41:AV41" si="18">K36-J36</f>
        <v>0</v>
      </c>
      <c r="L41" s="108">
        <f t="shared" si="18"/>
        <v>0</v>
      </c>
      <c r="M41" s="108">
        <f t="shared" si="18"/>
        <v>0</v>
      </c>
      <c r="N41" s="108">
        <f t="shared" si="18"/>
        <v>0</v>
      </c>
      <c r="O41" s="108">
        <f t="shared" si="18"/>
        <v>0</v>
      </c>
      <c r="P41" s="108">
        <f t="shared" si="18"/>
        <v>1.8300629745317494</v>
      </c>
      <c r="Q41" s="108">
        <f t="shared" si="18"/>
        <v>1.9544722710247591</v>
      </c>
      <c r="R41" s="108">
        <f t="shared" si="18"/>
        <v>1.1127306122318004</v>
      </c>
      <c r="S41" s="108">
        <f t="shared" si="18"/>
        <v>3.1817538202445554</v>
      </c>
      <c r="T41" s="108">
        <f t="shared" si="18"/>
        <v>2.9506342393512206</v>
      </c>
      <c r="U41" s="108">
        <f t="shared" si="18"/>
        <v>3.0643052514474292</v>
      </c>
      <c r="V41" s="108">
        <f t="shared" si="18"/>
        <v>3.3185866498017376</v>
      </c>
      <c r="W41" s="108">
        <f t="shared" si="18"/>
        <v>3.469889743307224</v>
      </c>
      <c r="X41" s="108">
        <f t="shared" si="18"/>
        <v>3.6959452741973777</v>
      </c>
      <c r="Y41" s="108">
        <f t="shared" si="18"/>
        <v>3.8390841892527376</v>
      </c>
      <c r="Z41" s="108">
        <f t="shared" si="18"/>
        <v>3.9950916325039429</v>
      </c>
      <c r="AA41" s="108">
        <f t="shared" si="18"/>
        <v>4.2867996059827149</v>
      </c>
      <c r="AB41" s="108">
        <f t="shared" si="18"/>
        <v>4.3988399892174996</v>
      </c>
      <c r="AC41" s="108">
        <f t="shared" si="18"/>
        <v>4.3883347481526442</v>
      </c>
      <c r="AD41" s="108">
        <f t="shared" si="18"/>
        <v>4.5175042376031342</v>
      </c>
      <c r="AE41" s="108">
        <f t="shared" si="18"/>
        <v>4.6147584892246698</v>
      </c>
      <c r="AF41" s="108">
        <f t="shared" si="18"/>
        <v>4.7234224242413134</v>
      </c>
      <c r="AG41" s="108">
        <f t="shared" si="18"/>
        <v>4.6117347942372504</v>
      </c>
      <c r="AH41" s="108">
        <f t="shared" si="18"/>
        <v>4.6725682244251061</v>
      </c>
      <c r="AI41" s="108">
        <f t="shared" si="18"/>
        <v>4.9763097868232933</v>
      </c>
      <c r="AJ41" s="108">
        <f t="shared" si="18"/>
        <v>5.1427399075888047</v>
      </c>
      <c r="AK41" s="108">
        <f t="shared" si="18"/>
        <v>5.2709565556623232</v>
      </c>
      <c r="AL41" s="108">
        <f t="shared" si="18"/>
        <v>5.3514350473626706</v>
      </c>
      <c r="AM41" s="108">
        <f t="shared" si="18"/>
        <v>5.9657838347978043</v>
      </c>
      <c r="AN41" s="108">
        <f t="shared" si="18"/>
        <v>5.8066903074559804</v>
      </c>
      <c r="AO41" s="108">
        <f t="shared" si="18"/>
        <v>5.6613679209174421</v>
      </c>
      <c r="AP41" s="108">
        <f t="shared" si="18"/>
        <v>5.5279620779754453</v>
      </c>
      <c r="AQ41" s="108">
        <f t="shared" si="18"/>
        <v>5.4049482453120561</v>
      </c>
      <c r="AR41" s="108">
        <f t="shared" si="18"/>
        <v>6.3939428508286085</v>
      </c>
      <c r="AS41" s="108">
        <f t="shared" si="18"/>
        <v>6.2268874504722476</v>
      </c>
      <c r="AT41" s="108">
        <f t="shared" si="18"/>
        <v>6.073812314173324</v>
      </c>
      <c r="AU41" s="108">
        <f t="shared" si="18"/>
        <v>5.9328939972910462</v>
      </c>
      <c r="AV41" s="108">
        <f t="shared" si="18"/>
        <v>6.3068318975939235</v>
      </c>
    </row>
    <row r="42" spans="1:48">
      <c r="A42" s="199" t="s">
        <v>16</v>
      </c>
      <c r="B42" s="283" t="s">
        <v>236</v>
      </c>
      <c r="C42" s="283"/>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199" t="s">
        <v>16</v>
      </c>
      <c r="B43" s="288" t="str">
        <f>C14</f>
        <v>A</v>
      </c>
      <c r="C43" s="283"/>
      <c r="E43" s="97"/>
      <c r="F43" s="97"/>
      <c r="G43" s="97"/>
      <c r="H43" s="97"/>
      <c r="I43" s="179"/>
      <c r="J43" s="97">
        <f t="shared" ref="J43:S46" si="19">SUM($J$41:$AV$41*(J$4=$J$4:$AV$4)*($B43=$J$11:$AV$11))</f>
        <v>0</v>
      </c>
      <c r="K43" s="97">
        <f t="shared" si="19"/>
        <v>0</v>
      </c>
      <c r="L43" s="97">
        <f t="shared" si="19"/>
        <v>0</v>
      </c>
      <c r="M43" s="97">
        <f t="shared" si="19"/>
        <v>0</v>
      </c>
      <c r="N43" s="97">
        <f t="shared" si="19"/>
        <v>0</v>
      </c>
      <c r="O43" s="97">
        <f t="shared" si="19"/>
        <v>0</v>
      </c>
      <c r="P43" s="97">
        <f t="shared" si="19"/>
        <v>0</v>
      </c>
      <c r="Q43" s="97">
        <f t="shared" si="19"/>
        <v>0</v>
      </c>
      <c r="R43" s="97">
        <f t="shared" si="19"/>
        <v>0</v>
      </c>
      <c r="S43" s="97">
        <f t="shared" si="19"/>
        <v>0</v>
      </c>
      <c r="T43" s="97">
        <f t="shared" ref="T43:AI46" si="20">SUM($J$41:$AV$41*(T$4=$J$4:$AV$4)*($B43=$J$11:$AV$11))</f>
        <v>0</v>
      </c>
      <c r="U43" s="97">
        <f t="shared" si="20"/>
        <v>0</v>
      </c>
      <c r="V43" s="97">
        <f t="shared" si="20"/>
        <v>0</v>
      </c>
      <c r="W43" s="97">
        <f t="shared" si="20"/>
        <v>0</v>
      </c>
      <c r="X43" s="97">
        <f t="shared" si="20"/>
        <v>0</v>
      </c>
      <c r="Y43" s="97">
        <f t="shared" si="20"/>
        <v>0</v>
      </c>
      <c r="Z43" s="97">
        <f t="shared" si="20"/>
        <v>0</v>
      </c>
      <c r="AA43" s="97">
        <f t="shared" si="20"/>
        <v>0</v>
      </c>
      <c r="AB43" s="97">
        <f t="shared" si="20"/>
        <v>0</v>
      </c>
      <c r="AC43" s="97">
        <f t="shared" si="20"/>
        <v>0</v>
      </c>
      <c r="AD43" s="97">
        <f t="shared" si="20"/>
        <v>0</v>
      </c>
      <c r="AE43" s="97">
        <f t="shared" si="20"/>
        <v>0</v>
      </c>
      <c r="AF43" s="97">
        <f t="shared" si="20"/>
        <v>0</v>
      </c>
      <c r="AG43" s="97">
        <f t="shared" si="20"/>
        <v>0</v>
      </c>
      <c r="AH43" s="97">
        <f t="shared" si="20"/>
        <v>0</v>
      </c>
      <c r="AI43" s="97">
        <f t="shared" si="20"/>
        <v>0</v>
      </c>
      <c r="AJ43" s="97">
        <f t="shared" ref="AJ43:AV46" si="21">SUM($J$41:$AV$41*(AJ$4=$J$4:$AV$4)*($B43=$J$11:$AV$11))</f>
        <v>0</v>
      </c>
      <c r="AK43" s="97">
        <f t="shared" si="21"/>
        <v>0</v>
      </c>
      <c r="AL43" s="97">
        <f t="shared" si="21"/>
        <v>0</v>
      </c>
      <c r="AM43" s="97">
        <f t="shared" si="21"/>
        <v>0</v>
      </c>
      <c r="AN43" s="97">
        <f t="shared" si="21"/>
        <v>0</v>
      </c>
      <c r="AO43" s="97">
        <f t="shared" si="21"/>
        <v>0</v>
      </c>
      <c r="AP43" s="97">
        <f t="shared" si="21"/>
        <v>0</v>
      </c>
      <c r="AQ43" s="97">
        <f t="shared" si="21"/>
        <v>0</v>
      </c>
      <c r="AR43" s="97">
        <f t="shared" si="21"/>
        <v>0</v>
      </c>
      <c r="AS43" s="97">
        <f t="shared" si="21"/>
        <v>0</v>
      </c>
      <c r="AT43" s="97">
        <f t="shared" si="21"/>
        <v>0</v>
      </c>
      <c r="AU43" s="97">
        <f t="shared" si="21"/>
        <v>0</v>
      </c>
      <c r="AV43" s="97">
        <f t="shared" si="21"/>
        <v>0</v>
      </c>
    </row>
    <row r="44" spans="1:48">
      <c r="A44" s="199" t="s">
        <v>16</v>
      </c>
      <c r="B44" s="288" t="str">
        <f>C15</f>
        <v>B</v>
      </c>
      <c r="C44" s="283"/>
      <c r="E44" s="97"/>
      <c r="F44" s="97"/>
      <c r="G44" s="97"/>
      <c r="H44" s="97"/>
      <c r="I44" s="179"/>
      <c r="J44" s="97">
        <f t="shared" si="19"/>
        <v>0</v>
      </c>
      <c r="K44" s="97">
        <f t="shared" si="19"/>
        <v>0</v>
      </c>
      <c r="L44" s="97">
        <f t="shared" si="19"/>
        <v>0</v>
      </c>
      <c r="M44" s="97">
        <f t="shared" si="19"/>
        <v>0</v>
      </c>
      <c r="N44" s="97">
        <f t="shared" si="19"/>
        <v>0</v>
      </c>
      <c r="O44" s="97">
        <f t="shared" si="19"/>
        <v>0</v>
      </c>
      <c r="P44" s="97">
        <f t="shared" si="19"/>
        <v>1.8300629745317494</v>
      </c>
      <c r="Q44" s="97">
        <f t="shared" si="19"/>
        <v>1.9544722710247591</v>
      </c>
      <c r="R44" s="97">
        <f t="shared" si="19"/>
        <v>1.1127306122318004</v>
      </c>
      <c r="S44" s="97">
        <f t="shared" si="19"/>
        <v>3.1817538202445554</v>
      </c>
      <c r="T44" s="97">
        <f t="shared" si="20"/>
        <v>2.9506342393512206</v>
      </c>
      <c r="U44" s="97">
        <f t="shared" si="20"/>
        <v>3.0643052514474292</v>
      </c>
      <c r="V44" s="97">
        <f t="shared" si="20"/>
        <v>3.3185866498017376</v>
      </c>
      <c r="W44" s="97">
        <f t="shared" si="20"/>
        <v>3.469889743307224</v>
      </c>
      <c r="X44" s="97">
        <f t="shared" si="20"/>
        <v>3.6959452741973777</v>
      </c>
      <c r="Y44" s="97">
        <f t="shared" si="20"/>
        <v>3.8390841892527376</v>
      </c>
      <c r="Z44" s="97">
        <f t="shared" si="20"/>
        <v>3.9950916325039429</v>
      </c>
      <c r="AA44" s="97">
        <f t="shared" si="20"/>
        <v>4.2867996059827149</v>
      </c>
      <c r="AB44" s="97">
        <f t="shared" si="20"/>
        <v>4.3988399892174996</v>
      </c>
      <c r="AC44" s="97">
        <f t="shared" si="20"/>
        <v>0</v>
      </c>
      <c r="AD44" s="97">
        <f t="shared" si="20"/>
        <v>0</v>
      </c>
      <c r="AE44" s="97">
        <f t="shared" si="20"/>
        <v>0</v>
      </c>
      <c r="AF44" s="97">
        <f t="shared" si="20"/>
        <v>0</v>
      </c>
      <c r="AG44" s="97">
        <f t="shared" si="20"/>
        <v>0</v>
      </c>
      <c r="AH44" s="97">
        <f t="shared" si="20"/>
        <v>0</v>
      </c>
      <c r="AI44" s="97">
        <f t="shared" si="20"/>
        <v>0</v>
      </c>
      <c r="AJ44" s="97">
        <f t="shared" si="21"/>
        <v>0</v>
      </c>
      <c r="AK44" s="97">
        <f t="shared" si="21"/>
        <v>0</v>
      </c>
      <c r="AL44" s="97">
        <f t="shared" si="21"/>
        <v>0</v>
      </c>
      <c r="AM44" s="97">
        <f t="shared" si="21"/>
        <v>0</v>
      </c>
      <c r="AN44" s="97">
        <f t="shared" si="21"/>
        <v>0</v>
      </c>
      <c r="AO44" s="97">
        <f t="shared" si="21"/>
        <v>0</v>
      </c>
      <c r="AP44" s="97">
        <f t="shared" si="21"/>
        <v>0</v>
      </c>
      <c r="AQ44" s="97">
        <f t="shared" si="21"/>
        <v>0</v>
      </c>
      <c r="AR44" s="97">
        <f t="shared" si="21"/>
        <v>0</v>
      </c>
      <c r="AS44" s="97">
        <f t="shared" si="21"/>
        <v>0</v>
      </c>
      <c r="AT44" s="97">
        <f t="shared" si="21"/>
        <v>0</v>
      </c>
      <c r="AU44" s="97">
        <f t="shared" si="21"/>
        <v>0</v>
      </c>
      <c r="AV44" s="97">
        <f t="shared" si="21"/>
        <v>0</v>
      </c>
    </row>
    <row r="45" spans="1:48">
      <c r="A45" s="199" t="s">
        <v>16</v>
      </c>
      <c r="B45" s="288" t="str">
        <f>C16</f>
        <v>C</v>
      </c>
      <c r="C45" s="283"/>
      <c r="E45" s="97"/>
      <c r="F45" s="97"/>
      <c r="G45" s="97"/>
      <c r="H45" s="97"/>
      <c r="I45" s="179"/>
      <c r="J45" s="97">
        <f t="shared" si="19"/>
        <v>0</v>
      </c>
      <c r="K45" s="97">
        <f t="shared" si="19"/>
        <v>0</v>
      </c>
      <c r="L45" s="97">
        <f t="shared" si="19"/>
        <v>0</v>
      </c>
      <c r="M45" s="97">
        <f t="shared" si="19"/>
        <v>0</v>
      </c>
      <c r="N45" s="97">
        <f t="shared" si="19"/>
        <v>0</v>
      </c>
      <c r="O45" s="97">
        <f t="shared" si="19"/>
        <v>0</v>
      </c>
      <c r="P45" s="97">
        <f t="shared" si="19"/>
        <v>0</v>
      </c>
      <c r="Q45" s="97">
        <f t="shared" si="19"/>
        <v>0</v>
      </c>
      <c r="R45" s="97">
        <f t="shared" si="19"/>
        <v>0</v>
      </c>
      <c r="S45" s="97">
        <f t="shared" si="19"/>
        <v>0</v>
      </c>
      <c r="T45" s="97">
        <f t="shared" si="20"/>
        <v>0</v>
      </c>
      <c r="U45" s="97">
        <f t="shared" si="20"/>
        <v>0</v>
      </c>
      <c r="V45" s="97">
        <f t="shared" si="20"/>
        <v>0</v>
      </c>
      <c r="W45" s="97">
        <f t="shared" si="20"/>
        <v>0</v>
      </c>
      <c r="X45" s="97">
        <f t="shared" si="20"/>
        <v>0</v>
      </c>
      <c r="Y45" s="97">
        <f t="shared" si="20"/>
        <v>0</v>
      </c>
      <c r="Z45" s="97">
        <f t="shared" si="20"/>
        <v>0</v>
      </c>
      <c r="AA45" s="97">
        <f t="shared" si="20"/>
        <v>0</v>
      </c>
      <c r="AB45" s="97">
        <f t="shared" si="20"/>
        <v>0</v>
      </c>
      <c r="AC45" s="97">
        <f t="shared" si="20"/>
        <v>4.3883347481526442</v>
      </c>
      <c r="AD45" s="97">
        <f t="shared" si="20"/>
        <v>4.5175042376031342</v>
      </c>
      <c r="AE45" s="97">
        <f t="shared" si="20"/>
        <v>4.6147584892246698</v>
      </c>
      <c r="AF45" s="97">
        <f t="shared" si="20"/>
        <v>4.7234224242413134</v>
      </c>
      <c r="AG45" s="97">
        <f t="shared" si="20"/>
        <v>4.6117347942372504</v>
      </c>
      <c r="AH45" s="97">
        <f t="shared" si="20"/>
        <v>4.6725682244251061</v>
      </c>
      <c r="AI45" s="97">
        <f t="shared" si="20"/>
        <v>4.9763097868232933</v>
      </c>
      <c r="AJ45" s="97">
        <f t="shared" si="21"/>
        <v>5.1427399075888047</v>
      </c>
      <c r="AK45" s="97">
        <f t="shared" si="21"/>
        <v>5.2709565556623232</v>
      </c>
      <c r="AL45" s="97">
        <f t="shared" si="21"/>
        <v>5.3514350473626706</v>
      </c>
      <c r="AM45" s="97">
        <f t="shared" si="21"/>
        <v>0</v>
      </c>
      <c r="AN45" s="97">
        <f t="shared" si="21"/>
        <v>0</v>
      </c>
      <c r="AO45" s="97">
        <f t="shared" si="21"/>
        <v>0</v>
      </c>
      <c r="AP45" s="97">
        <f t="shared" si="21"/>
        <v>0</v>
      </c>
      <c r="AQ45" s="97">
        <f t="shared" si="21"/>
        <v>0</v>
      </c>
      <c r="AR45" s="97">
        <f t="shared" si="21"/>
        <v>0</v>
      </c>
      <c r="AS45" s="97">
        <f t="shared" si="21"/>
        <v>0</v>
      </c>
      <c r="AT45" s="97">
        <f t="shared" si="21"/>
        <v>0</v>
      </c>
      <c r="AU45" s="97">
        <f t="shared" si="21"/>
        <v>0</v>
      </c>
      <c r="AV45" s="97">
        <f t="shared" si="21"/>
        <v>0</v>
      </c>
    </row>
    <row r="46" spans="1:48">
      <c r="A46" s="199" t="s">
        <v>16</v>
      </c>
      <c r="B46" s="288" t="str">
        <f>C17</f>
        <v>D</v>
      </c>
      <c r="C46" s="283"/>
      <c r="E46" s="97"/>
      <c r="F46" s="97"/>
      <c r="G46" s="97"/>
      <c r="H46" s="97"/>
      <c r="I46" s="179"/>
      <c r="J46" s="97">
        <f t="shared" si="19"/>
        <v>0</v>
      </c>
      <c r="K46" s="97">
        <f t="shared" si="19"/>
        <v>0</v>
      </c>
      <c r="L46" s="97">
        <f t="shared" si="19"/>
        <v>0</v>
      </c>
      <c r="M46" s="97">
        <f t="shared" si="19"/>
        <v>0</v>
      </c>
      <c r="N46" s="97">
        <f t="shared" si="19"/>
        <v>0</v>
      </c>
      <c r="O46" s="97">
        <f t="shared" si="19"/>
        <v>0</v>
      </c>
      <c r="P46" s="97">
        <f t="shared" si="19"/>
        <v>0</v>
      </c>
      <c r="Q46" s="97">
        <f t="shared" si="19"/>
        <v>0</v>
      </c>
      <c r="R46" s="97">
        <f t="shared" si="19"/>
        <v>0</v>
      </c>
      <c r="S46" s="97">
        <f t="shared" si="19"/>
        <v>0</v>
      </c>
      <c r="T46" s="97">
        <f t="shared" si="20"/>
        <v>0</v>
      </c>
      <c r="U46" s="97">
        <f t="shared" si="20"/>
        <v>0</v>
      </c>
      <c r="V46" s="97">
        <f t="shared" si="20"/>
        <v>0</v>
      </c>
      <c r="W46" s="97">
        <f t="shared" si="20"/>
        <v>0</v>
      </c>
      <c r="X46" s="97">
        <f t="shared" si="20"/>
        <v>0</v>
      </c>
      <c r="Y46" s="97">
        <f t="shared" si="20"/>
        <v>0</v>
      </c>
      <c r="Z46" s="97">
        <f t="shared" si="20"/>
        <v>0</v>
      </c>
      <c r="AA46" s="97">
        <f t="shared" si="20"/>
        <v>0</v>
      </c>
      <c r="AB46" s="97">
        <f t="shared" si="20"/>
        <v>0</v>
      </c>
      <c r="AC46" s="97">
        <f t="shared" si="20"/>
        <v>0</v>
      </c>
      <c r="AD46" s="97">
        <f t="shared" si="20"/>
        <v>0</v>
      </c>
      <c r="AE46" s="97">
        <f t="shared" si="20"/>
        <v>0</v>
      </c>
      <c r="AF46" s="97">
        <f t="shared" si="20"/>
        <v>0</v>
      </c>
      <c r="AG46" s="97">
        <f t="shared" si="20"/>
        <v>0</v>
      </c>
      <c r="AH46" s="97">
        <f t="shared" si="20"/>
        <v>0</v>
      </c>
      <c r="AI46" s="97">
        <f t="shared" si="20"/>
        <v>0</v>
      </c>
      <c r="AJ46" s="97">
        <f t="shared" si="21"/>
        <v>0</v>
      </c>
      <c r="AK46" s="97">
        <f t="shared" si="21"/>
        <v>0</v>
      </c>
      <c r="AL46" s="97">
        <f t="shared" si="21"/>
        <v>0</v>
      </c>
      <c r="AM46" s="97">
        <f t="shared" si="21"/>
        <v>5.9657838347978043</v>
      </c>
      <c r="AN46" s="97">
        <f t="shared" si="21"/>
        <v>5.8066903074559804</v>
      </c>
      <c r="AO46" s="97">
        <f t="shared" si="21"/>
        <v>5.6613679209174421</v>
      </c>
      <c r="AP46" s="97">
        <f t="shared" si="21"/>
        <v>5.5279620779754453</v>
      </c>
      <c r="AQ46" s="97">
        <f t="shared" si="21"/>
        <v>5.4049482453120561</v>
      </c>
      <c r="AR46" s="97">
        <f t="shared" si="21"/>
        <v>6.3939428508286085</v>
      </c>
      <c r="AS46" s="97">
        <f t="shared" si="21"/>
        <v>6.2268874504722476</v>
      </c>
      <c r="AT46" s="97">
        <f t="shared" si="21"/>
        <v>6.073812314173324</v>
      </c>
      <c r="AU46" s="97">
        <f t="shared" si="21"/>
        <v>5.9328939972910462</v>
      </c>
      <c r="AV46" s="97">
        <f t="shared" si="21"/>
        <v>6.3068318975939235</v>
      </c>
    </row>
    <row r="47" spans="1:48">
      <c r="A47" s="199" t="s">
        <v>16</v>
      </c>
      <c r="B47" s="283"/>
      <c r="C47" s="283"/>
      <c r="E47" s="97"/>
      <c r="F47" s="97"/>
      <c r="G47" s="97"/>
      <c r="H47" s="97"/>
      <c r="I47" s="179"/>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row>
    <row r="48" spans="1:48">
      <c r="A48" s="199" t="s">
        <v>16</v>
      </c>
      <c r="B48" s="288" t="s">
        <v>237</v>
      </c>
      <c r="C48" s="283"/>
      <c r="E48" s="97"/>
      <c r="F48" s="97"/>
      <c r="G48" s="97"/>
      <c r="H48" s="97"/>
      <c r="I48" s="179"/>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row>
    <row r="49" spans="1:48">
      <c r="A49" s="199" t="s">
        <v>16</v>
      </c>
      <c r="B49" s="288" t="str">
        <f>B43</f>
        <v>A</v>
      </c>
      <c r="C49" s="283"/>
      <c r="E49" s="97"/>
      <c r="F49" s="97"/>
      <c r="G49" s="97"/>
      <c r="H49" s="97"/>
      <c r="I49" s="179" t="str">
        <f>B43</f>
        <v>A</v>
      </c>
      <c r="J49" s="97">
        <f>J36</f>
        <v>0</v>
      </c>
      <c r="K49" s="97">
        <f t="shared" ref="K49:AV52" si="22">J49+K43</f>
        <v>0</v>
      </c>
      <c r="L49" s="97">
        <f t="shared" si="22"/>
        <v>0</v>
      </c>
      <c r="M49" s="97">
        <f t="shared" si="22"/>
        <v>0</v>
      </c>
      <c r="N49" s="97">
        <f t="shared" si="22"/>
        <v>0</v>
      </c>
      <c r="O49" s="97">
        <f t="shared" si="22"/>
        <v>0</v>
      </c>
      <c r="P49" s="97">
        <f t="shared" si="22"/>
        <v>0</v>
      </c>
      <c r="Q49" s="97">
        <f t="shared" si="22"/>
        <v>0</v>
      </c>
      <c r="R49" s="97">
        <f t="shared" si="22"/>
        <v>0</v>
      </c>
      <c r="S49" s="97">
        <f t="shared" si="22"/>
        <v>0</v>
      </c>
      <c r="T49" s="97">
        <f t="shared" si="22"/>
        <v>0</v>
      </c>
      <c r="U49" s="97">
        <f t="shared" si="22"/>
        <v>0</v>
      </c>
      <c r="V49" s="97">
        <f t="shared" si="22"/>
        <v>0</v>
      </c>
      <c r="W49" s="97">
        <f t="shared" si="22"/>
        <v>0</v>
      </c>
      <c r="X49" s="97">
        <f t="shared" si="22"/>
        <v>0</v>
      </c>
      <c r="Y49" s="97">
        <f t="shared" si="22"/>
        <v>0</v>
      </c>
      <c r="Z49" s="97">
        <f t="shared" si="22"/>
        <v>0</v>
      </c>
      <c r="AA49" s="97">
        <f t="shared" si="22"/>
        <v>0</v>
      </c>
      <c r="AB49" s="97">
        <f t="shared" si="22"/>
        <v>0</v>
      </c>
      <c r="AC49" s="97">
        <f t="shared" si="22"/>
        <v>0</v>
      </c>
      <c r="AD49" s="97">
        <f t="shared" si="22"/>
        <v>0</v>
      </c>
      <c r="AE49" s="97">
        <f t="shared" si="22"/>
        <v>0</v>
      </c>
      <c r="AF49" s="97">
        <f t="shared" si="22"/>
        <v>0</v>
      </c>
      <c r="AG49" s="97">
        <f t="shared" si="22"/>
        <v>0</v>
      </c>
      <c r="AH49" s="97">
        <f t="shared" si="22"/>
        <v>0</v>
      </c>
      <c r="AI49" s="97">
        <f t="shared" si="22"/>
        <v>0</v>
      </c>
      <c r="AJ49" s="97">
        <f t="shared" si="22"/>
        <v>0</v>
      </c>
      <c r="AK49" s="97">
        <f t="shared" si="22"/>
        <v>0</v>
      </c>
      <c r="AL49" s="97">
        <f t="shared" si="22"/>
        <v>0</v>
      </c>
      <c r="AM49" s="97">
        <f t="shared" si="22"/>
        <v>0</v>
      </c>
      <c r="AN49" s="97">
        <f t="shared" si="22"/>
        <v>0</v>
      </c>
      <c r="AO49" s="97">
        <f t="shared" si="22"/>
        <v>0</v>
      </c>
      <c r="AP49" s="97">
        <f t="shared" si="22"/>
        <v>0</v>
      </c>
      <c r="AQ49" s="97">
        <f t="shared" si="22"/>
        <v>0</v>
      </c>
      <c r="AR49" s="97">
        <f t="shared" si="22"/>
        <v>0</v>
      </c>
      <c r="AS49" s="97">
        <f t="shared" si="22"/>
        <v>0</v>
      </c>
      <c r="AT49" s="97">
        <f t="shared" si="22"/>
        <v>0</v>
      </c>
      <c r="AU49" s="97">
        <f t="shared" si="22"/>
        <v>0</v>
      </c>
      <c r="AV49" s="97">
        <f t="shared" si="22"/>
        <v>0</v>
      </c>
    </row>
    <row r="50" spans="1:48">
      <c r="A50" s="199" t="s">
        <v>16</v>
      </c>
      <c r="B50" s="288" t="str">
        <f>B44</f>
        <v>B</v>
      </c>
      <c r="C50" s="283"/>
      <c r="E50" s="97"/>
      <c r="F50" s="97"/>
      <c r="G50" s="97"/>
      <c r="H50" s="97"/>
      <c r="I50" s="179" t="str">
        <f>B44</f>
        <v>B</v>
      </c>
      <c r="J50" s="97">
        <v>0</v>
      </c>
      <c r="K50" s="97">
        <f t="shared" si="22"/>
        <v>0</v>
      </c>
      <c r="L50" s="97">
        <f t="shared" si="22"/>
        <v>0</v>
      </c>
      <c r="M50" s="97">
        <f t="shared" si="22"/>
        <v>0</v>
      </c>
      <c r="N50" s="97">
        <f t="shared" si="22"/>
        <v>0</v>
      </c>
      <c r="O50" s="97">
        <f t="shared" si="22"/>
        <v>0</v>
      </c>
      <c r="P50" s="97">
        <f t="shared" si="22"/>
        <v>1.8300629745317494</v>
      </c>
      <c r="Q50" s="97">
        <f t="shared" si="22"/>
        <v>3.7845352455565084</v>
      </c>
      <c r="R50" s="97">
        <f t="shared" si="22"/>
        <v>4.8972658577883088</v>
      </c>
      <c r="S50" s="97">
        <f t="shared" si="22"/>
        <v>8.0790196780328642</v>
      </c>
      <c r="T50" s="97">
        <f t="shared" si="22"/>
        <v>11.029653917384085</v>
      </c>
      <c r="U50" s="97">
        <f t="shared" si="22"/>
        <v>14.093959168831514</v>
      </c>
      <c r="V50" s="97">
        <f t="shared" si="22"/>
        <v>17.412545818633252</v>
      </c>
      <c r="W50" s="97">
        <f t="shared" si="22"/>
        <v>20.882435561940476</v>
      </c>
      <c r="X50" s="97">
        <f t="shared" si="22"/>
        <v>24.578380836137853</v>
      </c>
      <c r="Y50" s="97">
        <f t="shared" si="22"/>
        <v>28.417465025390591</v>
      </c>
      <c r="Z50" s="97">
        <f t="shared" si="22"/>
        <v>32.412556657894534</v>
      </c>
      <c r="AA50" s="97">
        <f t="shared" si="22"/>
        <v>36.699356263877249</v>
      </c>
      <c r="AB50" s="97">
        <f t="shared" si="22"/>
        <v>41.098196253094748</v>
      </c>
      <c r="AC50" s="97">
        <f t="shared" si="22"/>
        <v>41.098196253094748</v>
      </c>
      <c r="AD50" s="97">
        <f t="shared" si="22"/>
        <v>41.098196253094748</v>
      </c>
      <c r="AE50" s="97">
        <f t="shared" si="22"/>
        <v>41.098196253094748</v>
      </c>
      <c r="AF50" s="97">
        <f t="shared" si="22"/>
        <v>41.098196253094748</v>
      </c>
      <c r="AG50" s="97">
        <f t="shared" si="22"/>
        <v>41.098196253094748</v>
      </c>
      <c r="AH50" s="97">
        <f t="shared" si="22"/>
        <v>41.098196253094748</v>
      </c>
      <c r="AI50" s="97">
        <f t="shared" si="22"/>
        <v>41.098196253094748</v>
      </c>
      <c r="AJ50" s="97">
        <f t="shared" si="22"/>
        <v>41.098196253094748</v>
      </c>
      <c r="AK50" s="97">
        <f t="shared" si="22"/>
        <v>41.098196253094748</v>
      </c>
      <c r="AL50" s="97">
        <f t="shared" si="22"/>
        <v>41.098196253094748</v>
      </c>
      <c r="AM50" s="97">
        <f t="shared" si="22"/>
        <v>41.098196253094748</v>
      </c>
      <c r="AN50" s="97">
        <f t="shared" si="22"/>
        <v>41.098196253094748</v>
      </c>
      <c r="AO50" s="97">
        <f t="shared" si="22"/>
        <v>41.098196253094748</v>
      </c>
      <c r="AP50" s="97">
        <f t="shared" si="22"/>
        <v>41.098196253094748</v>
      </c>
      <c r="AQ50" s="97">
        <f t="shared" si="22"/>
        <v>41.098196253094748</v>
      </c>
      <c r="AR50" s="97">
        <f t="shared" si="22"/>
        <v>41.098196253094748</v>
      </c>
      <c r="AS50" s="97">
        <f t="shared" si="22"/>
        <v>41.098196253094748</v>
      </c>
      <c r="AT50" s="97">
        <f t="shared" si="22"/>
        <v>41.098196253094748</v>
      </c>
      <c r="AU50" s="97">
        <f t="shared" si="22"/>
        <v>41.098196253094748</v>
      </c>
      <c r="AV50" s="97">
        <f t="shared" si="22"/>
        <v>41.098196253094748</v>
      </c>
    </row>
    <row r="51" spans="1:48">
      <c r="A51" s="199" t="s">
        <v>16</v>
      </c>
      <c r="B51" s="288" t="str">
        <f>B45</f>
        <v>C</v>
      </c>
      <c r="C51" s="283"/>
      <c r="E51" s="97"/>
      <c r="F51" s="97"/>
      <c r="G51" s="97"/>
      <c r="H51" s="97"/>
      <c r="I51" s="179" t="str">
        <f>B45</f>
        <v>C</v>
      </c>
      <c r="J51" s="97">
        <v>0</v>
      </c>
      <c r="K51" s="97">
        <f t="shared" si="22"/>
        <v>0</v>
      </c>
      <c r="L51" s="97">
        <f t="shared" si="22"/>
        <v>0</v>
      </c>
      <c r="M51" s="97">
        <f t="shared" si="22"/>
        <v>0</v>
      </c>
      <c r="N51" s="97">
        <f t="shared" si="22"/>
        <v>0</v>
      </c>
      <c r="O51" s="97">
        <f t="shared" si="22"/>
        <v>0</v>
      </c>
      <c r="P51" s="97">
        <f t="shared" si="22"/>
        <v>0</v>
      </c>
      <c r="Q51" s="97">
        <f t="shared" si="22"/>
        <v>0</v>
      </c>
      <c r="R51" s="97">
        <f t="shared" si="22"/>
        <v>0</v>
      </c>
      <c r="S51" s="97">
        <f t="shared" si="22"/>
        <v>0</v>
      </c>
      <c r="T51" s="97">
        <f t="shared" si="22"/>
        <v>0</v>
      </c>
      <c r="U51" s="97">
        <f t="shared" si="22"/>
        <v>0</v>
      </c>
      <c r="V51" s="97">
        <f t="shared" si="22"/>
        <v>0</v>
      </c>
      <c r="W51" s="97">
        <f t="shared" si="22"/>
        <v>0</v>
      </c>
      <c r="X51" s="97">
        <f t="shared" si="22"/>
        <v>0</v>
      </c>
      <c r="Y51" s="97">
        <f t="shared" si="22"/>
        <v>0</v>
      </c>
      <c r="Z51" s="97">
        <f t="shared" si="22"/>
        <v>0</v>
      </c>
      <c r="AA51" s="97">
        <f t="shared" si="22"/>
        <v>0</v>
      </c>
      <c r="AB51" s="97">
        <f t="shared" si="22"/>
        <v>0</v>
      </c>
      <c r="AC51" s="97">
        <f t="shared" si="22"/>
        <v>4.3883347481526442</v>
      </c>
      <c r="AD51" s="97">
        <f t="shared" si="22"/>
        <v>8.9058389857557785</v>
      </c>
      <c r="AE51" s="97">
        <f t="shared" si="22"/>
        <v>13.520597474980448</v>
      </c>
      <c r="AF51" s="97">
        <f t="shared" si="22"/>
        <v>18.244019899221762</v>
      </c>
      <c r="AG51" s="97">
        <f t="shared" si="22"/>
        <v>22.855754693459012</v>
      </c>
      <c r="AH51" s="97">
        <f t="shared" si="22"/>
        <v>27.528322917884118</v>
      </c>
      <c r="AI51" s="97">
        <f t="shared" si="22"/>
        <v>32.504632704707412</v>
      </c>
      <c r="AJ51" s="97">
        <f t="shared" si="22"/>
        <v>37.647372612296216</v>
      </c>
      <c r="AK51" s="97">
        <f t="shared" si="22"/>
        <v>42.918329167958539</v>
      </c>
      <c r="AL51" s="97">
        <f t="shared" si="22"/>
        <v>48.26976421532121</v>
      </c>
      <c r="AM51" s="97">
        <f t="shared" si="22"/>
        <v>48.26976421532121</v>
      </c>
      <c r="AN51" s="97">
        <f t="shared" si="22"/>
        <v>48.26976421532121</v>
      </c>
      <c r="AO51" s="97">
        <f t="shared" si="22"/>
        <v>48.26976421532121</v>
      </c>
      <c r="AP51" s="97">
        <f t="shared" si="22"/>
        <v>48.26976421532121</v>
      </c>
      <c r="AQ51" s="97">
        <f t="shared" si="22"/>
        <v>48.26976421532121</v>
      </c>
      <c r="AR51" s="97">
        <f t="shared" si="22"/>
        <v>48.26976421532121</v>
      </c>
      <c r="AS51" s="97">
        <f t="shared" si="22"/>
        <v>48.26976421532121</v>
      </c>
      <c r="AT51" s="97">
        <f t="shared" si="22"/>
        <v>48.26976421532121</v>
      </c>
      <c r="AU51" s="97">
        <f t="shared" si="22"/>
        <v>48.26976421532121</v>
      </c>
      <c r="AV51" s="97">
        <f t="shared" si="22"/>
        <v>48.26976421532121</v>
      </c>
    </row>
    <row r="52" spans="1:48">
      <c r="A52" s="199" t="s">
        <v>16</v>
      </c>
      <c r="B52" s="288" t="str">
        <f>B46</f>
        <v>D</v>
      </c>
      <c r="C52" s="283"/>
      <c r="E52" s="97"/>
      <c r="F52" s="97"/>
      <c r="G52" s="97"/>
      <c r="H52" s="97"/>
      <c r="I52" s="179" t="str">
        <f>B46</f>
        <v>D</v>
      </c>
      <c r="J52" s="97">
        <v>0</v>
      </c>
      <c r="K52" s="97">
        <f t="shared" si="22"/>
        <v>0</v>
      </c>
      <c r="L52" s="97">
        <f t="shared" si="22"/>
        <v>0</v>
      </c>
      <c r="M52" s="97">
        <f t="shared" si="22"/>
        <v>0</v>
      </c>
      <c r="N52" s="97">
        <f t="shared" si="22"/>
        <v>0</v>
      </c>
      <c r="O52" s="97">
        <f t="shared" si="22"/>
        <v>0</v>
      </c>
      <c r="P52" s="97">
        <f t="shared" si="22"/>
        <v>0</v>
      </c>
      <c r="Q52" s="97">
        <f t="shared" si="22"/>
        <v>0</v>
      </c>
      <c r="R52" s="97">
        <f t="shared" si="22"/>
        <v>0</v>
      </c>
      <c r="S52" s="97">
        <f t="shared" si="22"/>
        <v>0</v>
      </c>
      <c r="T52" s="97">
        <f t="shared" si="22"/>
        <v>0</v>
      </c>
      <c r="U52" s="97">
        <f t="shared" si="22"/>
        <v>0</v>
      </c>
      <c r="V52" s="97">
        <f t="shared" si="22"/>
        <v>0</v>
      </c>
      <c r="W52" s="97">
        <f t="shared" si="22"/>
        <v>0</v>
      </c>
      <c r="X52" s="97">
        <f t="shared" si="22"/>
        <v>0</v>
      </c>
      <c r="Y52" s="97">
        <f t="shared" si="22"/>
        <v>0</v>
      </c>
      <c r="Z52" s="97">
        <f t="shared" si="22"/>
        <v>0</v>
      </c>
      <c r="AA52" s="97">
        <f t="shared" si="22"/>
        <v>0</v>
      </c>
      <c r="AB52" s="97">
        <f t="shared" si="22"/>
        <v>0</v>
      </c>
      <c r="AC52" s="97">
        <f t="shared" si="22"/>
        <v>0</v>
      </c>
      <c r="AD52" s="97">
        <f t="shared" si="22"/>
        <v>0</v>
      </c>
      <c r="AE52" s="97">
        <f t="shared" si="22"/>
        <v>0</v>
      </c>
      <c r="AF52" s="97">
        <f t="shared" si="22"/>
        <v>0</v>
      </c>
      <c r="AG52" s="97">
        <f t="shared" si="22"/>
        <v>0</v>
      </c>
      <c r="AH52" s="97">
        <f t="shared" si="22"/>
        <v>0</v>
      </c>
      <c r="AI52" s="97">
        <f t="shared" si="22"/>
        <v>0</v>
      </c>
      <c r="AJ52" s="97">
        <f t="shared" si="22"/>
        <v>0</v>
      </c>
      <c r="AK52" s="97">
        <f t="shared" si="22"/>
        <v>0</v>
      </c>
      <c r="AL52" s="97">
        <f t="shared" si="22"/>
        <v>0</v>
      </c>
      <c r="AM52" s="97">
        <f t="shared" si="22"/>
        <v>5.9657838347978043</v>
      </c>
      <c r="AN52" s="97">
        <f t="shared" si="22"/>
        <v>11.772474142253785</v>
      </c>
      <c r="AO52" s="97">
        <f t="shared" si="22"/>
        <v>17.433842063171227</v>
      </c>
      <c r="AP52" s="97">
        <f t="shared" si="22"/>
        <v>22.961804141146672</v>
      </c>
      <c r="AQ52" s="97">
        <f t="shared" si="22"/>
        <v>28.366752386458728</v>
      </c>
      <c r="AR52" s="97">
        <f t="shared" si="22"/>
        <v>34.760695237287337</v>
      </c>
      <c r="AS52" s="97">
        <f t="shared" si="22"/>
        <v>40.987582687759584</v>
      </c>
      <c r="AT52" s="97">
        <f t="shared" si="22"/>
        <v>47.061395001932908</v>
      </c>
      <c r="AU52" s="97">
        <f t="shared" si="22"/>
        <v>52.994288999223954</v>
      </c>
      <c r="AV52" s="97">
        <f t="shared" si="22"/>
        <v>59.301120896817878</v>
      </c>
    </row>
    <row r="53" spans="1:48">
      <c r="A53" s="199" t="s">
        <v>16</v>
      </c>
      <c r="B53" s="283" t="s">
        <v>238</v>
      </c>
      <c r="C53" s="283"/>
      <c r="E53" s="97"/>
      <c r="F53" s="97"/>
      <c r="G53" s="97"/>
      <c r="H53" s="97"/>
      <c r="I53" s="179"/>
      <c r="J53" s="97">
        <f t="shared" ref="J53:AV53" si="23">SUM(J49:J52)</f>
        <v>0</v>
      </c>
      <c r="K53" s="97">
        <f t="shared" si="23"/>
        <v>0</v>
      </c>
      <c r="L53" s="97">
        <f t="shared" si="23"/>
        <v>0</v>
      </c>
      <c r="M53" s="97">
        <f t="shared" si="23"/>
        <v>0</v>
      </c>
      <c r="N53" s="97">
        <f t="shared" si="23"/>
        <v>0</v>
      </c>
      <c r="O53" s="97">
        <f t="shared" si="23"/>
        <v>0</v>
      </c>
      <c r="P53" s="97">
        <f t="shared" si="23"/>
        <v>1.8300629745317494</v>
      </c>
      <c r="Q53" s="97">
        <f t="shared" si="23"/>
        <v>3.7845352455565084</v>
      </c>
      <c r="R53" s="97">
        <f t="shared" si="23"/>
        <v>4.8972658577883088</v>
      </c>
      <c r="S53" s="97">
        <f t="shared" si="23"/>
        <v>8.0790196780328642</v>
      </c>
      <c r="T53" s="97">
        <f t="shared" si="23"/>
        <v>11.029653917384085</v>
      </c>
      <c r="U53" s="97">
        <f t="shared" si="23"/>
        <v>14.093959168831514</v>
      </c>
      <c r="V53" s="97">
        <f t="shared" si="23"/>
        <v>17.412545818633252</v>
      </c>
      <c r="W53" s="97">
        <f t="shared" si="23"/>
        <v>20.882435561940476</v>
      </c>
      <c r="X53" s="97">
        <f t="shared" si="23"/>
        <v>24.578380836137853</v>
      </c>
      <c r="Y53" s="97">
        <f t="shared" si="23"/>
        <v>28.417465025390591</v>
      </c>
      <c r="Z53" s="97">
        <f t="shared" si="23"/>
        <v>32.412556657894534</v>
      </c>
      <c r="AA53" s="97">
        <f t="shared" si="23"/>
        <v>36.699356263877249</v>
      </c>
      <c r="AB53" s="97">
        <f t="shared" si="23"/>
        <v>41.098196253094748</v>
      </c>
      <c r="AC53" s="97">
        <f t="shared" si="23"/>
        <v>45.486531001247393</v>
      </c>
      <c r="AD53" s="97">
        <f t="shared" si="23"/>
        <v>50.004035238850527</v>
      </c>
      <c r="AE53" s="97">
        <f t="shared" si="23"/>
        <v>54.618793728075197</v>
      </c>
      <c r="AF53" s="97">
        <f t="shared" si="23"/>
        <v>59.34221615231651</v>
      </c>
      <c r="AG53" s="97">
        <f t="shared" si="23"/>
        <v>63.953950946553761</v>
      </c>
      <c r="AH53" s="97">
        <f t="shared" si="23"/>
        <v>68.626519170978867</v>
      </c>
      <c r="AI53" s="97">
        <f t="shared" si="23"/>
        <v>73.60282895780216</v>
      </c>
      <c r="AJ53" s="97">
        <f t="shared" si="23"/>
        <v>78.745568865390965</v>
      </c>
      <c r="AK53" s="97">
        <f t="shared" si="23"/>
        <v>84.016525421053288</v>
      </c>
      <c r="AL53" s="97">
        <f t="shared" si="23"/>
        <v>89.367960468415959</v>
      </c>
      <c r="AM53" s="97">
        <f t="shared" si="23"/>
        <v>95.333744303213763</v>
      </c>
      <c r="AN53" s="97">
        <f t="shared" si="23"/>
        <v>101.14043461066974</v>
      </c>
      <c r="AO53" s="97">
        <f t="shared" si="23"/>
        <v>106.80180253158719</v>
      </c>
      <c r="AP53" s="97">
        <f t="shared" si="23"/>
        <v>112.32976460956263</v>
      </c>
      <c r="AQ53" s="97">
        <f t="shared" si="23"/>
        <v>117.73471285487469</v>
      </c>
      <c r="AR53" s="97">
        <f t="shared" si="23"/>
        <v>124.1286557057033</v>
      </c>
      <c r="AS53" s="97">
        <f t="shared" si="23"/>
        <v>130.35554315617554</v>
      </c>
      <c r="AT53" s="97">
        <f t="shared" si="23"/>
        <v>136.42935547034887</v>
      </c>
      <c r="AU53" s="97">
        <f t="shared" si="23"/>
        <v>142.36224946763991</v>
      </c>
      <c r="AV53" s="97">
        <f t="shared" si="23"/>
        <v>148.66908136523384</v>
      </c>
    </row>
    <row r="54" spans="1:48">
      <c r="A54" s="199" t="s">
        <v>16</v>
      </c>
      <c r="B54" s="283"/>
      <c r="I54" s="165"/>
      <c r="J54" s="97"/>
      <c r="K54" s="95"/>
      <c r="AV54" s="97"/>
    </row>
    <row r="55" spans="1:48" ht="15.75" thickBot="1">
      <c r="A55" s="199" t="s">
        <v>16</v>
      </c>
      <c r="B55" s="93" t="s">
        <v>14</v>
      </c>
      <c r="C55" s="93" t="s">
        <v>498</v>
      </c>
      <c r="D55" s="93" t="s">
        <v>496</v>
      </c>
      <c r="E55" s="93">
        <v>2017</v>
      </c>
      <c r="F55" s="93" t="s">
        <v>497</v>
      </c>
      <c r="G55" s="95">
        <v>2017</v>
      </c>
      <c r="I55" s="165"/>
      <c r="K55" s="95"/>
    </row>
    <row r="56" spans="1:48">
      <c r="A56" s="199" t="s">
        <v>16</v>
      </c>
      <c r="B56" s="97" t="s">
        <v>72</v>
      </c>
      <c r="C56" s="97" t="s">
        <v>112</v>
      </c>
      <c r="D56" s="110">
        <f t="shared" ref="D56:E64" si="24">F56*1000</f>
        <v>139664.39435388436</v>
      </c>
      <c r="E56" s="110">
        <f t="shared" si="24"/>
        <v>120283.34032399778</v>
      </c>
      <c r="F56" s="24">
        <f>'[6]TS BYDem'!$J10</f>
        <v>139.66439435388435</v>
      </c>
      <c r="G56" s="95">
        <f>'[6]TS BYDem'!$O10</f>
        <v>120.28334032399778</v>
      </c>
      <c r="J56" s="94"/>
      <c r="K56" s="191" t="s">
        <v>513</v>
      </c>
      <c r="L56" s="99"/>
      <c r="M56" s="99" t="s">
        <v>443</v>
      </c>
      <c r="N56" s="99"/>
      <c r="O56" s="99"/>
    </row>
    <row r="57" spans="1:48">
      <c r="A57" s="199" t="s">
        <v>16</v>
      </c>
      <c r="B57" s="97" t="s">
        <v>262</v>
      </c>
      <c r="C57" s="97" t="s">
        <v>113</v>
      </c>
      <c r="D57" s="110">
        <f t="shared" si="24"/>
        <v>7851.7549075018987</v>
      </c>
      <c r="E57" s="110">
        <f t="shared" si="24"/>
        <v>11470.981711368382</v>
      </c>
      <c r="F57" s="24">
        <f>'[6]TS BYDem'!$J11</f>
        <v>7.8517549075018991</v>
      </c>
      <c r="G57" s="95">
        <f>'[6]TS BYDem'!$O11</f>
        <v>11.470981711368381</v>
      </c>
      <c r="J57" s="94"/>
      <c r="K57" s="191" t="s">
        <v>517</v>
      </c>
      <c r="L57" s="99">
        <f>DriversGams!$B$163</f>
        <v>4</v>
      </c>
      <c r="M57" s="99"/>
      <c r="N57" s="99"/>
      <c r="O57" s="99"/>
      <c r="R57" s="95" t="s">
        <v>635</v>
      </c>
    </row>
    <row r="58" spans="1:48">
      <c r="A58" s="199" t="s">
        <v>16</v>
      </c>
      <c r="B58" s="97" t="s">
        <v>263</v>
      </c>
      <c r="C58" s="97" t="s">
        <v>107</v>
      </c>
      <c r="D58" s="110">
        <f t="shared" si="24"/>
        <v>9894.4997565297635</v>
      </c>
      <c r="E58" s="110">
        <f t="shared" si="24"/>
        <v>8579.7067698540795</v>
      </c>
      <c r="F58" s="24">
        <f>'[6]TS BYDem'!$J12</f>
        <v>9.894499756529763</v>
      </c>
      <c r="G58" s="95">
        <f>'[6]TS BYDem'!$O12</f>
        <v>8.579706769854079</v>
      </c>
      <c r="J58" s="94"/>
      <c r="K58" s="191" t="s">
        <v>514</v>
      </c>
      <c r="L58" s="99"/>
      <c r="M58" s="99"/>
      <c r="N58" s="99"/>
      <c r="O58" s="99"/>
    </row>
    <row r="59" spans="1:48">
      <c r="A59" s="199" t="s">
        <v>16</v>
      </c>
      <c r="B59" s="97" t="s">
        <v>73</v>
      </c>
      <c r="C59" s="97" t="s">
        <v>111</v>
      </c>
      <c r="D59" s="110">
        <f t="shared" si="24"/>
        <v>121540.2719056889</v>
      </c>
      <c r="E59" s="110">
        <f t="shared" si="24"/>
        <v>104674.27977141128</v>
      </c>
      <c r="F59" s="24">
        <f>'[6]TS BYDem'!$J13</f>
        <v>121.5402719056889</v>
      </c>
      <c r="G59" s="95">
        <f>'[6]TS BYDem'!$O13</f>
        <v>104.67427977141128</v>
      </c>
      <c r="J59" s="94"/>
      <c r="K59" s="99">
        <v>-1</v>
      </c>
      <c r="L59" s="191" t="s">
        <v>515</v>
      </c>
      <c r="M59" s="99"/>
      <c r="N59" s="99"/>
      <c r="O59" s="99"/>
      <c r="AC59" s="95" t="s">
        <v>636</v>
      </c>
    </row>
    <row r="60" spans="1:48">
      <c r="A60" s="199" t="s">
        <v>16</v>
      </c>
      <c r="B60" s="97" t="s">
        <v>264</v>
      </c>
      <c r="C60" s="97" t="s">
        <v>124</v>
      </c>
      <c r="D60" s="110">
        <f t="shared" si="24"/>
        <v>29566.39037374705</v>
      </c>
      <c r="E60" s="110">
        <f t="shared" si="24"/>
        <v>25463.499211305458</v>
      </c>
      <c r="F60" s="24">
        <f>'[6]TS BYDem'!$J14</f>
        <v>29.566390373747051</v>
      </c>
      <c r="G60" s="95">
        <f>'[6]TS BYDem'!$O14</f>
        <v>25.463499211305457</v>
      </c>
      <c r="J60" s="94"/>
      <c r="K60" s="99">
        <v>1</v>
      </c>
      <c r="L60" s="99" t="s">
        <v>637</v>
      </c>
      <c r="M60" s="192">
        <v>-0.37</v>
      </c>
      <c r="N60" s="192">
        <v>-0.5</v>
      </c>
      <c r="O60" s="192">
        <v>-0.2</v>
      </c>
      <c r="Q60" s="95" t="s">
        <v>638</v>
      </c>
      <c r="AA60" s="97" t="s">
        <v>639</v>
      </c>
      <c r="AB60" s="97">
        <f>AB30/(AB30+AB31)</f>
        <v>0.70198346757264662</v>
      </c>
      <c r="AC60" s="97" t="s">
        <v>640</v>
      </c>
      <c r="AD60" s="97"/>
      <c r="AE60" s="97"/>
      <c r="AF60" s="97"/>
      <c r="AG60" s="97">
        <f>(AB30*0.8+AB31*0.46)/(AB30+AB31)</f>
        <v>0.69867437897469986</v>
      </c>
    </row>
    <row r="61" spans="1:48">
      <c r="A61" s="199" t="s">
        <v>16</v>
      </c>
      <c r="B61" s="97" t="s">
        <v>265</v>
      </c>
      <c r="C61" s="97" t="s">
        <v>266</v>
      </c>
      <c r="D61" s="110">
        <f t="shared" si="24"/>
        <v>9683.1090230750324</v>
      </c>
      <c r="E61" s="110">
        <f t="shared" si="24"/>
        <v>13273.861719969342</v>
      </c>
      <c r="F61" s="24">
        <f>'[6]TS BYDem'!$J15</f>
        <v>9.6831090230750316</v>
      </c>
      <c r="G61" s="95">
        <f>'[6]TS BYDem'!$O15</f>
        <v>13.273861719969341</v>
      </c>
      <c r="J61" s="94"/>
      <c r="K61" s="99">
        <v>2</v>
      </c>
      <c r="L61" s="99" t="s">
        <v>641</v>
      </c>
      <c r="M61" s="192">
        <v>-0.25</v>
      </c>
      <c r="N61" s="192">
        <v>-0.25</v>
      </c>
      <c r="O61" s="192">
        <v>-0.2</v>
      </c>
      <c r="Q61" s="95" t="s">
        <v>642</v>
      </c>
    </row>
    <row r="62" spans="1:48">
      <c r="A62" s="199" t="s">
        <v>16</v>
      </c>
      <c r="B62" s="97" t="s">
        <v>269</v>
      </c>
      <c r="C62" s="97" t="s">
        <v>270</v>
      </c>
      <c r="D62" s="110">
        <f t="shared" si="24"/>
        <v>10300.552873773209</v>
      </c>
      <c r="E62" s="110">
        <f t="shared" si="24"/>
        <v>8871.1579824850141</v>
      </c>
      <c r="F62" s="24">
        <f>'[6]TS BYDem'!$J16</f>
        <v>10.30055287377321</v>
      </c>
      <c r="G62" s="95">
        <f>'[6]TS BYDem'!$O16</f>
        <v>8.8711579824850144</v>
      </c>
      <c r="J62" s="94"/>
      <c r="K62" s="99">
        <v>3</v>
      </c>
      <c r="L62" s="191" t="s">
        <v>516</v>
      </c>
      <c r="M62" s="192">
        <v>-0.37</v>
      </c>
      <c r="N62" s="192">
        <v>-0.5</v>
      </c>
      <c r="O62" s="192">
        <v>-0.2</v>
      </c>
    </row>
    <row r="63" spans="1:48">
      <c r="A63" s="199" t="s">
        <v>16</v>
      </c>
      <c r="B63" s="97" t="s">
        <v>268</v>
      </c>
      <c r="C63" s="97" t="s">
        <v>221</v>
      </c>
      <c r="D63" s="110">
        <f t="shared" si="24"/>
        <v>3559.3512487513526</v>
      </c>
      <c r="E63" s="110">
        <f t="shared" si="24"/>
        <v>3065.4245097100388</v>
      </c>
      <c r="F63" s="24">
        <f>'[6]TS BYDem'!$J17</f>
        <v>3.5593512487513528</v>
      </c>
      <c r="G63" s="95">
        <f>'[6]TS BYDem'!$O17</f>
        <v>3.0654245097100388</v>
      </c>
      <c r="J63" s="94"/>
      <c r="K63" s="99">
        <v>4</v>
      </c>
      <c r="L63" s="191" t="s">
        <v>643</v>
      </c>
      <c r="M63" s="192">
        <v>-0.25</v>
      </c>
      <c r="N63" s="99"/>
      <c r="O63" s="99"/>
    </row>
    <row r="64" spans="1:48">
      <c r="A64" s="199" t="s">
        <v>16</v>
      </c>
      <c r="B64" s="97" t="s">
        <v>0</v>
      </c>
      <c r="C64" s="97" t="s">
        <v>119</v>
      </c>
      <c r="D64" s="110">
        <f t="shared" si="24"/>
        <v>18760.184357078931</v>
      </c>
      <c r="E64" s="110">
        <f t="shared" si="24"/>
        <v>16999.241745794043</v>
      </c>
      <c r="F64" s="24">
        <f>'[6]TS BYDem'!$J18</f>
        <v>18.760184357078931</v>
      </c>
      <c r="G64" s="95">
        <f>'[6]TS BYDem'!$O18</f>
        <v>16.999241745794041</v>
      </c>
      <c r="J64" s="94"/>
      <c r="K64" s="191">
        <v>4</v>
      </c>
      <c r="L64" s="191" t="s">
        <v>644</v>
      </c>
      <c r="M64" s="99"/>
      <c r="N64" s="192">
        <v>-0.25</v>
      </c>
      <c r="O64" s="192">
        <v>-0.2</v>
      </c>
    </row>
    <row r="65" spans="1:48">
      <c r="A65" s="199" t="s">
        <v>16</v>
      </c>
      <c r="B65" s="97"/>
      <c r="C65" s="97"/>
      <c r="D65" s="97"/>
      <c r="J65" s="94"/>
      <c r="K65" s="289">
        <v>3</v>
      </c>
      <c r="L65" s="99" t="s">
        <v>637</v>
      </c>
      <c r="M65" s="192">
        <v>-0.37</v>
      </c>
      <c r="N65" s="192">
        <v>-0.5</v>
      </c>
      <c r="O65" s="192">
        <v>-0.2</v>
      </c>
    </row>
    <row r="66" spans="1:48">
      <c r="A66" s="199" t="s">
        <v>16</v>
      </c>
      <c r="B66" s="97"/>
      <c r="F66" s="238"/>
      <c r="I66" s="165"/>
      <c r="K66" s="289">
        <v>2</v>
      </c>
      <c r="L66" s="99" t="s">
        <v>641</v>
      </c>
      <c r="M66" s="192">
        <v>-0.25</v>
      </c>
      <c r="N66" s="192">
        <v>-0.25</v>
      </c>
      <c r="O66" s="192">
        <v>-0.2</v>
      </c>
    </row>
    <row r="67" spans="1:48" ht="15.75" thickBot="1">
      <c r="A67" s="199" t="s">
        <v>16</v>
      </c>
      <c r="B67" s="162" t="s">
        <v>12</v>
      </c>
      <c r="C67" s="163"/>
      <c r="D67" s="93"/>
      <c r="E67" s="105">
        <v>2012</v>
      </c>
      <c r="F67" s="239">
        <v>2017</v>
      </c>
      <c r="G67" s="105">
        <f>G22</f>
        <v>2020</v>
      </c>
      <c r="H67" s="105">
        <f>H22</f>
        <v>2030</v>
      </c>
      <c r="I67" s="186">
        <f>I22</f>
        <v>2050</v>
      </c>
      <c r="J67" s="105">
        <f t="shared" ref="J67:AV67" si="25">J4</f>
        <v>2012</v>
      </c>
      <c r="K67" s="105">
        <f t="shared" si="25"/>
        <v>2013</v>
      </c>
      <c r="L67" s="105">
        <f t="shared" si="25"/>
        <v>2014</v>
      </c>
      <c r="M67" s="105">
        <f t="shared" si="25"/>
        <v>2015</v>
      </c>
      <c r="N67" s="105">
        <f t="shared" si="25"/>
        <v>2016</v>
      </c>
      <c r="O67" s="105">
        <f t="shared" si="25"/>
        <v>2017</v>
      </c>
      <c r="P67" s="105">
        <f t="shared" si="25"/>
        <v>2018</v>
      </c>
      <c r="Q67" s="105">
        <f t="shared" si="25"/>
        <v>2019</v>
      </c>
      <c r="R67" s="105">
        <f t="shared" si="25"/>
        <v>2020</v>
      </c>
      <c r="S67" s="105">
        <f t="shared" si="25"/>
        <v>2021</v>
      </c>
      <c r="T67" s="105">
        <f t="shared" si="25"/>
        <v>2022</v>
      </c>
      <c r="U67" s="105">
        <f t="shared" si="25"/>
        <v>2023</v>
      </c>
      <c r="V67" s="105">
        <f t="shared" si="25"/>
        <v>2024</v>
      </c>
      <c r="W67" s="105">
        <f t="shared" si="25"/>
        <v>2025</v>
      </c>
      <c r="X67" s="105">
        <f t="shared" si="25"/>
        <v>2026</v>
      </c>
      <c r="Y67" s="105">
        <f t="shared" si="25"/>
        <v>2027</v>
      </c>
      <c r="Z67" s="105">
        <f t="shared" si="25"/>
        <v>2028</v>
      </c>
      <c r="AA67" s="105">
        <f t="shared" si="25"/>
        <v>2029</v>
      </c>
      <c r="AB67" s="105">
        <f t="shared" si="25"/>
        <v>2030</v>
      </c>
      <c r="AC67" s="105">
        <f t="shared" si="25"/>
        <v>2031</v>
      </c>
      <c r="AD67" s="105">
        <f t="shared" si="25"/>
        <v>2032</v>
      </c>
      <c r="AE67" s="105">
        <f t="shared" si="25"/>
        <v>2033</v>
      </c>
      <c r="AF67" s="105">
        <f t="shared" si="25"/>
        <v>2034</v>
      </c>
      <c r="AG67" s="105">
        <f t="shared" si="25"/>
        <v>2035</v>
      </c>
      <c r="AH67" s="105">
        <f t="shared" si="25"/>
        <v>2036</v>
      </c>
      <c r="AI67" s="105">
        <f t="shared" si="25"/>
        <v>2037</v>
      </c>
      <c r="AJ67" s="105">
        <f t="shared" si="25"/>
        <v>2038</v>
      </c>
      <c r="AK67" s="105">
        <f t="shared" si="25"/>
        <v>2039</v>
      </c>
      <c r="AL67" s="105">
        <f t="shared" si="25"/>
        <v>2040</v>
      </c>
      <c r="AM67" s="105">
        <f t="shared" si="25"/>
        <v>2041</v>
      </c>
      <c r="AN67" s="105">
        <f t="shared" si="25"/>
        <v>2042</v>
      </c>
      <c r="AO67" s="105">
        <f t="shared" si="25"/>
        <v>2043</v>
      </c>
      <c r="AP67" s="105">
        <f t="shared" si="25"/>
        <v>2044</v>
      </c>
      <c r="AQ67" s="105">
        <f t="shared" si="25"/>
        <v>2045</v>
      </c>
      <c r="AR67" s="105">
        <f t="shared" si="25"/>
        <v>2046</v>
      </c>
      <c r="AS67" s="105">
        <f t="shared" si="25"/>
        <v>2047</v>
      </c>
      <c r="AT67" s="105">
        <f t="shared" si="25"/>
        <v>2048</v>
      </c>
      <c r="AU67" s="105">
        <f t="shared" si="25"/>
        <v>2049</v>
      </c>
      <c r="AV67" s="105">
        <f t="shared" si="25"/>
        <v>2050</v>
      </c>
    </row>
    <row r="68" spans="1:48">
      <c r="A68" s="199" t="s">
        <v>16</v>
      </c>
      <c r="I68" s="165"/>
      <c r="K68" s="95"/>
    </row>
    <row r="69" spans="1:48" ht="15.75" thickBot="1">
      <c r="A69" s="199" t="s">
        <v>16</v>
      </c>
      <c r="B69" s="111" t="s">
        <v>74</v>
      </c>
      <c r="C69" s="93"/>
      <c r="D69" s="93"/>
      <c r="H69" s="213">
        <f>VLOOKUP($L$57,$K$59:$O$66,3)</f>
        <v>0</v>
      </c>
      <c r="I69" s="165"/>
      <c r="K69" s="95"/>
    </row>
    <row r="70" spans="1:48">
      <c r="A70" s="199" t="s">
        <v>16</v>
      </c>
      <c r="B70" s="283" t="s">
        <v>239</v>
      </c>
      <c r="C70" s="95" t="str">
        <f t="shared" ref="C70:C78" si="26">"Commercial"&amp;" - "&amp;B56</f>
        <v>Commercial - Cooling</v>
      </c>
      <c r="D70" s="95" t="s">
        <v>75</v>
      </c>
      <c r="E70" s="104">
        <f>$D56/J$23</f>
        <v>1051.567060091292</v>
      </c>
      <c r="F70" s="112">
        <f>E56/$O$23</f>
        <v>864.77958996918915</v>
      </c>
      <c r="G70" s="112">
        <f t="shared" ref="G70:I78" si="27">F70</f>
        <v>864.77958996918915</v>
      </c>
      <c r="H70" s="112">
        <f>G70*(1+$H$69)</f>
        <v>864.77958996918915</v>
      </c>
      <c r="I70" s="164">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199" t="s">
        <v>16</v>
      </c>
      <c r="B71" s="283" t="s">
        <v>240</v>
      </c>
      <c r="C71" s="95" t="str">
        <f t="shared" si="26"/>
        <v>Commercial - Space Heating</v>
      </c>
      <c r="D71" s="95" t="s">
        <v>75</v>
      </c>
      <c r="E71" s="104">
        <f t="shared" ref="E71:E75" si="29">$D57/J$23</f>
        <v>59.117764859369188</v>
      </c>
      <c r="F71" s="112">
        <f t="shared" ref="F71:F78" si="30">E57/$O$23</f>
        <v>82.470862832548889</v>
      </c>
      <c r="G71" s="112">
        <f t="shared" si="27"/>
        <v>82.470862832548889</v>
      </c>
      <c r="H71" s="112">
        <f t="shared" ref="H71:H78" si="31">G71*(1+$H$69)</f>
        <v>82.470862832548889</v>
      </c>
      <c r="I71" s="164">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199" t="s">
        <v>16</v>
      </c>
      <c r="B72" s="283" t="s">
        <v>241</v>
      </c>
      <c r="C72" s="95" t="str">
        <f t="shared" si="26"/>
        <v>Commercial - Cooking</v>
      </c>
      <c r="D72" s="95" t="s">
        <v>75</v>
      </c>
      <c r="E72" s="104">
        <f t="shared" si="29"/>
        <v>74.498085701673531</v>
      </c>
      <c r="F72" s="112">
        <f t="shared" si="30"/>
        <v>61.683981193944355</v>
      </c>
      <c r="G72" s="112">
        <f t="shared" si="27"/>
        <v>61.683981193944355</v>
      </c>
      <c r="H72" s="112">
        <f t="shared" si="31"/>
        <v>61.683981193944355</v>
      </c>
      <c r="I72" s="164">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199" t="s">
        <v>16</v>
      </c>
      <c r="B73" s="283" t="s">
        <v>242</v>
      </c>
      <c r="C73" s="95" t="str">
        <f t="shared" si="26"/>
        <v>Commercial - Lighting</v>
      </c>
      <c r="D73" s="95" t="s">
        <v>75</v>
      </c>
      <c r="E73" s="104">
        <f t="shared" si="29"/>
        <v>915.10615144128838</v>
      </c>
      <c r="F73" s="112">
        <f t="shared" si="30"/>
        <v>752.55792279474565</v>
      </c>
      <c r="G73" s="112">
        <f t="shared" si="27"/>
        <v>752.55792279474565</v>
      </c>
      <c r="H73" s="112">
        <f t="shared" si="31"/>
        <v>752.55792279474565</v>
      </c>
      <c r="I73" s="164">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199" t="s">
        <v>16</v>
      </c>
      <c r="B74" s="283" t="s">
        <v>243</v>
      </c>
      <c r="C74" s="95" t="str">
        <f t="shared" si="26"/>
        <v>Commercial - Refrigeration</v>
      </c>
      <c r="D74" s="95" t="s">
        <v>75</v>
      </c>
      <c r="E74" s="104">
        <f t="shared" si="29"/>
        <v>222.61251585750318</v>
      </c>
      <c r="F74" s="112">
        <f t="shared" si="30"/>
        <v>183.07035993362933</v>
      </c>
      <c r="G74" s="112">
        <f t="shared" si="27"/>
        <v>183.07035993362933</v>
      </c>
      <c r="H74" s="112">
        <f t="shared" si="31"/>
        <v>183.07035993362933</v>
      </c>
      <c r="I74" s="164">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199" t="s">
        <v>16</v>
      </c>
      <c r="B75" s="283" t="s">
        <v>244</v>
      </c>
      <c r="C75" s="95" t="str">
        <f t="shared" si="26"/>
        <v>Commercial - Water Heating</v>
      </c>
      <c r="D75" s="95" t="s">
        <v>75</v>
      </c>
      <c r="E75" s="104">
        <f t="shared" si="29"/>
        <v>72.906473658117989</v>
      </c>
      <c r="F75" s="112">
        <f t="shared" si="30"/>
        <v>95.432706346388613</v>
      </c>
      <c r="G75" s="112">
        <f t="shared" si="27"/>
        <v>95.432706346388613</v>
      </c>
      <c r="H75" s="112">
        <f t="shared" si="31"/>
        <v>95.432706346388613</v>
      </c>
      <c r="I75" s="164">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199" t="s">
        <v>16</v>
      </c>
      <c r="B76" s="283" t="s">
        <v>245</v>
      </c>
      <c r="C76" s="115" t="str">
        <f t="shared" si="26"/>
        <v>Commercial - Public lights</v>
      </c>
      <c r="D76" s="115" t="s">
        <v>75</v>
      </c>
      <c r="E76" s="181">
        <v>0</v>
      </c>
      <c r="F76" s="112">
        <v>0</v>
      </c>
      <c r="G76" s="182">
        <f t="shared" si="27"/>
        <v>0</v>
      </c>
      <c r="H76" s="112">
        <f t="shared" si="31"/>
        <v>0</v>
      </c>
      <c r="I76" s="183">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99" t="s">
        <v>16</v>
      </c>
      <c r="B77" s="283" t="s">
        <v>246</v>
      </c>
      <c r="C77" s="115" t="str">
        <f t="shared" si="26"/>
        <v>Commercial - Public Water</v>
      </c>
      <c r="D77" s="115" t="s">
        <v>75</v>
      </c>
      <c r="E77" s="181">
        <v>0</v>
      </c>
      <c r="F77" s="112">
        <v>0</v>
      </c>
      <c r="G77" s="182">
        <f t="shared" si="27"/>
        <v>0</v>
      </c>
      <c r="H77" s="112">
        <f t="shared" si="31"/>
        <v>0</v>
      </c>
      <c r="I77" s="183">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99" t="s">
        <v>16</v>
      </c>
      <c r="B78" s="283" t="s">
        <v>247</v>
      </c>
      <c r="C78" s="95" t="str">
        <f t="shared" si="26"/>
        <v>Commercial - Other</v>
      </c>
      <c r="D78" s="95" t="s">
        <v>75</v>
      </c>
      <c r="E78" s="104">
        <f>$D64/J$23</f>
        <v>141.24997285391134</v>
      </c>
      <c r="F78" s="112">
        <f t="shared" si="30"/>
        <v>122.21640392690337</v>
      </c>
      <c r="G78" s="112">
        <f t="shared" si="27"/>
        <v>122.21640392690337</v>
      </c>
      <c r="H78" s="112">
        <f t="shared" si="31"/>
        <v>122.21640392690337</v>
      </c>
      <c r="I78" s="164">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199" t="s">
        <v>16</v>
      </c>
      <c r="B79" s="283"/>
      <c r="I79" s="184"/>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row>
    <row r="80" spans="1:48" ht="15.75" thickBot="1">
      <c r="A80" s="199" t="s">
        <v>16</v>
      </c>
      <c r="B80" s="111" t="s">
        <v>77</v>
      </c>
      <c r="C80" s="92"/>
      <c r="D80" s="93"/>
      <c r="H80" s="155"/>
      <c r="I80" s="165"/>
      <c r="K80" s="95"/>
    </row>
    <row r="81" spans="1:48">
      <c r="A81" s="199" t="s">
        <v>16</v>
      </c>
      <c r="B81" s="283" t="s">
        <v>248</v>
      </c>
      <c r="C81" s="95" t="str">
        <f t="shared" ref="C81:C89" si="33">C70</f>
        <v>Commercial - Cooling</v>
      </c>
      <c r="D81" s="95" t="s">
        <v>75</v>
      </c>
      <c r="E81" s="104">
        <f>E70</f>
        <v>1051.567060091292</v>
      </c>
      <c r="F81" s="112">
        <f>F70</f>
        <v>864.77958996918915</v>
      </c>
      <c r="G81" s="112">
        <f t="shared" ref="G81:G89" si="34">F81</f>
        <v>864.77958996918915</v>
      </c>
      <c r="H81" s="112">
        <f>G81*(1+$H$69)</f>
        <v>864.77958996918915</v>
      </c>
      <c r="I81" s="164">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199" t="s">
        <v>16</v>
      </c>
      <c r="B82" s="283" t="s">
        <v>249</v>
      </c>
      <c r="C82" s="95" t="str">
        <f t="shared" si="33"/>
        <v>Commercial - Space Heating</v>
      </c>
      <c r="D82" s="95" t="s">
        <v>75</v>
      </c>
      <c r="E82" s="104">
        <f t="shared" ref="E82:F89" si="39">E71</f>
        <v>59.117764859369188</v>
      </c>
      <c r="F82" s="112">
        <f t="shared" si="39"/>
        <v>82.470862832548889</v>
      </c>
      <c r="G82" s="112">
        <f t="shared" si="34"/>
        <v>82.470862832548889</v>
      </c>
      <c r="H82" s="112">
        <f t="shared" ref="H82:H89" si="40">G82*(1+$H$69)</f>
        <v>82.470862832548889</v>
      </c>
      <c r="I82" s="164">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199" t="s">
        <v>16</v>
      </c>
      <c r="B83" s="283" t="s">
        <v>250</v>
      </c>
      <c r="C83" s="95" t="str">
        <f t="shared" si="33"/>
        <v>Commercial - Cooking</v>
      </c>
      <c r="D83" s="95" t="s">
        <v>75</v>
      </c>
      <c r="E83" s="104">
        <f t="shared" si="39"/>
        <v>74.498085701673531</v>
      </c>
      <c r="F83" s="112">
        <f t="shared" si="39"/>
        <v>61.683981193944355</v>
      </c>
      <c r="G83" s="112">
        <f t="shared" si="34"/>
        <v>61.683981193944355</v>
      </c>
      <c r="H83" s="112">
        <f t="shared" si="40"/>
        <v>61.683981193944355</v>
      </c>
      <c r="I83" s="164">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199" t="s">
        <v>16</v>
      </c>
      <c r="B84" s="283" t="s">
        <v>251</v>
      </c>
      <c r="C84" s="95" t="str">
        <f t="shared" si="33"/>
        <v>Commercial - Lighting</v>
      </c>
      <c r="D84" s="95" t="s">
        <v>75</v>
      </c>
      <c r="E84" s="104">
        <f t="shared" si="39"/>
        <v>915.10615144128838</v>
      </c>
      <c r="F84" s="112">
        <f t="shared" si="39"/>
        <v>752.55792279474565</v>
      </c>
      <c r="G84" s="112">
        <f t="shared" si="34"/>
        <v>752.55792279474565</v>
      </c>
      <c r="H84" s="112">
        <f t="shared" si="40"/>
        <v>752.55792279474565</v>
      </c>
      <c r="I84" s="164">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199" t="s">
        <v>16</v>
      </c>
      <c r="B85" s="283" t="s">
        <v>252</v>
      </c>
      <c r="C85" s="95" t="str">
        <f t="shared" si="33"/>
        <v>Commercial - Refrigeration</v>
      </c>
      <c r="D85" s="95" t="s">
        <v>75</v>
      </c>
      <c r="E85" s="104">
        <f t="shared" si="39"/>
        <v>222.61251585750318</v>
      </c>
      <c r="F85" s="112">
        <f t="shared" si="39"/>
        <v>183.07035993362933</v>
      </c>
      <c r="G85" s="112">
        <f t="shared" si="34"/>
        <v>183.07035993362933</v>
      </c>
      <c r="H85" s="112">
        <f t="shared" si="40"/>
        <v>183.07035993362933</v>
      </c>
      <c r="I85" s="164">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199" t="s">
        <v>16</v>
      </c>
      <c r="B86" s="283" t="s">
        <v>253</v>
      </c>
      <c r="C86" s="95" t="str">
        <f t="shared" si="33"/>
        <v>Commercial - Water Heating</v>
      </c>
      <c r="D86" s="95" t="s">
        <v>75</v>
      </c>
      <c r="E86" s="104">
        <f t="shared" si="39"/>
        <v>72.906473658117989</v>
      </c>
      <c r="F86" s="112">
        <f t="shared" si="39"/>
        <v>95.432706346388613</v>
      </c>
      <c r="G86" s="112">
        <f t="shared" si="34"/>
        <v>95.432706346388613</v>
      </c>
      <c r="H86" s="112">
        <f t="shared" si="40"/>
        <v>95.432706346388613</v>
      </c>
      <c r="I86" s="164">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199" t="s">
        <v>16</v>
      </c>
      <c r="B87" s="283" t="s">
        <v>254</v>
      </c>
      <c r="C87" s="115" t="str">
        <f t="shared" si="33"/>
        <v>Commercial - Public lights</v>
      </c>
      <c r="D87" s="115" t="s">
        <v>75</v>
      </c>
      <c r="E87" s="181">
        <f t="shared" si="39"/>
        <v>0</v>
      </c>
      <c r="F87" s="112">
        <f t="shared" si="39"/>
        <v>0</v>
      </c>
      <c r="G87" s="182">
        <f t="shared" si="34"/>
        <v>0</v>
      </c>
      <c r="H87" s="112">
        <f t="shared" si="40"/>
        <v>0</v>
      </c>
      <c r="I87" s="183">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99" t="s">
        <v>16</v>
      </c>
      <c r="B88" s="283" t="s">
        <v>255</v>
      </c>
      <c r="C88" s="115" t="str">
        <f t="shared" si="33"/>
        <v>Commercial - Public Water</v>
      </c>
      <c r="D88" s="115" t="s">
        <v>75</v>
      </c>
      <c r="E88" s="181">
        <f t="shared" si="39"/>
        <v>0</v>
      </c>
      <c r="F88" s="112">
        <f t="shared" si="39"/>
        <v>0</v>
      </c>
      <c r="G88" s="182">
        <f t="shared" si="34"/>
        <v>0</v>
      </c>
      <c r="H88" s="112">
        <f t="shared" si="40"/>
        <v>0</v>
      </c>
      <c r="I88" s="183">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99" t="s">
        <v>16</v>
      </c>
      <c r="B89" s="283" t="s">
        <v>256</v>
      </c>
      <c r="C89" s="95" t="str">
        <f t="shared" si="33"/>
        <v>Commercial - Other</v>
      </c>
      <c r="D89" s="95" t="s">
        <v>75</v>
      </c>
      <c r="E89" s="104">
        <f t="shared" si="39"/>
        <v>141.24997285391134</v>
      </c>
      <c r="F89" s="112">
        <f t="shared" si="39"/>
        <v>122.21640392690337</v>
      </c>
      <c r="G89" s="112">
        <f t="shared" si="34"/>
        <v>122.21640392690337</v>
      </c>
      <c r="H89" s="112">
        <f t="shared" si="40"/>
        <v>122.21640392690337</v>
      </c>
      <c r="I89" s="164">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199" t="s">
        <v>16</v>
      </c>
      <c r="B90" s="283"/>
      <c r="I90" s="165"/>
      <c r="K90" s="95"/>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99" t="s">
        <v>16</v>
      </c>
      <c r="B91" s="111" t="s">
        <v>485</v>
      </c>
      <c r="C91" s="92"/>
      <c r="D91" s="93"/>
      <c r="H91" s="189">
        <f>VLOOKUP($L$57,$K$59:$O$66,4)</f>
        <v>-0.25</v>
      </c>
      <c r="I91" s="190">
        <f>VLOOKUP($L$57,$K$59:$O$66,5)</f>
        <v>-0.2</v>
      </c>
      <c r="K91" s="95"/>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99" t="s">
        <v>16</v>
      </c>
      <c r="B92" s="283" t="str">
        <f>B70</f>
        <v>CEC</v>
      </c>
      <c r="C92" s="95" t="str">
        <f t="shared" ref="C92:C100" si="42">C81</f>
        <v>Commercial - Cooling</v>
      </c>
      <c r="D92" s="95" t="s">
        <v>75</v>
      </c>
      <c r="E92" s="104">
        <f>E81</f>
        <v>1051.567060091292</v>
      </c>
      <c r="F92" s="112">
        <f>F81</f>
        <v>864.77958996918915</v>
      </c>
      <c r="G92" s="112">
        <f t="shared" ref="G92:G100" si="43">F92</f>
        <v>864.77958996918915</v>
      </c>
      <c r="H92" s="112">
        <f t="shared" ref="H92:H97" si="44">G92*(1+$H$91)</f>
        <v>648.58469247689186</v>
      </c>
      <c r="I92" s="164">
        <f>H92</f>
        <v>648.58469247689186</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843.16010021995942</v>
      </c>
      <c r="T92" s="8">
        <f t="shared" si="45"/>
        <v>821.54061047072969</v>
      </c>
      <c r="U92" s="8">
        <f t="shared" si="45"/>
        <v>799.92112072149996</v>
      </c>
      <c r="V92" s="8">
        <f t="shared" si="45"/>
        <v>778.30163097227023</v>
      </c>
      <c r="W92" s="8">
        <f t="shared" si="45"/>
        <v>756.6821412230405</v>
      </c>
      <c r="X92" s="8">
        <f t="shared" si="45"/>
        <v>735.06265147381077</v>
      </c>
      <c r="Y92" s="8">
        <f t="shared" si="45"/>
        <v>713.44316172458105</v>
      </c>
      <c r="Z92" s="8">
        <f t="shared" si="45"/>
        <v>691.82367197535132</v>
      </c>
      <c r="AA92" s="8">
        <f t="shared" si="45"/>
        <v>670.20418222612159</v>
      </c>
      <c r="AB92" s="8">
        <f t="shared" ref="AB92:AQ100" si="46">IF(AB$8=-1,AC92,IF(AB$8=99,AA92,IF(AB$8=0,INDEX($E92:$I92,0,AB$6),(INDEX($E92:$I92,0,AB$8+1)-INDEX($E92:$I92,0,AB$8))/(INDEX($D$5:$H$5,0,AB$8+1)-INDEX($D$5:$H$5,0,AB$8))+AA92)))</f>
        <v>648.58469247689186</v>
      </c>
      <c r="AC92" s="8">
        <f t="shared" si="46"/>
        <v>648.58469247689186</v>
      </c>
      <c r="AD92" s="8">
        <f t="shared" si="46"/>
        <v>648.58469247689186</v>
      </c>
      <c r="AE92" s="8">
        <f t="shared" si="46"/>
        <v>648.58469247689186</v>
      </c>
      <c r="AF92" s="8">
        <f t="shared" si="46"/>
        <v>648.58469247689186</v>
      </c>
      <c r="AG92" s="8">
        <f t="shared" si="46"/>
        <v>648.58469247689186</v>
      </c>
      <c r="AH92" s="8">
        <f t="shared" si="46"/>
        <v>648.58469247689186</v>
      </c>
      <c r="AI92" s="8">
        <f t="shared" si="46"/>
        <v>648.58469247689186</v>
      </c>
      <c r="AJ92" s="8">
        <f t="shared" si="46"/>
        <v>648.58469247689186</v>
      </c>
      <c r="AK92" s="8">
        <f t="shared" si="46"/>
        <v>648.58469247689186</v>
      </c>
      <c r="AL92" s="8">
        <f t="shared" si="46"/>
        <v>648.58469247689186</v>
      </c>
      <c r="AM92" s="8">
        <f t="shared" si="46"/>
        <v>648.58469247689186</v>
      </c>
      <c r="AN92" s="8">
        <f t="shared" si="46"/>
        <v>648.58469247689186</v>
      </c>
      <c r="AO92" s="8">
        <f t="shared" si="46"/>
        <v>648.58469247689186</v>
      </c>
      <c r="AP92" s="8">
        <f t="shared" si="46"/>
        <v>648.58469247689186</v>
      </c>
      <c r="AQ92" s="8">
        <f t="shared" si="46"/>
        <v>648.58469247689186</v>
      </c>
      <c r="AR92" s="8">
        <f t="shared" ref="AR92:AV100" si="47">IF(AR$8=-1,AS92,IF(AR$8=99,AQ92,IF(AR$8=0,INDEX($E92:$I92,0,AR$6),(INDEX($E92:$I92,0,AR$8+1)-INDEX($E92:$I92,0,AR$8))/(INDEX($D$5:$H$5,0,AR$8+1)-INDEX($D$5:$H$5,0,AR$8))+AQ92)))</f>
        <v>648.58469247689186</v>
      </c>
      <c r="AS92" s="8">
        <f t="shared" si="47"/>
        <v>648.58469247689186</v>
      </c>
      <c r="AT92" s="8">
        <f t="shared" si="47"/>
        <v>648.58469247689186</v>
      </c>
      <c r="AU92" s="8">
        <f t="shared" si="47"/>
        <v>648.58469247689186</v>
      </c>
      <c r="AV92" s="8">
        <f t="shared" si="47"/>
        <v>648.58469247689186</v>
      </c>
    </row>
    <row r="93" spans="1:48">
      <c r="A93" s="199" t="s">
        <v>16</v>
      </c>
      <c r="B93" s="283" t="str">
        <f t="shared" ref="B93:B100" si="48">B71</f>
        <v>CEH</v>
      </c>
      <c r="C93" s="95" t="str">
        <f t="shared" si="42"/>
        <v>Commercial - Space Heating</v>
      </c>
      <c r="D93" s="95" t="s">
        <v>75</v>
      </c>
      <c r="E93" s="104">
        <f t="shared" ref="E93:F100" si="49">E82</f>
        <v>59.117764859369188</v>
      </c>
      <c r="F93" s="112">
        <f t="shared" si="49"/>
        <v>82.470862832548889</v>
      </c>
      <c r="G93" s="112">
        <f t="shared" si="43"/>
        <v>82.470862832548889</v>
      </c>
      <c r="H93" s="112">
        <f t="shared" si="44"/>
        <v>61.853147124411663</v>
      </c>
      <c r="I93" s="164">
        <f t="shared" ref="I93:I100" si="50">H93</f>
        <v>61.853147124411663</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80.409091261735171</v>
      </c>
      <c r="T93" s="8">
        <f t="shared" si="45"/>
        <v>78.347319690921452</v>
      </c>
      <c r="U93" s="8">
        <f t="shared" si="45"/>
        <v>76.285548120107734</v>
      </c>
      <c r="V93" s="8">
        <f t="shared" si="45"/>
        <v>74.223776549294016</v>
      </c>
      <c r="W93" s="8">
        <f t="shared" si="45"/>
        <v>72.162004978480297</v>
      </c>
      <c r="X93" s="8">
        <f t="shared" si="45"/>
        <v>70.100233407666579</v>
      </c>
      <c r="Y93" s="8">
        <f t="shared" si="45"/>
        <v>68.038461836852861</v>
      </c>
      <c r="Z93" s="8">
        <f t="shared" si="45"/>
        <v>65.976690266039142</v>
      </c>
      <c r="AA93" s="8">
        <f t="shared" si="45"/>
        <v>63.914918695225417</v>
      </c>
      <c r="AB93" s="8">
        <f t="shared" si="46"/>
        <v>61.853147124411663</v>
      </c>
      <c r="AC93" s="8">
        <f t="shared" si="46"/>
        <v>61.853147124411663</v>
      </c>
      <c r="AD93" s="8">
        <f t="shared" si="46"/>
        <v>61.853147124411663</v>
      </c>
      <c r="AE93" s="8">
        <f t="shared" si="46"/>
        <v>61.853147124411663</v>
      </c>
      <c r="AF93" s="8">
        <f t="shared" si="46"/>
        <v>61.853147124411663</v>
      </c>
      <c r="AG93" s="8">
        <f t="shared" si="46"/>
        <v>61.853147124411663</v>
      </c>
      <c r="AH93" s="8">
        <f t="shared" si="46"/>
        <v>61.853147124411663</v>
      </c>
      <c r="AI93" s="8">
        <f t="shared" si="46"/>
        <v>61.853147124411663</v>
      </c>
      <c r="AJ93" s="8">
        <f t="shared" si="46"/>
        <v>61.853147124411663</v>
      </c>
      <c r="AK93" s="8">
        <f t="shared" si="46"/>
        <v>61.853147124411663</v>
      </c>
      <c r="AL93" s="8">
        <f t="shared" si="46"/>
        <v>61.853147124411663</v>
      </c>
      <c r="AM93" s="8">
        <f t="shared" si="46"/>
        <v>61.853147124411663</v>
      </c>
      <c r="AN93" s="8">
        <f t="shared" si="46"/>
        <v>61.853147124411663</v>
      </c>
      <c r="AO93" s="8">
        <f t="shared" si="46"/>
        <v>61.853147124411663</v>
      </c>
      <c r="AP93" s="8">
        <f t="shared" si="46"/>
        <v>61.853147124411663</v>
      </c>
      <c r="AQ93" s="8">
        <f t="shared" si="46"/>
        <v>61.853147124411663</v>
      </c>
      <c r="AR93" s="8">
        <f t="shared" si="47"/>
        <v>61.853147124411663</v>
      </c>
      <c r="AS93" s="8">
        <f t="shared" si="47"/>
        <v>61.853147124411663</v>
      </c>
      <c r="AT93" s="8">
        <f t="shared" si="47"/>
        <v>61.853147124411663</v>
      </c>
      <c r="AU93" s="8">
        <f t="shared" si="47"/>
        <v>61.853147124411663</v>
      </c>
      <c r="AV93" s="8">
        <f t="shared" si="47"/>
        <v>61.853147124411663</v>
      </c>
    </row>
    <row r="94" spans="1:48">
      <c r="A94" s="199" t="s">
        <v>16</v>
      </c>
      <c r="B94" s="283" t="str">
        <f t="shared" si="48"/>
        <v>CEK</v>
      </c>
      <c r="C94" s="95" t="str">
        <f t="shared" si="42"/>
        <v>Commercial - Cooking</v>
      </c>
      <c r="D94" s="95" t="s">
        <v>75</v>
      </c>
      <c r="E94" s="104">
        <f t="shared" si="49"/>
        <v>74.498085701673531</v>
      </c>
      <c r="F94" s="112">
        <f t="shared" si="49"/>
        <v>61.683981193944355</v>
      </c>
      <c r="G94" s="112">
        <f t="shared" si="43"/>
        <v>61.683981193944355</v>
      </c>
      <c r="H94" s="112">
        <f t="shared" si="44"/>
        <v>46.262985895458264</v>
      </c>
      <c r="I94" s="164">
        <f t="shared" si="50"/>
        <v>46.262985895458264</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60.141881664095749</v>
      </c>
      <c r="T94" s="8">
        <f t="shared" si="45"/>
        <v>58.599782134247143</v>
      </c>
      <c r="U94" s="8">
        <f t="shared" si="45"/>
        <v>57.057682604398536</v>
      </c>
      <c r="V94" s="8">
        <f t="shared" si="45"/>
        <v>55.51558307454993</v>
      </c>
      <c r="W94" s="8">
        <f t="shared" si="45"/>
        <v>53.973483544701324</v>
      </c>
      <c r="X94" s="8">
        <f t="shared" si="45"/>
        <v>52.431384014852718</v>
      </c>
      <c r="Y94" s="8">
        <f t="shared" si="45"/>
        <v>50.889284485004112</v>
      </c>
      <c r="Z94" s="8">
        <f t="shared" si="45"/>
        <v>49.347184955155505</v>
      </c>
      <c r="AA94" s="8">
        <f t="shared" si="45"/>
        <v>47.805085425306899</v>
      </c>
      <c r="AB94" s="8">
        <f t="shared" si="46"/>
        <v>46.262985895458264</v>
      </c>
      <c r="AC94" s="8">
        <f t="shared" si="46"/>
        <v>46.262985895458264</v>
      </c>
      <c r="AD94" s="8">
        <f t="shared" si="46"/>
        <v>46.262985895458264</v>
      </c>
      <c r="AE94" s="8">
        <f t="shared" si="46"/>
        <v>46.262985895458264</v>
      </c>
      <c r="AF94" s="8">
        <f t="shared" si="46"/>
        <v>46.262985895458264</v>
      </c>
      <c r="AG94" s="8">
        <f t="shared" si="46"/>
        <v>46.262985895458264</v>
      </c>
      <c r="AH94" s="8">
        <f t="shared" si="46"/>
        <v>46.262985895458264</v>
      </c>
      <c r="AI94" s="8">
        <f t="shared" si="46"/>
        <v>46.262985895458264</v>
      </c>
      <c r="AJ94" s="8">
        <f t="shared" si="46"/>
        <v>46.262985895458264</v>
      </c>
      <c r="AK94" s="8">
        <f t="shared" si="46"/>
        <v>46.262985895458264</v>
      </c>
      <c r="AL94" s="8">
        <f t="shared" si="46"/>
        <v>46.262985895458264</v>
      </c>
      <c r="AM94" s="8">
        <f t="shared" si="46"/>
        <v>46.262985895458264</v>
      </c>
      <c r="AN94" s="8">
        <f t="shared" si="46"/>
        <v>46.262985895458264</v>
      </c>
      <c r="AO94" s="8">
        <f t="shared" si="46"/>
        <v>46.262985895458264</v>
      </c>
      <c r="AP94" s="8">
        <f t="shared" si="46"/>
        <v>46.262985895458264</v>
      </c>
      <c r="AQ94" s="8">
        <f t="shared" si="46"/>
        <v>46.262985895458264</v>
      </c>
      <c r="AR94" s="8">
        <f t="shared" si="47"/>
        <v>46.262985895458264</v>
      </c>
      <c r="AS94" s="8">
        <f t="shared" si="47"/>
        <v>46.262985895458264</v>
      </c>
      <c r="AT94" s="8">
        <f t="shared" si="47"/>
        <v>46.262985895458264</v>
      </c>
      <c r="AU94" s="8">
        <f t="shared" si="47"/>
        <v>46.262985895458264</v>
      </c>
      <c r="AV94" s="8">
        <f t="shared" si="47"/>
        <v>46.262985895458264</v>
      </c>
    </row>
    <row r="95" spans="1:48">
      <c r="A95" s="199" t="s">
        <v>16</v>
      </c>
      <c r="B95" s="283" t="str">
        <f t="shared" si="48"/>
        <v>CEL</v>
      </c>
      <c r="C95" s="95" t="str">
        <f t="shared" si="42"/>
        <v>Commercial - Lighting</v>
      </c>
      <c r="D95" s="95" t="s">
        <v>75</v>
      </c>
      <c r="E95" s="104">
        <f t="shared" si="49"/>
        <v>915.10615144128838</v>
      </c>
      <c r="F95" s="112">
        <f t="shared" si="49"/>
        <v>752.55792279474565</v>
      </c>
      <c r="G95" s="112">
        <f t="shared" si="43"/>
        <v>752.55792279474565</v>
      </c>
      <c r="H95" s="112">
        <f t="shared" si="44"/>
        <v>564.41844209605927</v>
      </c>
      <c r="I95" s="164">
        <f t="shared" si="50"/>
        <v>564.41844209605927</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733.74397472487703</v>
      </c>
      <c r="T95" s="8">
        <f t="shared" si="45"/>
        <v>714.93002665500842</v>
      </c>
      <c r="U95" s="8">
        <f t="shared" si="45"/>
        <v>696.1160785851398</v>
      </c>
      <c r="V95" s="8">
        <f t="shared" si="45"/>
        <v>677.30213051527119</v>
      </c>
      <c r="W95" s="8">
        <f t="shared" si="45"/>
        <v>658.48818244540257</v>
      </c>
      <c r="X95" s="8">
        <f t="shared" si="45"/>
        <v>639.67423437553396</v>
      </c>
      <c r="Y95" s="8">
        <f t="shared" si="45"/>
        <v>620.86028630566534</v>
      </c>
      <c r="Z95" s="8">
        <f t="shared" si="45"/>
        <v>602.04633823579672</v>
      </c>
      <c r="AA95" s="8">
        <f t="shared" si="45"/>
        <v>583.23239016592811</v>
      </c>
      <c r="AB95" s="8">
        <f t="shared" si="46"/>
        <v>564.41844209605927</v>
      </c>
      <c r="AC95" s="8">
        <f t="shared" si="46"/>
        <v>564.41844209605927</v>
      </c>
      <c r="AD95" s="8">
        <f t="shared" si="46"/>
        <v>564.41844209605927</v>
      </c>
      <c r="AE95" s="8">
        <f t="shared" si="46"/>
        <v>564.41844209605927</v>
      </c>
      <c r="AF95" s="8">
        <f t="shared" si="46"/>
        <v>564.41844209605927</v>
      </c>
      <c r="AG95" s="8">
        <f t="shared" si="46"/>
        <v>564.41844209605927</v>
      </c>
      <c r="AH95" s="8">
        <f t="shared" si="46"/>
        <v>564.41844209605927</v>
      </c>
      <c r="AI95" s="8">
        <f t="shared" si="46"/>
        <v>564.41844209605927</v>
      </c>
      <c r="AJ95" s="8">
        <f t="shared" si="46"/>
        <v>564.41844209605927</v>
      </c>
      <c r="AK95" s="8">
        <f t="shared" si="46"/>
        <v>564.41844209605927</v>
      </c>
      <c r="AL95" s="8">
        <f t="shared" si="46"/>
        <v>564.41844209605927</v>
      </c>
      <c r="AM95" s="8">
        <f t="shared" si="46"/>
        <v>564.41844209605927</v>
      </c>
      <c r="AN95" s="8">
        <f t="shared" si="46"/>
        <v>564.41844209605927</v>
      </c>
      <c r="AO95" s="8">
        <f t="shared" si="46"/>
        <v>564.41844209605927</v>
      </c>
      <c r="AP95" s="8">
        <f t="shared" si="46"/>
        <v>564.41844209605927</v>
      </c>
      <c r="AQ95" s="8">
        <f t="shared" si="46"/>
        <v>564.41844209605927</v>
      </c>
      <c r="AR95" s="8">
        <f t="shared" si="47"/>
        <v>564.41844209605927</v>
      </c>
      <c r="AS95" s="8">
        <f t="shared" si="47"/>
        <v>564.41844209605927</v>
      </c>
      <c r="AT95" s="8">
        <f t="shared" si="47"/>
        <v>564.41844209605927</v>
      </c>
      <c r="AU95" s="8">
        <f t="shared" si="47"/>
        <v>564.41844209605927</v>
      </c>
      <c r="AV95" s="8">
        <f t="shared" si="47"/>
        <v>564.41844209605927</v>
      </c>
    </row>
    <row r="96" spans="1:48">
      <c r="A96" s="199" t="s">
        <v>16</v>
      </c>
      <c r="B96" s="283" t="str">
        <f t="shared" si="48"/>
        <v>CER</v>
      </c>
      <c r="C96" s="95" t="str">
        <f t="shared" si="42"/>
        <v>Commercial - Refrigeration</v>
      </c>
      <c r="D96" s="95" t="s">
        <v>75</v>
      </c>
      <c r="E96" s="104">
        <f t="shared" si="49"/>
        <v>222.61251585750318</v>
      </c>
      <c r="F96" s="112">
        <f t="shared" si="49"/>
        <v>183.07035993362933</v>
      </c>
      <c r="G96" s="112">
        <f t="shared" si="43"/>
        <v>183.07035993362933</v>
      </c>
      <c r="H96" s="112">
        <f t="shared" si="44"/>
        <v>137.302769950222</v>
      </c>
      <c r="I96" s="164">
        <f t="shared" si="50"/>
        <v>137.302769950222</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178.49360093528861</v>
      </c>
      <c r="T96" s="8">
        <f t="shared" si="45"/>
        <v>173.91684193694789</v>
      </c>
      <c r="U96" s="8">
        <f t="shared" si="45"/>
        <v>169.34008293860717</v>
      </c>
      <c r="V96" s="8">
        <f t="shared" si="45"/>
        <v>164.76332394026645</v>
      </c>
      <c r="W96" s="8">
        <f t="shared" si="45"/>
        <v>160.18656494192572</v>
      </c>
      <c r="X96" s="8">
        <f t="shared" si="45"/>
        <v>155.609805943585</v>
      </c>
      <c r="Y96" s="8">
        <f t="shared" si="45"/>
        <v>151.03304694524428</v>
      </c>
      <c r="Z96" s="8">
        <f t="shared" si="45"/>
        <v>146.45628794690356</v>
      </c>
      <c r="AA96" s="8">
        <f t="shared" si="45"/>
        <v>141.87952894856284</v>
      </c>
      <c r="AB96" s="8">
        <f t="shared" si="46"/>
        <v>137.302769950222</v>
      </c>
      <c r="AC96" s="8">
        <f t="shared" si="46"/>
        <v>137.302769950222</v>
      </c>
      <c r="AD96" s="8">
        <f t="shared" si="46"/>
        <v>137.302769950222</v>
      </c>
      <c r="AE96" s="8">
        <f t="shared" si="46"/>
        <v>137.302769950222</v>
      </c>
      <c r="AF96" s="8">
        <f t="shared" si="46"/>
        <v>137.302769950222</v>
      </c>
      <c r="AG96" s="8">
        <f t="shared" si="46"/>
        <v>137.302769950222</v>
      </c>
      <c r="AH96" s="8">
        <f t="shared" si="46"/>
        <v>137.302769950222</v>
      </c>
      <c r="AI96" s="8">
        <f t="shared" si="46"/>
        <v>137.302769950222</v>
      </c>
      <c r="AJ96" s="8">
        <f t="shared" si="46"/>
        <v>137.302769950222</v>
      </c>
      <c r="AK96" s="8">
        <f t="shared" si="46"/>
        <v>137.302769950222</v>
      </c>
      <c r="AL96" s="8">
        <f t="shared" si="46"/>
        <v>137.302769950222</v>
      </c>
      <c r="AM96" s="8">
        <f t="shared" si="46"/>
        <v>137.302769950222</v>
      </c>
      <c r="AN96" s="8">
        <f t="shared" si="46"/>
        <v>137.302769950222</v>
      </c>
      <c r="AO96" s="8">
        <f t="shared" si="46"/>
        <v>137.302769950222</v>
      </c>
      <c r="AP96" s="8">
        <f t="shared" si="46"/>
        <v>137.302769950222</v>
      </c>
      <c r="AQ96" s="8">
        <f t="shared" si="46"/>
        <v>137.302769950222</v>
      </c>
      <c r="AR96" s="8">
        <f t="shared" si="47"/>
        <v>137.302769950222</v>
      </c>
      <c r="AS96" s="8">
        <f t="shared" si="47"/>
        <v>137.302769950222</v>
      </c>
      <c r="AT96" s="8">
        <f t="shared" si="47"/>
        <v>137.302769950222</v>
      </c>
      <c r="AU96" s="8">
        <f t="shared" si="47"/>
        <v>137.302769950222</v>
      </c>
      <c r="AV96" s="8">
        <f t="shared" si="47"/>
        <v>137.302769950222</v>
      </c>
    </row>
    <row r="97" spans="1:50">
      <c r="A97" s="199" t="s">
        <v>16</v>
      </c>
      <c r="B97" s="283" t="str">
        <f t="shared" si="48"/>
        <v>CEW</v>
      </c>
      <c r="C97" s="95" t="str">
        <f t="shared" si="42"/>
        <v>Commercial - Water Heating</v>
      </c>
      <c r="D97" s="95" t="s">
        <v>75</v>
      </c>
      <c r="E97" s="104">
        <f t="shared" si="49"/>
        <v>72.906473658117989</v>
      </c>
      <c r="F97" s="112">
        <f t="shared" si="49"/>
        <v>95.432706346388613</v>
      </c>
      <c r="G97" s="112">
        <f t="shared" si="43"/>
        <v>95.432706346388613</v>
      </c>
      <c r="H97" s="112">
        <f t="shared" si="44"/>
        <v>71.57452975979146</v>
      </c>
      <c r="I97" s="164">
        <f t="shared" si="50"/>
        <v>71.57452975979146</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93.046888687728895</v>
      </c>
      <c r="T97" s="8">
        <f t="shared" si="45"/>
        <v>90.661071029069177</v>
      </c>
      <c r="U97" s="8">
        <f t="shared" si="45"/>
        <v>88.275253370409459</v>
      </c>
      <c r="V97" s="8">
        <f t="shared" si="45"/>
        <v>85.889435711749741</v>
      </c>
      <c r="W97" s="8">
        <f t="shared" si="45"/>
        <v>83.503618053090022</v>
      </c>
      <c r="X97" s="8">
        <f t="shared" si="45"/>
        <v>81.117800394430304</v>
      </c>
      <c r="Y97" s="8">
        <f t="shared" si="45"/>
        <v>78.731982735770586</v>
      </c>
      <c r="Z97" s="8">
        <f t="shared" si="45"/>
        <v>76.346165077110868</v>
      </c>
      <c r="AA97" s="8">
        <f t="shared" si="45"/>
        <v>73.96034741845115</v>
      </c>
      <c r="AB97" s="8">
        <f t="shared" si="46"/>
        <v>71.57452975979146</v>
      </c>
      <c r="AC97" s="8">
        <f t="shared" si="46"/>
        <v>71.57452975979146</v>
      </c>
      <c r="AD97" s="8">
        <f t="shared" si="46"/>
        <v>71.57452975979146</v>
      </c>
      <c r="AE97" s="8">
        <f t="shared" si="46"/>
        <v>71.57452975979146</v>
      </c>
      <c r="AF97" s="8">
        <f t="shared" si="46"/>
        <v>71.57452975979146</v>
      </c>
      <c r="AG97" s="8">
        <f t="shared" si="46"/>
        <v>71.57452975979146</v>
      </c>
      <c r="AH97" s="8">
        <f t="shared" si="46"/>
        <v>71.57452975979146</v>
      </c>
      <c r="AI97" s="8">
        <f t="shared" si="46"/>
        <v>71.57452975979146</v>
      </c>
      <c r="AJ97" s="8">
        <f t="shared" si="46"/>
        <v>71.57452975979146</v>
      </c>
      <c r="AK97" s="8">
        <f t="shared" si="46"/>
        <v>71.57452975979146</v>
      </c>
      <c r="AL97" s="8">
        <f t="shared" si="46"/>
        <v>71.57452975979146</v>
      </c>
      <c r="AM97" s="8">
        <f t="shared" si="46"/>
        <v>71.57452975979146</v>
      </c>
      <c r="AN97" s="8">
        <f t="shared" si="46"/>
        <v>71.57452975979146</v>
      </c>
      <c r="AO97" s="8">
        <f t="shared" si="46"/>
        <v>71.57452975979146</v>
      </c>
      <c r="AP97" s="8">
        <f t="shared" si="46"/>
        <v>71.57452975979146</v>
      </c>
      <c r="AQ97" s="8">
        <f t="shared" si="46"/>
        <v>71.57452975979146</v>
      </c>
      <c r="AR97" s="8">
        <f t="shared" si="47"/>
        <v>71.57452975979146</v>
      </c>
      <c r="AS97" s="8">
        <f t="shared" si="47"/>
        <v>71.57452975979146</v>
      </c>
      <c r="AT97" s="8">
        <f t="shared" si="47"/>
        <v>71.57452975979146</v>
      </c>
      <c r="AU97" s="8">
        <f t="shared" si="47"/>
        <v>71.57452975979146</v>
      </c>
      <c r="AV97" s="8">
        <f t="shared" si="47"/>
        <v>71.57452975979146</v>
      </c>
    </row>
    <row r="98" spans="1:50">
      <c r="A98" s="199" t="s">
        <v>16</v>
      </c>
      <c r="B98" s="283" t="str">
        <f t="shared" si="48"/>
        <v>CEG</v>
      </c>
      <c r="C98" s="115" t="str">
        <f t="shared" si="42"/>
        <v>Commercial - Public lights</v>
      </c>
      <c r="D98" s="115" t="s">
        <v>75</v>
      </c>
      <c r="E98" s="187">
        <f>D62/$J$34</f>
        <v>387.77678995775307</v>
      </c>
      <c r="F98" s="187">
        <f>E62/$O$34</f>
        <v>318.89687890197069</v>
      </c>
      <c r="G98" s="182">
        <f t="shared" si="43"/>
        <v>318.89687890197069</v>
      </c>
      <c r="H98" s="182">
        <f>G98*(1+$I$91)</f>
        <v>255.11750312157656</v>
      </c>
      <c r="I98" s="183">
        <f t="shared" si="50"/>
        <v>255.11750312157656</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312.5189413239313</v>
      </c>
      <c r="T98" s="8">
        <f t="shared" si="45"/>
        <v>306.14100374589191</v>
      </c>
      <c r="U98" s="8">
        <f t="shared" si="45"/>
        <v>299.76306616785251</v>
      </c>
      <c r="V98" s="8">
        <f t="shared" si="45"/>
        <v>293.38512858981312</v>
      </c>
      <c r="W98" s="8">
        <f t="shared" si="45"/>
        <v>287.00719101177373</v>
      </c>
      <c r="X98" s="8">
        <f t="shared" si="45"/>
        <v>280.62925343373433</v>
      </c>
      <c r="Y98" s="8">
        <f t="shared" si="45"/>
        <v>274.25131585569494</v>
      </c>
      <c r="Z98" s="8">
        <f t="shared" si="45"/>
        <v>267.87337827765555</v>
      </c>
      <c r="AA98" s="8">
        <f t="shared" si="45"/>
        <v>261.49544069961615</v>
      </c>
      <c r="AB98" s="8">
        <f t="shared" si="46"/>
        <v>255.11750312157656</v>
      </c>
      <c r="AC98" s="8">
        <f t="shared" si="46"/>
        <v>255.11750312157656</v>
      </c>
      <c r="AD98" s="8">
        <f t="shared" si="46"/>
        <v>255.11750312157656</v>
      </c>
      <c r="AE98" s="8">
        <f t="shared" si="46"/>
        <v>255.11750312157656</v>
      </c>
      <c r="AF98" s="8">
        <f t="shared" si="46"/>
        <v>255.11750312157656</v>
      </c>
      <c r="AG98" s="8">
        <f t="shared" si="46"/>
        <v>255.11750312157656</v>
      </c>
      <c r="AH98" s="8">
        <f t="shared" si="46"/>
        <v>255.11750312157656</v>
      </c>
      <c r="AI98" s="8">
        <f t="shared" si="46"/>
        <v>255.11750312157656</v>
      </c>
      <c r="AJ98" s="8">
        <f t="shared" si="46"/>
        <v>255.11750312157656</v>
      </c>
      <c r="AK98" s="8">
        <f t="shared" si="46"/>
        <v>255.11750312157656</v>
      </c>
      <c r="AL98" s="8">
        <f t="shared" si="46"/>
        <v>255.11750312157656</v>
      </c>
      <c r="AM98" s="8">
        <f t="shared" si="46"/>
        <v>255.11750312157656</v>
      </c>
      <c r="AN98" s="8">
        <f t="shared" si="46"/>
        <v>255.11750312157656</v>
      </c>
      <c r="AO98" s="8">
        <f t="shared" si="46"/>
        <v>255.11750312157656</v>
      </c>
      <c r="AP98" s="8">
        <f t="shared" si="46"/>
        <v>255.11750312157656</v>
      </c>
      <c r="AQ98" s="8">
        <f t="shared" si="46"/>
        <v>255.11750312157656</v>
      </c>
      <c r="AR98" s="8">
        <f t="shared" si="47"/>
        <v>255.11750312157656</v>
      </c>
      <c r="AS98" s="8">
        <f t="shared" si="47"/>
        <v>255.11750312157656</v>
      </c>
      <c r="AT98" s="8">
        <f t="shared" si="47"/>
        <v>255.11750312157656</v>
      </c>
      <c r="AU98" s="8">
        <f t="shared" si="47"/>
        <v>255.11750312157656</v>
      </c>
      <c r="AV98" s="8">
        <f t="shared" si="47"/>
        <v>255.11750312157656</v>
      </c>
    </row>
    <row r="99" spans="1:50">
      <c r="A99" s="199" t="s">
        <v>16</v>
      </c>
      <c r="B99" s="283" t="str">
        <f t="shared" si="48"/>
        <v>CET</v>
      </c>
      <c r="C99" s="115" t="str">
        <f t="shared" si="42"/>
        <v>Commercial - Public Water</v>
      </c>
      <c r="D99" s="115" t="s">
        <v>75</v>
      </c>
      <c r="E99" s="187">
        <f>D63/$J$34</f>
        <v>133.99608918927126</v>
      </c>
      <c r="F99" s="187">
        <f>E63/$O$34</f>
        <v>110.19466800007318</v>
      </c>
      <c r="G99" s="182">
        <f t="shared" si="43"/>
        <v>110.19466800007318</v>
      </c>
      <c r="H99" s="182">
        <f>G99*(1+$I$91)</f>
        <v>88.155734400058549</v>
      </c>
      <c r="I99" s="183">
        <f t="shared" si="50"/>
        <v>88.155734400058549</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107.99077464007172</v>
      </c>
      <c r="T99" s="8">
        <f t="shared" si="45"/>
        <v>105.78688128007026</v>
      </c>
      <c r="U99" s="8">
        <f t="shared" si="45"/>
        <v>103.5829879200688</v>
      </c>
      <c r="V99" s="8">
        <f t="shared" si="45"/>
        <v>101.37909456006734</v>
      </c>
      <c r="W99" s="8">
        <f t="shared" si="45"/>
        <v>99.175201200065885</v>
      </c>
      <c r="X99" s="8">
        <f t="shared" si="45"/>
        <v>96.971307840064426</v>
      </c>
      <c r="Y99" s="8">
        <f t="shared" si="45"/>
        <v>94.767414480062968</v>
      </c>
      <c r="Z99" s="8">
        <f t="shared" si="45"/>
        <v>92.563521120061509</v>
      </c>
      <c r="AA99" s="8">
        <f t="shared" si="45"/>
        <v>90.35962776006005</v>
      </c>
      <c r="AB99" s="8">
        <f t="shared" si="46"/>
        <v>88.155734400058549</v>
      </c>
      <c r="AC99" s="8">
        <f t="shared" si="46"/>
        <v>88.155734400058549</v>
      </c>
      <c r="AD99" s="8">
        <f t="shared" si="46"/>
        <v>88.155734400058549</v>
      </c>
      <c r="AE99" s="8">
        <f t="shared" si="46"/>
        <v>88.155734400058549</v>
      </c>
      <c r="AF99" s="8">
        <f t="shared" si="46"/>
        <v>88.155734400058549</v>
      </c>
      <c r="AG99" s="8">
        <f t="shared" si="46"/>
        <v>88.155734400058549</v>
      </c>
      <c r="AH99" s="8">
        <f t="shared" si="46"/>
        <v>88.155734400058549</v>
      </c>
      <c r="AI99" s="8">
        <f t="shared" si="46"/>
        <v>88.155734400058549</v>
      </c>
      <c r="AJ99" s="8">
        <f t="shared" si="46"/>
        <v>88.155734400058549</v>
      </c>
      <c r="AK99" s="8">
        <f t="shared" si="46"/>
        <v>88.155734400058549</v>
      </c>
      <c r="AL99" s="8">
        <f t="shared" si="46"/>
        <v>88.155734400058549</v>
      </c>
      <c r="AM99" s="8">
        <f t="shared" si="46"/>
        <v>88.155734400058549</v>
      </c>
      <c r="AN99" s="8">
        <f t="shared" si="46"/>
        <v>88.155734400058549</v>
      </c>
      <c r="AO99" s="8">
        <f t="shared" si="46"/>
        <v>88.155734400058549</v>
      </c>
      <c r="AP99" s="8">
        <f t="shared" si="46"/>
        <v>88.155734400058549</v>
      </c>
      <c r="AQ99" s="8">
        <f t="shared" si="46"/>
        <v>88.155734400058549</v>
      </c>
      <c r="AR99" s="8">
        <f t="shared" si="47"/>
        <v>88.155734400058549</v>
      </c>
      <c r="AS99" s="8">
        <f t="shared" si="47"/>
        <v>88.155734400058549</v>
      </c>
      <c r="AT99" s="8">
        <f t="shared" si="47"/>
        <v>88.155734400058549</v>
      </c>
      <c r="AU99" s="8">
        <f t="shared" si="47"/>
        <v>88.155734400058549</v>
      </c>
      <c r="AV99" s="8">
        <f t="shared" si="47"/>
        <v>88.155734400058549</v>
      </c>
    </row>
    <row r="100" spans="1:50">
      <c r="A100" s="199" t="s">
        <v>16</v>
      </c>
      <c r="B100" s="283" t="str">
        <f t="shared" si="48"/>
        <v>CEO</v>
      </c>
      <c r="C100" s="95" t="str">
        <f t="shared" si="42"/>
        <v>Commercial - Other</v>
      </c>
      <c r="D100" s="95" t="s">
        <v>75</v>
      </c>
      <c r="E100" s="104">
        <f t="shared" si="49"/>
        <v>141.24997285391134</v>
      </c>
      <c r="F100" s="112">
        <f t="shared" si="49"/>
        <v>122.21640392690337</v>
      </c>
      <c r="G100" s="112">
        <f t="shared" si="43"/>
        <v>122.21640392690337</v>
      </c>
      <c r="H100" s="112">
        <f>G100*(1+$H$91)</f>
        <v>91.66230294517753</v>
      </c>
      <c r="I100" s="164">
        <f t="shared" si="50"/>
        <v>91.66230294517753</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119.16099382873078</v>
      </c>
      <c r="T100" s="8">
        <f t="shared" si="45"/>
        <v>116.10558373055819</v>
      </c>
      <c r="U100" s="8">
        <f t="shared" si="45"/>
        <v>113.05017363238561</v>
      </c>
      <c r="V100" s="8">
        <f t="shared" si="45"/>
        <v>109.99476353421302</v>
      </c>
      <c r="W100" s="8">
        <f t="shared" si="45"/>
        <v>106.93935343604043</v>
      </c>
      <c r="X100" s="8">
        <f t="shared" si="45"/>
        <v>103.88394333786785</v>
      </c>
      <c r="Y100" s="8">
        <f t="shared" si="45"/>
        <v>100.82853323969526</v>
      </c>
      <c r="Z100" s="8">
        <f t="shared" si="45"/>
        <v>97.773123141522674</v>
      </c>
      <c r="AA100" s="8">
        <f t="shared" si="45"/>
        <v>94.717713043350088</v>
      </c>
      <c r="AB100" s="8">
        <f t="shared" si="46"/>
        <v>91.66230294517753</v>
      </c>
      <c r="AC100" s="8">
        <f t="shared" si="46"/>
        <v>91.66230294517753</v>
      </c>
      <c r="AD100" s="8">
        <f t="shared" si="46"/>
        <v>91.66230294517753</v>
      </c>
      <c r="AE100" s="8">
        <f t="shared" si="46"/>
        <v>91.66230294517753</v>
      </c>
      <c r="AF100" s="8">
        <f t="shared" si="46"/>
        <v>91.66230294517753</v>
      </c>
      <c r="AG100" s="8">
        <f t="shared" si="46"/>
        <v>91.66230294517753</v>
      </c>
      <c r="AH100" s="8">
        <f t="shared" si="46"/>
        <v>91.66230294517753</v>
      </c>
      <c r="AI100" s="8">
        <f t="shared" si="46"/>
        <v>91.66230294517753</v>
      </c>
      <c r="AJ100" s="8">
        <f t="shared" si="46"/>
        <v>91.66230294517753</v>
      </c>
      <c r="AK100" s="8">
        <f t="shared" si="46"/>
        <v>91.66230294517753</v>
      </c>
      <c r="AL100" s="8">
        <f t="shared" si="46"/>
        <v>91.66230294517753</v>
      </c>
      <c r="AM100" s="8">
        <f t="shared" si="46"/>
        <v>91.66230294517753</v>
      </c>
      <c r="AN100" s="8">
        <f t="shared" si="46"/>
        <v>91.66230294517753</v>
      </c>
      <c r="AO100" s="8">
        <f t="shared" si="46"/>
        <v>91.66230294517753</v>
      </c>
      <c r="AP100" s="8">
        <f t="shared" si="46"/>
        <v>91.66230294517753</v>
      </c>
      <c r="AQ100" s="8">
        <f t="shared" si="46"/>
        <v>91.66230294517753</v>
      </c>
      <c r="AR100" s="8">
        <f t="shared" si="47"/>
        <v>91.66230294517753</v>
      </c>
      <c r="AS100" s="8">
        <f t="shared" si="47"/>
        <v>91.66230294517753</v>
      </c>
      <c r="AT100" s="8">
        <f t="shared" si="47"/>
        <v>91.66230294517753</v>
      </c>
      <c r="AU100" s="8">
        <f t="shared" si="47"/>
        <v>91.66230294517753</v>
      </c>
      <c r="AV100" s="8">
        <f t="shared" si="47"/>
        <v>91.66230294517753</v>
      </c>
    </row>
    <row r="101" spans="1:50">
      <c r="A101" s="199" t="s">
        <v>16</v>
      </c>
      <c r="B101" s="283"/>
      <c r="I101" s="165"/>
      <c r="K101" s="95"/>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99" t="s">
        <v>16</v>
      </c>
      <c r="E102" s="104"/>
      <c r="F102" s="104"/>
      <c r="G102" s="104"/>
      <c r="H102" s="104"/>
      <c r="I102" s="185"/>
      <c r="J102" s="104"/>
      <c r="K102" s="104"/>
      <c r="L102" s="104"/>
      <c r="M102" s="104"/>
      <c r="N102" s="104"/>
      <c r="O102" s="104"/>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row>
    <row r="103" spans="1:50" ht="18.75">
      <c r="A103" s="199" t="s">
        <v>16</v>
      </c>
      <c r="B103" s="175" t="s">
        <v>76</v>
      </c>
      <c r="I103" s="165"/>
      <c r="J103" s="104"/>
      <c r="K103" s="104"/>
      <c r="L103" s="104"/>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row>
    <row r="104" spans="1:50" ht="15.75" thickBot="1">
      <c r="A104" s="199" t="s">
        <v>16</v>
      </c>
      <c r="B104" s="92"/>
      <c r="C104" s="92" t="s">
        <v>257</v>
      </c>
      <c r="D104" s="92"/>
      <c r="E104" s="92"/>
      <c r="F104" s="105"/>
      <c r="G104" s="105"/>
      <c r="H104" s="105"/>
      <c r="I104" s="186"/>
      <c r="J104" s="105">
        <f t="shared" ref="J104:AV104" si="52">J67</f>
        <v>2012</v>
      </c>
      <c r="K104" s="105">
        <f t="shared" si="52"/>
        <v>2013</v>
      </c>
      <c r="L104" s="105">
        <f t="shared" si="52"/>
        <v>2014</v>
      </c>
      <c r="M104" s="105">
        <f t="shared" si="52"/>
        <v>2015</v>
      </c>
      <c r="N104" s="105">
        <f t="shared" si="52"/>
        <v>2016</v>
      </c>
      <c r="O104" s="105">
        <f t="shared" si="52"/>
        <v>2017</v>
      </c>
      <c r="P104" s="105">
        <f t="shared" si="52"/>
        <v>2018</v>
      </c>
      <c r="Q104" s="105">
        <f t="shared" si="52"/>
        <v>2019</v>
      </c>
      <c r="R104" s="105">
        <f t="shared" si="52"/>
        <v>2020</v>
      </c>
      <c r="S104" s="105">
        <f t="shared" si="52"/>
        <v>2021</v>
      </c>
      <c r="T104" s="105">
        <f t="shared" si="52"/>
        <v>2022</v>
      </c>
      <c r="U104" s="105">
        <f t="shared" si="52"/>
        <v>2023</v>
      </c>
      <c r="V104" s="105">
        <f t="shared" si="52"/>
        <v>2024</v>
      </c>
      <c r="W104" s="105">
        <f t="shared" si="52"/>
        <v>2025</v>
      </c>
      <c r="X104" s="105">
        <f t="shared" si="52"/>
        <v>2026</v>
      </c>
      <c r="Y104" s="105">
        <f t="shared" si="52"/>
        <v>2027</v>
      </c>
      <c r="Z104" s="105">
        <f t="shared" si="52"/>
        <v>2028</v>
      </c>
      <c r="AA104" s="105">
        <f t="shared" si="52"/>
        <v>2029</v>
      </c>
      <c r="AB104" s="105">
        <f t="shared" si="52"/>
        <v>2030</v>
      </c>
      <c r="AC104" s="105">
        <f t="shared" si="52"/>
        <v>2031</v>
      </c>
      <c r="AD104" s="105">
        <f t="shared" si="52"/>
        <v>2032</v>
      </c>
      <c r="AE104" s="105">
        <f t="shared" si="52"/>
        <v>2033</v>
      </c>
      <c r="AF104" s="105">
        <f t="shared" si="52"/>
        <v>2034</v>
      </c>
      <c r="AG104" s="105">
        <f t="shared" si="52"/>
        <v>2035</v>
      </c>
      <c r="AH104" s="105">
        <f t="shared" si="52"/>
        <v>2036</v>
      </c>
      <c r="AI104" s="105">
        <f t="shared" si="52"/>
        <v>2037</v>
      </c>
      <c r="AJ104" s="105">
        <f t="shared" si="52"/>
        <v>2038</v>
      </c>
      <c r="AK104" s="105">
        <f t="shared" si="52"/>
        <v>2039</v>
      </c>
      <c r="AL104" s="105">
        <f t="shared" si="52"/>
        <v>2040</v>
      </c>
      <c r="AM104" s="105">
        <f t="shared" si="52"/>
        <v>2041</v>
      </c>
      <c r="AN104" s="105">
        <f t="shared" si="52"/>
        <v>2042</v>
      </c>
      <c r="AO104" s="105">
        <f t="shared" si="52"/>
        <v>2043</v>
      </c>
      <c r="AP104" s="105">
        <f t="shared" si="52"/>
        <v>2044</v>
      </c>
      <c r="AQ104" s="105">
        <f t="shared" si="52"/>
        <v>2045</v>
      </c>
      <c r="AR104" s="105">
        <f t="shared" si="52"/>
        <v>2046</v>
      </c>
      <c r="AS104" s="105">
        <f t="shared" si="52"/>
        <v>2047</v>
      </c>
      <c r="AT104" s="105">
        <f t="shared" si="52"/>
        <v>2048</v>
      </c>
      <c r="AU104" s="105">
        <f t="shared" si="52"/>
        <v>2049</v>
      </c>
      <c r="AV104" s="105">
        <f t="shared" si="52"/>
        <v>2050</v>
      </c>
    </row>
    <row r="105" spans="1:50">
      <c r="A105" s="199" t="s">
        <v>16</v>
      </c>
      <c r="B105" s="283" t="s">
        <v>248</v>
      </c>
      <c r="C105" s="95" t="str">
        <f t="shared" ref="C105:C113" si="53">C70</f>
        <v>Commercial - Cooling</v>
      </c>
      <c r="I105" s="165"/>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199" t="s">
        <v>16</v>
      </c>
      <c r="B106" s="283" t="s">
        <v>249</v>
      </c>
      <c r="C106" s="95" t="str">
        <f t="shared" si="53"/>
        <v>Commercial - Space Heating</v>
      </c>
      <c r="I106" s="165"/>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55">
        <v>0.01</v>
      </c>
    </row>
    <row r="107" spans="1:50">
      <c r="A107" s="199" t="s">
        <v>16</v>
      </c>
      <c r="B107" s="283" t="s">
        <v>250</v>
      </c>
      <c r="C107" s="95" t="str">
        <f t="shared" si="53"/>
        <v>Commercial - Cooking</v>
      </c>
      <c r="I107" s="165"/>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54" t="s">
        <v>477</v>
      </c>
    </row>
    <row r="108" spans="1:50">
      <c r="A108" s="199" t="s">
        <v>16</v>
      </c>
      <c r="B108" s="283" t="s">
        <v>251</v>
      </c>
      <c r="C108" s="95" t="str">
        <f t="shared" si="53"/>
        <v>Commercial - Lighting</v>
      </c>
      <c r="I108" s="165"/>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54" t="s">
        <v>478</v>
      </c>
    </row>
    <row r="109" spans="1:50">
      <c r="A109" s="199" t="s">
        <v>16</v>
      </c>
      <c r="B109" s="283" t="s">
        <v>252</v>
      </c>
      <c r="C109" s="95" t="str">
        <f t="shared" si="53"/>
        <v>Commercial - Refrigeration</v>
      </c>
      <c r="I109" s="165"/>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199" t="s">
        <v>16</v>
      </c>
      <c r="B110" s="283" t="s">
        <v>253</v>
      </c>
      <c r="C110" s="95" t="str">
        <f t="shared" si="53"/>
        <v>Commercial - Water Heating</v>
      </c>
      <c r="I110" s="165"/>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199" t="s">
        <v>16</v>
      </c>
      <c r="B111" s="283" t="s">
        <v>254</v>
      </c>
      <c r="C111" s="95" t="str">
        <f t="shared" si="53"/>
        <v>Commercial - Public lights</v>
      </c>
      <c r="I111" s="165"/>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199" t="s">
        <v>16</v>
      </c>
      <c r="B112" s="283" t="s">
        <v>255</v>
      </c>
      <c r="C112" s="95" t="str">
        <f t="shared" si="53"/>
        <v>Commercial - Public Water</v>
      </c>
      <c r="I112" s="165"/>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199" t="s">
        <v>16</v>
      </c>
      <c r="B113" s="283" t="s">
        <v>256</v>
      </c>
      <c r="C113" s="95" t="str">
        <f t="shared" si="53"/>
        <v>Commercial - Other</v>
      </c>
      <c r="I113" s="165"/>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199" t="s">
        <v>16</v>
      </c>
      <c r="B114" s="283"/>
      <c r="I114" s="165"/>
      <c r="K114" s="95"/>
    </row>
    <row r="115" spans="1:48" ht="15.75" thickBot="1">
      <c r="A115" s="199" t="s">
        <v>16</v>
      </c>
      <c r="B115" s="283"/>
      <c r="C115" s="92" t="s">
        <v>258</v>
      </c>
      <c r="I115" s="165"/>
      <c r="K115" s="95"/>
    </row>
    <row r="116" spans="1:48">
      <c r="A116" s="199" t="s">
        <v>16</v>
      </c>
      <c r="B116" s="283" t="str">
        <f>B105</f>
        <v>CNC</v>
      </c>
      <c r="C116" s="283" t="str">
        <f>C105</f>
        <v>Commercial - Cooling</v>
      </c>
      <c r="E116" s="101">
        <v>0</v>
      </c>
      <c r="I116" s="165"/>
      <c r="J116" s="167">
        <f t="shared" ref="J116:Y124" si="54">(1-$E116)</f>
        <v>1</v>
      </c>
      <c r="K116" s="116">
        <f t="shared" si="54"/>
        <v>1</v>
      </c>
      <c r="L116" s="116">
        <f t="shared" si="54"/>
        <v>1</v>
      </c>
      <c r="M116" s="116">
        <f t="shared" si="54"/>
        <v>1</v>
      </c>
      <c r="N116" s="116">
        <f t="shared" si="54"/>
        <v>1</v>
      </c>
      <c r="O116" s="116">
        <f t="shared" si="54"/>
        <v>1</v>
      </c>
      <c r="P116" s="116">
        <f t="shared" si="54"/>
        <v>1</v>
      </c>
      <c r="Q116" s="116">
        <f t="shared" si="54"/>
        <v>1</v>
      </c>
      <c r="R116" s="116">
        <f t="shared" si="54"/>
        <v>1</v>
      </c>
      <c r="S116" s="116">
        <f t="shared" si="54"/>
        <v>1</v>
      </c>
      <c r="T116" s="116">
        <f t="shared" si="54"/>
        <v>1</v>
      </c>
      <c r="U116" s="116">
        <f t="shared" si="54"/>
        <v>1</v>
      </c>
      <c r="V116" s="116">
        <f t="shared" si="54"/>
        <v>1</v>
      </c>
      <c r="W116" s="116">
        <f t="shared" si="54"/>
        <v>1</v>
      </c>
      <c r="X116" s="116">
        <f t="shared" si="54"/>
        <v>1</v>
      </c>
      <c r="Y116" s="116">
        <f t="shared" si="54"/>
        <v>1</v>
      </c>
      <c r="Z116" s="116">
        <f t="shared" ref="Z116:AV124" si="55">(1-$E116)</f>
        <v>1</v>
      </c>
      <c r="AA116" s="116">
        <f t="shared" si="55"/>
        <v>1</v>
      </c>
      <c r="AB116" s="116">
        <f t="shared" si="55"/>
        <v>1</v>
      </c>
      <c r="AC116" s="116">
        <f t="shared" si="55"/>
        <v>1</v>
      </c>
      <c r="AD116" s="116">
        <f t="shared" si="55"/>
        <v>1</v>
      </c>
      <c r="AE116" s="116">
        <f t="shared" si="55"/>
        <v>1</v>
      </c>
      <c r="AF116" s="116">
        <f t="shared" si="55"/>
        <v>1</v>
      </c>
      <c r="AG116" s="116">
        <f t="shared" si="55"/>
        <v>1</v>
      </c>
      <c r="AH116" s="116">
        <f t="shared" si="55"/>
        <v>1</v>
      </c>
      <c r="AI116" s="116">
        <f t="shared" si="55"/>
        <v>1</v>
      </c>
      <c r="AJ116" s="116">
        <f t="shared" si="55"/>
        <v>1</v>
      </c>
      <c r="AK116" s="116">
        <f t="shared" si="55"/>
        <v>1</v>
      </c>
      <c r="AL116" s="116">
        <f t="shared" si="55"/>
        <v>1</v>
      </c>
      <c r="AM116" s="116">
        <f t="shared" si="55"/>
        <v>1</v>
      </c>
      <c r="AN116" s="116">
        <f t="shared" si="55"/>
        <v>1</v>
      </c>
      <c r="AO116" s="116">
        <f t="shared" si="55"/>
        <v>1</v>
      </c>
      <c r="AP116" s="116">
        <f t="shared" si="55"/>
        <v>1</v>
      </c>
      <c r="AQ116" s="116">
        <f t="shared" si="55"/>
        <v>1</v>
      </c>
      <c r="AR116" s="116">
        <f t="shared" si="55"/>
        <v>1</v>
      </c>
      <c r="AS116" s="116">
        <f t="shared" si="55"/>
        <v>1</v>
      </c>
      <c r="AT116" s="116">
        <f t="shared" si="55"/>
        <v>1</v>
      </c>
      <c r="AU116" s="116">
        <f t="shared" si="55"/>
        <v>1</v>
      </c>
      <c r="AV116" s="116">
        <f t="shared" si="55"/>
        <v>1</v>
      </c>
    </row>
    <row r="117" spans="1:48">
      <c r="A117" s="199" t="s">
        <v>16</v>
      </c>
      <c r="B117" s="283" t="str">
        <f t="shared" ref="B117:C124" si="56">B106</f>
        <v>CNH</v>
      </c>
      <c r="C117" s="283" t="str">
        <f t="shared" si="56"/>
        <v>Commercial - Space Heating</v>
      </c>
      <c r="E117" s="101">
        <v>0</v>
      </c>
      <c r="I117" s="165"/>
      <c r="J117" s="167">
        <f t="shared" si="54"/>
        <v>1</v>
      </c>
      <c r="K117" s="116">
        <f t="shared" si="54"/>
        <v>1</v>
      </c>
      <c r="L117" s="116">
        <f t="shared" si="54"/>
        <v>1</v>
      </c>
      <c r="M117" s="116">
        <f t="shared" si="54"/>
        <v>1</v>
      </c>
      <c r="N117" s="116">
        <f t="shared" si="54"/>
        <v>1</v>
      </c>
      <c r="O117" s="116">
        <f t="shared" si="54"/>
        <v>1</v>
      </c>
      <c r="P117" s="116">
        <f t="shared" si="54"/>
        <v>1</v>
      </c>
      <c r="Q117" s="116">
        <f t="shared" si="54"/>
        <v>1</v>
      </c>
      <c r="R117" s="116">
        <f t="shared" si="54"/>
        <v>1</v>
      </c>
      <c r="S117" s="116">
        <f t="shared" si="54"/>
        <v>1</v>
      </c>
      <c r="T117" s="116">
        <f t="shared" si="54"/>
        <v>1</v>
      </c>
      <c r="U117" s="116">
        <f t="shared" si="54"/>
        <v>1</v>
      </c>
      <c r="V117" s="116">
        <f t="shared" si="54"/>
        <v>1</v>
      </c>
      <c r="W117" s="116">
        <f t="shared" si="54"/>
        <v>1</v>
      </c>
      <c r="X117" s="116">
        <f t="shared" si="54"/>
        <v>1</v>
      </c>
      <c r="Y117" s="116">
        <f t="shared" si="54"/>
        <v>1</v>
      </c>
      <c r="Z117" s="116">
        <f t="shared" si="55"/>
        <v>1</v>
      </c>
      <c r="AA117" s="116">
        <f t="shared" si="55"/>
        <v>1</v>
      </c>
      <c r="AB117" s="116">
        <f t="shared" si="55"/>
        <v>1</v>
      </c>
      <c r="AC117" s="116">
        <f t="shared" si="55"/>
        <v>1</v>
      </c>
      <c r="AD117" s="116">
        <f t="shared" si="55"/>
        <v>1</v>
      </c>
      <c r="AE117" s="116">
        <f t="shared" si="55"/>
        <v>1</v>
      </c>
      <c r="AF117" s="116">
        <f t="shared" si="55"/>
        <v>1</v>
      </c>
      <c r="AG117" s="116">
        <f t="shared" si="55"/>
        <v>1</v>
      </c>
      <c r="AH117" s="116">
        <f t="shared" si="55"/>
        <v>1</v>
      </c>
      <c r="AI117" s="116">
        <f t="shared" si="55"/>
        <v>1</v>
      </c>
      <c r="AJ117" s="116">
        <f t="shared" si="55"/>
        <v>1</v>
      </c>
      <c r="AK117" s="116">
        <f t="shared" si="55"/>
        <v>1</v>
      </c>
      <c r="AL117" s="116">
        <f t="shared" si="55"/>
        <v>1</v>
      </c>
      <c r="AM117" s="116">
        <f t="shared" si="55"/>
        <v>1</v>
      </c>
      <c r="AN117" s="116">
        <f t="shared" si="55"/>
        <v>1</v>
      </c>
      <c r="AO117" s="116">
        <f t="shared" si="55"/>
        <v>1</v>
      </c>
      <c r="AP117" s="116">
        <f t="shared" si="55"/>
        <v>1</v>
      </c>
      <c r="AQ117" s="116">
        <f t="shared" si="55"/>
        <v>1</v>
      </c>
      <c r="AR117" s="116">
        <f t="shared" si="55"/>
        <v>1</v>
      </c>
      <c r="AS117" s="116">
        <f t="shared" si="55"/>
        <v>1</v>
      </c>
      <c r="AT117" s="116">
        <f t="shared" si="55"/>
        <v>1</v>
      </c>
      <c r="AU117" s="116">
        <f t="shared" si="55"/>
        <v>1</v>
      </c>
      <c r="AV117" s="116">
        <f t="shared" si="55"/>
        <v>1</v>
      </c>
    </row>
    <row r="118" spans="1:48">
      <c r="A118" s="199" t="s">
        <v>16</v>
      </c>
      <c r="B118" s="283" t="str">
        <f t="shared" si="56"/>
        <v>CNK</v>
      </c>
      <c r="C118" s="283" t="str">
        <f t="shared" si="56"/>
        <v>Commercial - Cooking</v>
      </c>
      <c r="E118" s="101">
        <v>0</v>
      </c>
      <c r="I118" s="165"/>
      <c r="J118" s="167">
        <f t="shared" si="54"/>
        <v>1</v>
      </c>
      <c r="K118" s="116">
        <f t="shared" si="54"/>
        <v>1</v>
      </c>
      <c r="L118" s="116">
        <f t="shared" si="54"/>
        <v>1</v>
      </c>
      <c r="M118" s="116">
        <f>(1-$E118)</f>
        <v>1</v>
      </c>
      <c r="N118" s="116">
        <f t="shared" si="54"/>
        <v>1</v>
      </c>
      <c r="O118" s="116">
        <f t="shared" si="54"/>
        <v>1</v>
      </c>
      <c r="P118" s="116">
        <f t="shared" si="54"/>
        <v>1</v>
      </c>
      <c r="Q118" s="116">
        <f t="shared" si="54"/>
        <v>1</v>
      </c>
      <c r="R118" s="116">
        <f t="shared" si="54"/>
        <v>1</v>
      </c>
      <c r="S118" s="116">
        <f t="shared" si="54"/>
        <v>1</v>
      </c>
      <c r="T118" s="116">
        <f t="shared" si="54"/>
        <v>1</v>
      </c>
      <c r="U118" s="116">
        <f t="shared" si="54"/>
        <v>1</v>
      </c>
      <c r="V118" s="116">
        <f t="shared" si="54"/>
        <v>1</v>
      </c>
      <c r="W118" s="116">
        <f t="shared" si="54"/>
        <v>1</v>
      </c>
      <c r="X118" s="116">
        <f t="shared" si="54"/>
        <v>1</v>
      </c>
      <c r="Y118" s="116">
        <f t="shared" si="54"/>
        <v>1</v>
      </c>
      <c r="Z118" s="116">
        <f t="shared" si="55"/>
        <v>1</v>
      </c>
      <c r="AA118" s="116">
        <f t="shared" si="55"/>
        <v>1</v>
      </c>
      <c r="AB118" s="116">
        <f t="shared" si="55"/>
        <v>1</v>
      </c>
      <c r="AC118" s="116">
        <f t="shared" si="55"/>
        <v>1</v>
      </c>
      <c r="AD118" s="116">
        <f t="shared" si="55"/>
        <v>1</v>
      </c>
      <c r="AE118" s="116">
        <f t="shared" si="55"/>
        <v>1</v>
      </c>
      <c r="AF118" s="116">
        <f t="shared" si="55"/>
        <v>1</v>
      </c>
      <c r="AG118" s="116">
        <f t="shared" si="55"/>
        <v>1</v>
      </c>
      <c r="AH118" s="116">
        <f t="shared" si="55"/>
        <v>1</v>
      </c>
      <c r="AI118" s="116">
        <f t="shared" si="55"/>
        <v>1</v>
      </c>
      <c r="AJ118" s="116">
        <f t="shared" si="55"/>
        <v>1</v>
      </c>
      <c r="AK118" s="116">
        <f t="shared" si="55"/>
        <v>1</v>
      </c>
      <c r="AL118" s="116">
        <f t="shared" si="55"/>
        <v>1</v>
      </c>
      <c r="AM118" s="116">
        <f t="shared" si="55"/>
        <v>1</v>
      </c>
      <c r="AN118" s="116">
        <f t="shared" si="55"/>
        <v>1</v>
      </c>
      <c r="AO118" s="116">
        <f t="shared" si="55"/>
        <v>1</v>
      </c>
      <c r="AP118" s="116">
        <f t="shared" si="55"/>
        <v>1</v>
      </c>
      <c r="AQ118" s="116">
        <f t="shared" si="55"/>
        <v>1</v>
      </c>
      <c r="AR118" s="116">
        <f t="shared" si="55"/>
        <v>1</v>
      </c>
      <c r="AS118" s="116">
        <f t="shared" si="55"/>
        <v>1</v>
      </c>
      <c r="AT118" s="116">
        <f t="shared" si="55"/>
        <v>1</v>
      </c>
      <c r="AU118" s="116">
        <f t="shared" si="55"/>
        <v>1</v>
      </c>
      <c r="AV118" s="116">
        <f t="shared" si="55"/>
        <v>1</v>
      </c>
    </row>
    <row r="119" spans="1:48">
      <c r="A119" s="199" t="s">
        <v>16</v>
      </c>
      <c r="B119" s="283" t="str">
        <f t="shared" si="56"/>
        <v>CNL</v>
      </c>
      <c r="C119" s="283" t="str">
        <f t="shared" si="56"/>
        <v>Commercial - Lighting</v>
      </c>
      <c r="E119" s="101">
        <v>0</v>
      </c>
      <c r="I119" s="165"/>
      <c r="J119" s="167">
        <f t="shared" si="54"/>
        <v>1</v>
      </c>
      <c r="K119" s="116">
        <f t="shared" si="54"/>
        <v>1</v>
      </c>
      <c r="L119" s="116">
        <f t="shared" si="54"/>
        <v>1</v>
      </c>
      <c r="M119" s="116">
        <f t="shared" si="54"/>
        <v>1</v>
      </c>
      <c r="N119" s="116">
        <f t="shared" si="54"/>
        <v>1</v>
      </c>
      <c r="O119" s="116">
        <f t="shared" si="54"/>
        <v>1</v>
      </c>
      <c r="P119" s="116">
        <f t="shared" si="54"/>
        <v>1</v>
      </c>
      <c r="Q119" s="116">
        <f t="shared" si="54"/>
        <v>1</v>
      </c>
      <c r="R119" s="116">
        <f t="shared" si="54"/>
        <v>1</v>
      </c>
      <c r="S119" s="116">
        <f t="shared" si="54"/>
        <v>1</v>
      </c>
      <c r="T119" s="116">
        <f t="shared" si="54"/>
        <v>1</v>
      </c>
      <c r="U119" s="116">
        <f t="shared" si="54"/>
        <v>1</v>
      </c>
      <c r="V119" s="116">
        <f t="shared" si="54"/>
        <v>1</v>
      </c>
      <c r="W119" s="116">
        <f t="shared" si="54"/>
        <v>1</v>
      </c>
      <c r="X119" s="116">
        <f t="shared" si="54"/>
        <v>1</v>
      </c>
      <c r="Y119" s="116">
        <f t="shared" si="54"/>
        <v>1</v>
      </c>
      <c r="Z119" s="116">
        <f t="shared" si="55"/>
        <v>1</v>
      </c>
      <c r="AA119" s="116">
        <f t="shared" si="55"/>
        <v>1</v>
      </c>
      <c r="AB119" s="116">
        <f t="shared" si="55"/>
        <v>1</v>
      </c>
      <c r="AC119" s="116">
        <f t="shared" si="55"/>
        <v>1</v>
      </c>
      <c r="AD119" s="116">
        <f t="shared" si="55"/>
        <v>1</v>
      </c>
      <c r="AE119" s="116">
        <f t="shared" si="55"/>
        <v>1</v>
      </c>
      <c r="AF119" s="116">
        <f t="shared" si="55"/>
        <v>1</v>
      </c>
      <c r="AG119" s="116">
        <f t="shared" si="55"/>
        <v>1</v>
      </c>
      <c r="AH119" s="116">
        <f t="shared" si="55"/>
        <v>1</v>
      </c>
      <c r="AI119" s="116">
        <f t="shared" si="55"/>
        <v>1</v>
      </c>
      <c r="AJ119" s="116">
        <f t="shared" si="55"/>
        <v>1</v>
      </c>
      <c r="AK119" s="116">
        <f t="shared" si="55"/>
        <v>1</v>
      </c>
      <c r="AL119" s="116">
        <f t="shared" si="55"/>
        <v>1</v>
      </c>
      <c r="AM119" s="116">
        <f t="shared" si="55"/>
        <v>1</v>
      </c>
      <c r="AN119" s="116">
        <f t="shared" si="55"/>
        <v>1</v>
      </c>
      <c r="AO119" s="116">
        <f t="shared" si="55"/>
        <v>1</v>
      </c>
      <c r="AP119" s="116">
        <f t="shared" si="55"/>
        <v>1</v>
      </c>
      <c r="AQ119" s="116">
        <f t="shared" si="55"/>
        <v>1</v>
      </c>
      <c r="AR119" s="116">
        <f t="shared" si="55"/>
        <v>1</v>
      </c>
      <c r="AS119" s="116">
        <f t="shared" si="55"/>
        <v>1</v>
      </c>
      <c r="AT119" s="116">
        <f t="shared" si="55"/>
        <v>1</v>
      </c>
      <c r="AU119" s="116">
        <f t="shared" si="55"/>
        <v>1</v>
      </c>
      <c r="AV119" s="116">
        <f t="shared" si="55"/>
        <v>1</v>
      </c>
    </row>
    <row r="120" spans="1:48">
      <c r="A120" s="199" t="s">
        <v>16</v>
      </c>
      <c r="B120" s="283" t="str">
        <f t="shared" si="56"/>
        <v>CNR</v>
      </c>
      <c r="C120" s="283" t="str">
        <f t="shared" si="56"/>
        <v>Commercial - Refrigeration</v>
      </c>
      <c r="E120" s="101">
        <v>0</v>
      </c>
      <c r="I120" s="165"/>
      <c r="J120" s="167">
        <f t="shared" si="54"/>
        <v>1</v>
      </c>
      <c r="K120" s="116">
        <f t="shared" si="54"/>
        <v>1</v>
      </c>
      <c r="L120" s="116">
        <f t="shared" si="54"/>
        <v>1</v>
      </c>
      <c r="M120" s="116">
        <f t="shared" si="54"/>
        <v>1</v>
      </c>
      <c r="N120" s="116">
        <f t="shared" si="54"/>
        <v>1</v>
      </c>
      <c r="O120" s="116">
        <f t="shared" si="54"/>
        <v>1</v>
      </c>
      <c r="P120" s="116">
        <f t="shared" si="54"/>
        <v>1</v>
      </c>
      <c r="Q120" s="116">
        <f t="shared" si="54"/>
        <v>1</v>
      </c>
      <c r="R120" s="116">
        <f t="shared" si="54"/>
        <v>1</v>
      </c>
      <c r="S120" s="116">
        <f t="shared" si="54"/>
        <v>1</v>
      </c>
      <c r="T120" s="116">
        <f t="shared" si="54"/>
        <v>1</v>
      </c>
      <c r="U120" s="116">
        <f t="shared" si="54"/>
        <v>1</v>
      </c>
      <c r="V120" s="116">
        <f t="shared" si="54"/>
        <v>1</v>
      </c>
      <c r="W120" s="116">
        <f t="shared" si="54"/>
        <v>1</v>
      </c>
      <c r="X120" s="116">
        <f t="shared" si="54"/>
        <v>1</v>
      </c>
      <c r="Y120" s="116">
        <f t="shared" si="54"/>
        <v>1</v>
      </c>
      <c r="Z120" s="116">
        <f t="shared" si="55"/>
        <v>1</v>
      </c>
      <c r="AA120" s="116">
        <f t="shared" si="55"/>
        <v>1</v>
      </c>
      <c r="AB120" s="116">
        <f t="shared" si="55"/>
        <v>1</v>
      </c>
      <c r="AC120" s="116">
        <f t="shared" si="55"/>
        <v>1</v>
      </c>
      <c r="AD120" s="116">
        <f t="shared" si="55"/>
        <v>1</v>
      </c>
      <c r="AE120" s="116">
        <f t="shared" si="55"/>
        <v>1</v>
      </c>
      <c r="AF120" s="116">
        <f t="shared" si="55"/>
        <v>1</v>
      </c>
      <c r="AG120" s="116">
        <f t="shared" si="55"/>
        <v>1</v>
      </c>
      <c r="AH120" s="116">
        <f t="shared" si="55"/>
        <v>1</v>
      </c>
      <c r="AI120" s="116">
        <f t="shared" si="55"/>
        <v>1</v>
      </c>
      <c r="AJ120" s="116">
        <f t="shared" si="55"/>
        <v>1</v>
      </c>
      <c r="AK120" s="116">
        <f t="shared" si="55"/>
        <v>1</v>
      </c>
      <c r="AL120" s="116">
        <f t="shared" si="55"/>
        <v>1</v>
      </c>
      <c r="AM120" s="116">
        <f t="shared" si="55"/>
        <v>1</v>
      </c>
      <c r="AN120" s="116">
        <f t="shared" si="55"/>
        <v>1</v>
      </c>
      <c r="AO120" s="116">
        <f t="shared" si="55"/>
        <v>1</v>
      </c>
      <c r="AP120" s="116">
        <f t="shared" si="55"/>
        <v>1</v>
      </c>
      <c r="AQ120" s="116">
        <f t="shared" si="55"/>
        <v>1</v>
      </c>
      <c r="AR120" s="116">
        <f t="shared" si="55"/>
        <v>1</v>
      </c>
      <c r="AS120" s="116">
        <f t="shared" si="55"/>
        <v>1</v>
      </c>
      <c r="AT120" s="116">
        <f t="shared" si="55"/>
        <v>1</v>
      </c>
      <c r="AU120" s="116">
        <f t="shared" si="55"/>
        <v>1</v>
      </c>
      <c r="AV120" s="116">
        <f t="shared" si="55"/>
        <v>1</v>
      </c>
    </row>
    <row r="121" spans="1:48">
      <c r="A121" s="199" t="s">
        <v>16</v>
      </c>
      <c r="B121" s="283" t="str">
        <f t="shared" si="56"/>
        <v>CNW</v>
      </c>
      <c r="C121" s="283" t="str">
        <f t="shared" si="56"/>
        <v>Commercial - Water Heating</v>
      </c>
      <c r="E121" s="101">
        <v>0</v>
      </c>
      <c r="I121" s="165"/>
      <c r="J121" s="167">
        <f t="shared" si="54"/>
        <v>1</v>
      </c>
      <c r="K121" s="116">
        <f t="shared" si="54"/>
        <v>1</v>
      </c>
      <c r="L121" s="116">
        <f t="shared" si="54"/>
        <v>1</v>
      </c>
      <c r="M121" s="116">
        <f t="shared" si="54"/>
        <v>1</v>
      </c>
      <c r="N121" s="116">
        <f t="shared" si="54"/>
        <v>1</v>
      </c>
      <c r="O121" s="116">
        <f t="shared" si="54"/>
        <v>1</v>
      </c>
      <c r="P121" s="116">
        <f t="shared" si="54"/>
        <v>1</v>
      </c>
      <c r="Q121" s="116">
        <f t="shared" si="54"/>
        <v>1</v>
      </c>
      <c r="R121" s="116">
        <f t="shared" si="54"/>
        <v>1</v>
      </c>
      <c r="S121" s="116">
        <f t="shared" si="54"/>
        <v>1</v>
      </c>
      <c r="T121" s="116">
        <f t="shared" si="54"/>
        <v>1</v>
      </c>
      <c r="U121" s="116">
        <f t="shared" si="54"/>
        <v>1</v>
      </c>
      <c r="V121" s="116">
        <f t="shared" si="54"/>
        <v>1</v>
      </c>
      <c r="W121" s="116">
        <f t="shared" si="54"/>
        <v>1</v>
      </c>
      <c r="X121" s="116">
        <f t="shared" si="54"/>
        <v>1</v>
      </c>
      <c r="Y121" s="116">
        <f t="shared" si="54"/>
        <v>1</v>
      </c>
      <c r="Z121" s="116">
        <f t="shared" si="55"/>
        <v>1</v>
      </c>
      <c r="AA121" s="116">
        <f t="shared" si="55"/>
        <v>1</v>
      </c>
      <c r="AB121" s="116">
        <f t="shared" si="55"/>
        <v>1</v>
      </c>
      <c r="AC121" s="116">
        <f t="shared" si="55"/>
        <v>1</v>
      </c>
      <c r="AD121" s="116">
        <f t="shared" si="55"/>
        <v>1</v>
      </c>
      <c r="AE121" s="116">
        <f t="shared" si="55"/>
        <v>1</v>
      </c>
      <c r="AF121" s="116">
        <f t="shared" si="55"/>
        <v>1</v>
      </c>
      <c r="AG121" s="116">
        <f t="shared" si="55"/>
        <v>1</v>
      </c>
      <c r="AH121" s="116">
        <f t="shared" si="55"/>
        <v>1</v>
      </c>
      <c r="AI121" s="116">
        <f t="shared" si="55"/>
        <v>1</v>
      </c>
      <c r="AJ121" s="116">
        <f t="shared" si="55"/>
        <v>1</v>
      </c>
      <c r="AK121" s="116">
        <f t="shared" si="55"/>
        <v>1</v>
      </c>
      <c r="AL121" s="116">
        <f t="shared" si="55"/>
        <v>1</v>
      </c>
      <c r="AM121" s="116">
        <f t="shared" si="55"/>
        <v>1</v>
      </c>
      <c r="AN121" s="116">
        <f t="shared" si="55"/>
        <v>1</v>
      </c>
      <c r="AO121" s="116">
        <f t="shared" si="55"/>
        <v>1</v>
      </c>
      <c r="AP121" s="116">
        <f t="shared" si="55"/>
        <v>1</v>
      </c>
      <c r="AQ121" s="116">
        <f t="shared" si="55"/>
        <v>1</v>
      </c>
      <c r="AR121" s="116">
        <f t="shared" si="55"/>
        <v>1</v>
      </c>
      <c r="AS121" s="116">
        <f t="shared" si="55"/>
        <v>1</v>
      </c>
      <c r="AT121" s="116">
        <f t="shared" si="55"/>
        <v>1</v>
      </c>
      <c r="AU121" s="116">
        <f t="shared" si="55"/>
        <v>1</v>
      </c>
      <c r="AV121" s="116">
        <f t="shared" si="55"/>
        <v>1</v>
      </c>
    </row>
    <row r="122" spans="1:48">
      <c r="A122" s="199" t="s">
        <v>16</v>
      </c>
      <c r="B122" s="283" t="str">
        <f t="shared" si="56"/>
        <v>CNG</v>
      </c>
      <c r="C122" s="283" t="str">
        <f t="shared" si="56"/>
        <v>Commercial - Public lights</v>
      </c>
      <c r="E122" s="101">
        <v>0</v>
      </c>
      <c r="I122" s="165"/>
      <c r="J122" s="167">
        <f t="shared" si="54"/>
        <v>1</v>
      </c>
      <c r="K122" s="116">
        <f t="shared" si="54"/>
        <v>1</v>
      </c>
      <c r="L122" s="116">
        <f t="shared" si="54"/>
        <v>1</v>
      </c>
      <c r="M122" s="116">
        <f t="shared" si="54"/>
        <v>1</v>
      </c>
      <c r="N122" s="116">
        <f t="shared" si="54"/>
        <v>1</v>
      </c>
      <c r="O122" s="116">
        <f t="shared" si="54"/>
        <v>1</v>
      </c>
      <c r="P122" s="116">
        <f t="shared" si="54"/>
        <v>1</v>
      </c>
      <c r="Q122" s="116">
        <f t="shared" si="54"/>
        <v>1</v>
      </c>
      <c r="R122" s="116">
        <f t="shared" si="54"/>
        <v>1</v>
      </c>
      <c r="S122" s="116">
        <f t="shared" si="54"/>
        <v>1</v>
      </c>
      <c r="T122" s="116">
        <f t="shared" si="54"/>
        <v>1</v>
      </c>
      <c r="U122" s="116">
        <f t="shared" si="54"/>
        <v>1</v>
      </c>
      <c r="V122" s="116">
        <f t="shared" si="54"/>
        <v>1</v>
      </c>
      <c r="W122" s="116">
        <f t="shared" si="54"/>
        <v>1</v>
      </c>
      <c r="X122" s="116">
        <f t="shared" si="54"/>
        <v>1</v>
      </c>
      <c r="Y122" s="116">
        <f t="shared" si="54"/>
        <v>1</v>
      </c>
      <c r="Z122" s="116">
        <f t="shared" si="55"/>
        <v>1</v>
      </c>
      <c r="AA122" s="116">
        <f t="shared" si="55"/>
        <v>1</v>
      </c>
      <c r="AB122" s="116">
        <f t="shared" si="55"/>
        <v>1</v>
      </c>
      <c r="AC122" s="116">
        <f t="shared" si="55"/>
        <v>1</v>
      </c>
      <c r="AD122" s="116">
        <f t="shared" si="55"/>
        <v>1</v>
      </c>
      <c r="AE122" s="116">
        <f t="shared" si="55"/>
        <v>1</v>
      </c>
      <c r="AF122" s="116">
        <f t="shared" si="55"/>
        <v>1</v>
      </c>
      <c r="AG122" s="116">
        <f t="shared" si="55"/>
        <v>1</v>
      </c>
      <c r="AH122" s="116">
        <f t="shared" si="55"/>
        <v>1</v>
      </c>
      <c r="AI122" s="116">
        <f t="shared" si="55"/>
        <v>1</v>
      </c>
      <c r="AJ122" s="116">
        <f t="shared" si="55"/>
        <v>1</v>
      </c>
      <c r="AK122" s="116">
        <f t="shared" si="55"/>
        <v>1</v>
      </c>
      <c r="AL122" s="116">
        <f t="shared" si="55"/>
        <v>1</v>
      </c>
      <c r="AM122" s="116">
        <f t="shared" si="55"/>
        <v>1</v>
      </c>
      <c r="AN122" s="116">
        <f t="shared" si="55"/>
        <v>1</v>
      </c>
      <c r="AO122" s="116">
        <f t="shared" si="55"/>
        <v>1</v>
      </c>
      <c r="AP122" s="116">
        <f t="shared" si="55"/>
        <v>1</v>
      </c>
      <c r="AQ122" s="116">
        <f t="shared" si="55"/>
        <v>1</v>
      </c>
      <c r="AR122" s="116">
        <f t="shared" si="55"/>
        <v>1</v>
      </c>
      <c r="AS122" s="116">
        <f t="shared" si="55"/>
        <v>1</v>
      </c>
      <c r="AT122" s="116">
        <f t="shared" si="55"/>
        <v>1</v>
      </c>
      <c r="AU122" s="116">
        <f t="shared" si="55"/>
        <v>1</v>
      </c>
      <c r="AV122" s="116">
        <f t="shared" si="55"/>
        <v>1</v>
      </c>
    </row>
    <row r="123" spans="1:48">
      <c r="A123" s="199" t="s">
        <v>16</v>
      </c>
      <c r="B123" s="283" t="str">
        <f t="shared" si="56"/>
        <v>CNT</v>
      </c>
      <c r="C123" s="283" t="str">
        <f t="shared" si="56"/>
        <v>Commercial - Public Water</v>
      </c>
      <c r="E123" s="101">
        <v>0</v>
      </c>
      <c r="I123" s="165"/>
      <c r="J123" s="167">
        <f t="shared" si="54"/>
        <v>1</v>
      </c>
      <c r="K123" s="116">
        <f t="shared" si="54"/>
        <v>1</v>
      </c>
      <c r="L123" s="116">
        <f t="shared" si="54"/>
        <v>1</v>
      </c>
      <c r="M123" s="116">
        <f t="shared" si="54"/>
        <v>1</v>
      </c>
      <c r="N123" s="116">
        <f t="shared" si="54"/>
        <v>1</v>
      </c>
      <c r="O123" s="116">
        <f t="shared" si="54"/>
        <v>1</v>
      </c>
      <c r="P123" s="116">
        <f t="shared" si="54"/>
        <v>1</v>
      </c>
      <c r="Q123" s="116">
        <f t="shared" si="54"/>
        <v>1</v>
      </c>
      <c r="R123" s="116">
        <f t="shared" si="54"/>
        <v>1</v>
      </c>
      <c r="S123" s="116">
        <f t="shared" si="54"/>
        <v>1</v>
      </c>
      <c r="T123" s="116">
        <f t="shared" si="54"/>
        <v>1</v>
      </c>
      <c r="U123" s="116">
        <f t="shared" si="54"/>
        <v>1</v>
      </c>
      <c r="V123" s="116">
        <f t="shared" si="54"/>
        <v>1</v>
      </c>
      <c r="W123" s="116">
        <f t="shared" si="54"/>
        <v>1</v>
      </c>
      <c r="X123" s="116">
        <f t="shared" si="54"/>
        <v>1</v>
      </c>
      <c r="Y123" s="116">
        <f t="shared" si="54"/>
        <v>1</v>
      </c>
      <c r="Z123" s="116">
        <f t="shared" si="55"/>
        <v>1</v>
      </c>
      <c r="AA123" s="116">
        <f t="shared" si="55"/>
        <v>1</v>
      </c>
      <c r="AB123" s="116">
        <f t="shared" si="55"/>
        <v>1</v>
      </c>
      <c r="AC123" s="116">
        <f t="shared" si="55"/>
        <v>1</v>
      </c>
      <c r="AD123" s="116">
        <f t="shared" si="55"/>
        <v>1</v>
      </c>
      <c r="AE123" s="116">
        <f t="shared" si="55"/>
        <v>1</v>
      </c>
      <c r="AF123" s="116">
        <f t="shared" si="55"/>
        <v>1</v>
      </c>
      <c r="AG123" s="116">
        <f t="shared" si="55"/>
        <v>1</v>
      </c>
      <c r="AH123" s="116">
        <f t="shared" si="55"/>
        <v>1</v>
      </c>
      <c r="AI123" s="116">
        <f t="shared" si="55"/>
        <v>1</v>
      </c>
      <c r="AJ123" s="116">
        <f t="shared" si="55"/>
        <v>1</v>
      </c>
      <c r="AK123" s="116">
        <f t="shared" si="55"/>
        <v>1</v>
      </c>
      <c r="AL123" s="116">
        <f t="shared" si="55"/>
        <v>1</v>
      </c>
      <c r="AM123" s="116">
        <f t="shared" si="55"/>
        <v>1</v>
      </c>
      <c r="AN123" s="116">
        <f t="shared" si="55"/>
        <v>1</v>
      </c>
      <c r="AO123" s="116">
        <f t="shared" si="55"/>
        <v>1</v>
      </c>
      <c r="AP123" s="116">
        <f t="shared" si="55"/>
        <v>1</v>
      </c>
      <c r="AQ123" s="116">
        <f t="shared" si="55"/>
        <v>1</v>
      </c>
      <c r="AR123" s="116">
        <f t="shared" si="55"/>
        <v>1</v>
      </c>
      <c r="AS123" s="116">
        <f t="shared" si="55"/>
        <v>1</v>
      </c>
      <c r="AT123" s="116">
        <f t="shared" si="55"/>
        <v>1</v>
      </c>
      <c r="AU123" s="116">
        <f t="shared" si="55"/>
        <v>1</v>
      </c>
      <c r="AV123" s="116">
        <f t="shared" si="55"/>
        <v>1</v>
      </c>
    </row>
    <row r="124" spans="1:48">
      <c r="A124" s="199" t="s">
        <v>16</v>
      </c>
      <c r="B124" s="283" t="str">
        <f t="shared" si="56"/>
        <v>CNO</v>
      </c>
      <c r="C124" s="283" t="str">
        <f t="shared" si="56"/>
        <v>Commercial - Other</v>
      </c>
      <c r="E124" s="101">
        <v>0</v>
      </c>
      <c r="I124" s="165"/>
      <c r="J124" s="167">
        <f t="shared" si="54"/>
        <v>1</v>
      </c>
      <c r="K124" s="116">
        <f t="shared" si="54"/>
        <v>1</v>
      </c>
      <c r="L124" s="116">
        <f t="shared" si="54"/>
        <v>1</v>
      </c>
      <c r="M124" s="116">
        <f t="shared" si="54"/>
        <v>1</v>
      </c>
      <c r="N124" s="116">
        <f t="shared" si="54"/>
        <v>1</v>
      </c>
      <c r="O124" s="116">
        <f t="shared" si="54"/>
        <v>1</v>
      </c>
      <c r="P124" s="116">
        <f t="shared" si="54"/>
        <v>1</v>
      </c>
      <c r="Q124" s="116">
        <f t="shared" si="54"/>
        <v>1</v>
      </c>
      <c r="R124" s="116">
        <f t="shared" si="54"/>
        <v>1</v>
      </c>
      <c r="S124" s="116">
        <f t="shared" si="54"/>
        <v>1</v>
      </c>
      <c r="T124" s="116">
        <f t="shared" si="54"/>
        <v>1</v>
      </c>
      <c r="U124" s="116">
        <f t="shared" si="54"/>
        <v>1</v>
      </c>
      <c r="V124" s="116">
        <f t="shared" si="54"/>
        <v>1</v>
      </c>
      <c r="W124" s="116">
        <f t="shared" si="54"/>
        <v>1</v>
      </c>
      <c r="X124" s="116">
        <f t="shared" si="54"/>
        <v>1</v>
      </c>
      <c r="Y124" s="116">
        <f t="shared" si="54"/>
        <v>1</v>
      </c>
      <c r="Z124" s="116">
        <f t="shared" si="55"/>
        <v>1</v>
      </c>
      <c r="AA124" s="116">
        <f t="shared" si="55"/>
        <v>1</v>
      </c>
      <c r="AB124" s="116">
        <f t="shared" si="55"/>
        <v>1</v>
      </c>
      <c r="AC124" s="116">
        <f t="shared" si="55"/>
        <v>1</v>
      </c>
      <c r="AD124" s="116">
        <f t="shared" si="55"/>
        <v>1</v>
      </c>
      <c r="AE124" s="116">
        <f t="shared" si="55"/>
        <v>1</v>
      </c>
      <c r="AF124" s="116">
        <f t="shared" si="55"/>
        <v>1</v>
      </c>
      <c r="AG124" s="116">
        <f t="shared" si="55"/>
        <v>1</v>
      </c>
      <c r="AH124" s="116">
        <f t="shared" si="55"/>
        <v>1</v>
      </c>
      <c r="AI124" s="116">
        <f t="shared" si="55"/>
        <v>1</v>
      </c>
      <c r="AJ124" s="116">
        <f t="shared" si="55"/>
        <v>1</v>
      </c>
      <c r="AK124" s="116">
        <f t="shared" si="55"/>
        <v>1</v>
      </c>
      <c r="AL124" s="116">
        <f t="shared" si="55"/>
        <v>1</v>
      </c>
      <c r="AM124" s="116">
        <f t="shared" si="55"/>
        <v>1</v>
      </c>
      <c r="AN124" s="116">
        <f t="shared" si="55"/>
        <v>1</v>
      </c>
      <c r="AO124" s="116">
        <f t="shared" si="55"/>
        <v>1</v>
      </c>
      <c r="AP124" s="116">
        <f t="shared" si="55"/>
        <v>1</v>
      </c>
      <c r="AQ124" s="116">
        <f t="shared" si="55"/>
        <v>1</v>
      </c>
      <c r="AR124" s="116">
        <f t="shared" si="55"/>
        <v>1</v>
      </c>
      <c r="AS124" s="116">
        <f t="shared" si="55"/>
        <v>1</v>
      </c>
      <c r="AT124" s="116">
        <f t="shared" si="55"/>
        <v>1</v>
      </c>
      <c r="AU124" s="116">
        <f t="shared" si="55"/>
        <v>1</v>
      </c>
      <c r="AV124" s="116">
        <f t="shared" si="55"/>
        <v>1</v>
      </c>
    </row>
    <row r="125" spans="1:48">
      <c r="A125" s="199" t="s">
        <v>16</v>
      </c>
      <c r="B125" s="283"/>
      <c r="C125" s="283"/>
      <c r="I125" s="165"/>
      <c r="K125" s="95"/>
    </row>
    <row r="126" spans="1:48" ht="15.75" thickBot="1">
      <c r="A126" s="199" t="s">
        <v>16</v>
      </c>
      <c r="B126" s="283"/>
      <c r="C126" s="92" t="s">
        <v>259</v>
      </c>
      <c r="I126" s="165"/>
      <c r="K126" s="95"/>
    </row>
    <row r="127" spans="1:48">
      <c r="A127" s="199" t="s">
        <v>16</v>
      </c>
      <c r="B127" s="283" t="str">
        <f t="shared" ref="B127:C135" si="57">B116</f>
        <v>CNC</v>
      </c>
      <c r="C127" s="283" t="str">
        <f t="shared" si="57"/>
        <v>Commercial - Cooling</v>
      </c>
      <c r="E127" s="156">
        <f t="shared" ref="E127:E135" si="58">E116+$AX$106</f>
        <v>0.01</v>
      </c>
      <c r="I127" s="165"/>
      <c r="J127" s="168">
        <f t="shared" ref="J127:AV133" si="59">J116*(1-$E127)</f>
        <v>0.99</v>
      </c>
      <c r="K127" s="113">
        <f t="shared" si="59"/>
        <v>0.99</v>
      </c>
      <c r="L127" s="113">
        <f t="shared" si="59"/>
        <v>0.99</v>
      </c>
      <c r="M127" s="113">
        <f t="shared" si="59"/>
        <v>0.99</v>
      </c>
      <c r="N127" s="113">
        <f t="shared" si="59"/>
        <v>0.99</v>
      </c>
      <c r="O127" s="113">
        <f t="shared" si="59"/>
        <v>0.99</v>
      </c>
      <c r="P127" s="113">
        <f t="shared" si="59"/>
        <v>0.99</v>
      </c>
      <c r="Q127" s="113">
        <f t="shared" si="59"/>
        <v>0.99</v>
      </c>
      <c r="R127" s="113">
        <f t="shared" si="59"/>
        <v>0.99</v>
      </c>
      <c r="S127" s="113">
        <f t="shared" si="59"/>
        <v>0.99</v>
      </c>
      <c r="T127" s="113">
        <f t="shared" si="59"/>
        <v>0.99</v>
      </c>
      <c r="U127" s="113">
        <f t="shared" si="59"/>
        <v>0.99</v>
      </c>
      <c r="V127" s="113">
        <f t="shared" si="59"/>
        <v>0.99</v>
      </c>
      <c r="W127" s="113">
        <f t="shared" si="59"/>
        <v>0.99</v>
      </c>
      <c r="X127" s="113">
        <f t="shared" si="59"/>
        <v>0.99</v>
      </c>
      <c r="Y127" s="113">
        <f t="shared" si="59"/>
        <v>0.99</v>
      </c>
      <c r="Z127" s="113">
        <f t="shared" si="59"/>
        <v>0.99</v>
      </c>
      <c r="AA127" s="113">
        <f t="shared" si="59"/>
        <v>0.99</v>
      </c>
      <c r="AB127" s="113">
        <f t="shared" si="59"/>
        <v>0.99</v>
      </c>
      <c r="AC127" s="113">
        <f t="shared" si="59"/>
        <v>0.99</v>
      </c>
      <c r="AD127" s="113">
        <f t="shared" si="59"/>
        <v>0.99</v>
      </c>
      <c r="AE127" s="113">
        <f t="shared" si="59"/>
        <v>0.99</v>
      </c>
      <c r="AF127" s="113">
        <f t="shared" si="59"/>
        <v>0.99</v>
      </c>
      <c r="AG127" s="113">
        <f t="shared" si="59"/>
        <v>0.99</v>
      </c>
      <c r="AH127" s="113">
        <f t="shared" si="59"/>
        <v>0.99</v>
      </c>
      <c r="AI127" s="113">
        <f t="shared" si="59"/>
        <v>0.99</v>
      </c>
      <c r="AJ127" s="113">
        <f t="shared" si="59"/>
        <v>0.99</v>
      </c>
      <c r="AK127" s="113">
        <f t="shared" si="59"/>
        <v>0.99</v>
      </c>
      <c r="AL127" s="113">
        <f t="shared" si="59"/>
        <v>0.99</v>
      </c>
      <c r="AM127" s="113">
        <f t="shared" si="59"/>
        <v>0.99</v>
      </c>
      <c r="AN127" s="113">
        <f t="shared" si="59"/>
        <v>0.99</v>
      </c>
      <c r="AO127" s="113">
        <f t="shared" si="59"/>
        <v>0.99</v>
      </c>
      <c r="AP127" s="113">
        <f t="shared" si="59"/>
        <v>0.99</v>
      </c>
      <c r="AQ127" s="113">
        <f t="shared" si="59"/>
        <v>0.99</v>
      </c>
      <c r="AR127" s="113">
        <f t="shared" si="59"/>
        <v>0.99</v>
      </c>
      <c r="AS127" s="113">
        <f t="shared" si="59"/>
        <v>0.99</v>
      </c>
      <c r="AT127" s="113">
        <f t="shared" si="59"/>
        <v>0.99</v>
      </c>
      <c r="AU127" s="113">
        <f t="shared" si="59"/>
        <v>0.99</v>
      </c>
      <c r="AV127" s="113">
        <f t="shared" si="59"/>
        <v>0.99</v>
      </c>
    </row>
    <row r="128" spans="1:48">
      <c r="A128" s="199" t="s">
        <v>16</v>
      </c>
      <c r="B128" s="283" t="str">
        <f t="shared" si="57"/>
        <v>CNH</v>
      </c>
      <c r="C128" s="283" t="str">
        <f t="shared" si="57"/>
        <v>Commercial - Space Heating</v>
      </c>
      <c r="E128" s="156">
        <f t="shared" si="58"/>
        <v>0.01</v>
      </c>
      <c r="I128" s="165"/>
      <c r="J128" s="168">
        <f t="shared" si="59"/>
        <v>0.99</v>
      </c>
      <c r="K128" s="113">
        <f t="shared" si="59"/>
        <v>0.99</v>
      </c>
      <c r="L128" s="113">
        <f t="shared" si="59"/>
        <v>0.99</v>
      </c>
      <c r="M128" s="113">
        <f t="shared" si="59"/>
        <v>0.99</v>
      </c>
      <c r="N128" s="113">
        <f t="shared" si="59"/>
        <v>0.99</v>
      </c>
      <c r="O128" s="113">
        <f t="shared" si="59"/>
        <v>0.99</v>
      </c>
      <c r="P128" s="113">
        <f t="shared" si="59"/>
        <v>0.99</v>
      </c>
      <c r="Q128" s="113">
        <f t="shared" si="59"/>
        <v>0.99</v>
      </c>
      <c r="R128" s="113">
        <f t="shared" si="59"/>
        <v>0.99</v>
      </c>
      <c r="S128" s="113">
        <f t="shared" si="59"/>
        <v>0.99</v>
      </c>
      <c r="T128" s="113">
        <f t="shared" si="59"/>
        <v>0.99</v>
      </c>
      <c r="U128" s="113">
        <f t="shared" si="59"/>
        <v>0.99</v>
      </c>
      <c r="V128" s="113">
        <f t="shared" si="59"/>
        <v>0.99</v>
      </c>
      <c r="W128" s="113">
        <f t="shared" si="59"/>
        <v>0.99</v>
      </c>
      <c r="X128" s="113">
        <f t="shared" si="59"/>
        <v>0.99</v>
      </c>
      <c r="Y128" s="113">
        <f t="shared" si="59"/>
        <v>0.99</v>
      </c>
      <c r="Z128" s="113">
        <f t="shared" si="59"/>
        <v>0.99</v>
      </c>
      <c r="AA128" s="113">
        <f t="shared" si="59"/>
        <v>0.99</v>
      </c>
      <c r="AB128" s="113">
        <f t="shared" si="59"/>
        <v>0.99</v>
      </c>
      <c r="AC128" s="113">
        <f t="shared" si="59"/>
        <v>0.99</v>
      </c>
      <c r="AD128" s="113">
        <f t="shared" si="59"/>
        <v>0.99</v>
      </c>
      <c r="AE128" s="113">
        <f t="shared" si="59"/>
        <v>0.99</v>
      </c>
      <c r="AF128" s="113">
        <f t="shared" si="59"/>
        <v>0.99</v>
      </c>
      <c r="AG128" s="113">
        <f t="shared" si="59"/>
        <v>0.99</v>
      </c>
      <c r="AH128" s="113">
        <f t="shared" si="59"/>
        <v>0.99</v>
      </c>
      <c r="AI128" s="113">
        <f t="shared" si="59"/>
        <v>0.99</v>
      </c>
      <c r="AJ128" s="113">
        <f t="shared" si="59"/>
        <v>0.99</v>
      </c>
      <c r="AK128" s="113">
        <f t="shared" si="59"/>
        <v>0.99</v>
      </c>
      <c r="AL128" s="113">
        <f t="shared" si="59"/>
        <v>0.99</v>
      </c>
      <c r="AM128" s="113">
        <f t="shared" si="59"/>
        <v>0.99</v>
      </c>
      <c r="AN128" s="113">
        <f t="shared" si="59"/>
        <v>0.99</v>
      </c>
      <c r="AO128" s="113">
        <f t="shared" si="59"/>
        <v>0.99</v>
      </c>
      <c r="AP128" s="113">
        <f t="shared" si="59"/>
        <v>0.99</v>
      </c>
      <c r="AQ128" s="113">
        <f t="shared" si="59"/>
        <v>0.99</v>
      </c>
      <c r="AR128" s="113">
        <f t="shared" si="59"/>
        <v>0.99</v>
      </c>
      <c r="AS128" s="113">
        <f t="shared" si="59"/>
        <v>0.99</v>
      </c>
      <c r="AT128" s="113">
        <f t="shared" si="59"/>
        <v>0.99</v>
      </c>
      <c r="AU128" s="113">
        <f t="shared" si="59"/>
        <v>0.99</v>
      </c>
      <c r="AV128" s="113">
        <f t="shared" si="59"/>
        <v>0.99</v>
      </c>
    </row>
    <row r="129" spans="1:48">
      <c r="A129" s="199" t="s">
        <v>16</v>
      </c>
      <c r="B129" s="283" t="str">
        <f t="shared" si="57"/>
        <v>CNK</v>
      </c>
      <c r="C129" s="283" t="str">
        <f t="shared" si="57"/>
        <v>Commercial - Cooking</v>
      </c>
      <c r="E129" s="156">
        <f t="shared" si="58"/>
        <v>0.01</v>
      </c>
      <c r="I129" s="165"/>
      <c r="J129" s="168">
        <f t="shared" si="59"/>
        <v>0.99</v>
      </c>
      <c r="K129" s="113">
        <f t="shared" si="59"/>
        <v>0.99</v>
      </c>
      <c r="L129" s="113">
        <f t="shared" si="59"/>
        <v>0.99</v>
      </c>
      <c r="M129" s="113">
        <f t="shared" si="59"/>
        <v>0.99</v>
      </c>
      <c r="N129" s="113">
        <f t="shared" si="59"/>
        <v>0.99</v>
      </c>
      <c r="O129" s="113">
        <f t="shared" si="59"/>
        <v>0.99</v>
      </c>
      <c r="P129" s="113">
        <f t="shared" si="59"/>
        <v>0.99</v>
      </c>
      <c r="Q129" s="113">
        <f t="shared" si="59"/>
        <v>0.99</v>
      </c>
      <c r="R129" s="113">
        <f t="shared" si="59"/>
        <v>0.99</v>
      </c>
      <c r="S129" s="113">
        <f t="shared" si="59"/>
        <v>0.99</v>
      </c>
      <c r="T129" s="113">
        <f t="shared" si="59"/>
        <v>0.99</v>
      </c>
      <c r="U129" s="113">
        <f t="shared" si="59"/>
        <v>0.99</v>
      </c>
      <c r="V129" s="113">
        <f t="shared" si="59"/>
        <v>0.99</v>
      </c>
      <c r="W129" s="113">
        <f t="shared" si="59"/>
        <v>0.99</v>
      </c>
      <c r="X129" s="113">
        <f t="shared" si="59"/>
        <v>0.99</v>
      </c>
      <c r="Y129" s="113">
        <f t="shared" si="59"/>
        <v>0.99</v>
      </c>
      <c r="Z129" s="113">
        <f t="shared" si="59"/>
        <v>0.99</v>
      </c>
      <c r="AA129" s="113">
        <f t="shared" si="59"/>
        <v>0.99</v>
      </c>
      <c r="AB129" s="113">
        <f t="shared" si="59"/>
        <v>0.99</v>
      </c>
      <c r="AC129" s="113">
        <f t="shared" si="59"/>
        <v>0.99</v>
      </c>
      <c r="AD129" s="113">
        <f t="shared" si="59"/>
        <v>0.99</v>
      </c>
      <c r="AE129" s="113">
        <f t="shared" si="59"/>
        <v>0.99</v>
      </c>
      <c r="AF129" s="113">
        <f t="shared" si="59"/>
        <v>0.99</v>
      </c>
      <c r="AG129" s="113">
        <f t="shared" si="59"/>
        <v>0.99</v>
      </c>
      <c r="AH129" s="113">
        <f t="shared" si="59"/>
        <v>0.99</v>
      </c>
      <c r="AI129" s="113">
        <f t="shared" si="59"/>
        <v>0.99</v>
      </c>
      <c r="AJ129" s="113">
        <f t="shared" si="59"/>
        <v>0.99</v>
      </c>
      <c r="AK129" s="113">
        <f t="shared" si="59"/>
        <v>0.99</v>
      </c>
      <c r="AL129" s="113">
        <f t="shared" si="59"/>
        <v>0.99</v>
      </c>
      <c r="AM129" s="113">
        <f t="shared" si="59"/>
        <v>0.99</v>
      </c>
      <c r="AN129" s="113">
        <f t="shared" si="59"/>
        <v>0.99</v>
      </c>
      <c r="AO129" s="113">
        <f t="shared" si="59"/>
        <v>0.99</v>
      </c>
      <c r="AP129" s="113">
        <f t="shared" si="59"/>
        <v>0.99</v>
      </c>
      <c r="AQ129" s="113">
        <f t="shared" si="59"/>
        <v>0.99</v>
      </c>
      <c r="AR129" s="113">
        <f t="shared" si="59"/>
        <v>0.99</v>
      </c>
      <c r="AS129" s="113">
        <f t="shared" si="59"/>
        <v>0.99</v>
      </c>
      <c r="AT129" s="113">
        <f t="shared" si="59"/>
        <v>0.99</v>
      </c>
      <c r="AU129" s="113">
        <f t="shared" si="59"/>
        <v>0.99</v>
      </c>
      <c r="AV129" s="113">
        <f t="shared" si="59"/>
        <v>0.99</v>
      </c>
    </row>
    <row r="130" spans="1:48">
      <c r="A130" s="199" t="s">
        <v>16</v>
      </c>
      <c r="B130" s="283" t="str">
        <f t="shared" si="57"/>
        <v>CNL</v>
      </c>
      <c r="C130" s="283" t="str">
        <f t="shared" si="57"/>
        <v>Commercial - Lighting</v>
      </c>
      <c r="E130" s="156">
        <f t="shared" si="58"/>
        <v>0.01</v>
      </c>
      <c r="I130" s="165"/>
      <c r="J130" s="168">
        <f t="shared" si="59"/>
        <v>0.99</v>
      </c>
      <c r="K130" s="113">
        <f t="shared" si="59"/>
        <v>0.99</v>
      </c>
      <c r="L130" s="113">
        <f t="shared" si="59"/>
        <v>0.99</v>
      </c>
      <c r="M130" s="113">
        <f t="shared" si="59"/>
        <v>0.99</v>
      </c>
      <c r="N130" s="113">
        <f t="shared" si="59"/>
        <v>0.99</v>
      </c>
      <c r="O130" s="113">
        <f t="shared" si="59"/>
        <v>0.99</v>
      </c>
      <c r="P130" s="113">
        <f t="shared" si="59"/>
        <v>0.99</v>
      </c>
      <c r="Q130" s="113">
        <f t="shared" si="59"/>
        <v>0.99</v>
      </c>
      <c r="R130" s="113">
        <f t="shared" si="59"/>
        <v>0.99</v>
      </c>
      <c r="S130" s="113">
        <f t="shared" si="59"/>
        <v>0.99</v>
      </c>
      <c r="T130" s="113">
        <f t="shared" si="59"/>
        <v>0.99</v>
      </c>
      <c r="U130" s="113">
        <f t="shared" si="59"/>
        <v>0.99</v>
      </c>
      <c r="V130" s="113">
        <f t="shared" si="59"/>
        <v>0.99</v>
      </c>
      <c r="W130" s="113">
        <f t="shared" si="59"/>
        <v>0.99</v>
      </c>
      <c r="X130" s="113">
        <f t="shared" si="59"/>
        <v>0.99</v>
      </c>
      <c r="Y130" s="113">
        <f t="shared" si="59"/>
        <v>0.99</v>
      </c>
      <c r="Z130" s="113">
        <f t="shared" si="59"/>
        <v>0.99</v>
      </c>
      <c r="AA130" s="113">
        <f t="shared" si="59"/>
        <v>0.99</v>
      </c>
      <c r="AB130" s="113">
        <f t="shared" si="59"/>
        <v>0.99</v>
      </c>
      <c r="AC130" s="113">
        <f t="shared" si="59"/>
        <v>0.99</v>
      </c>
      <c r="AD130" s="113">
        <f t="shared" si="59"/>
        <v>0.99</v>
      </c>
      <c r="AE130" s="113">
        <f t="shared" si="59"/>
        <v>0.99</v>
      </c>
      <c r="AF130" s="113">
        <f t="shared" si="59"/>
        <v>0.99</v>
      </c>
      <c r="AG130" s="113">
        <f t="shared" si="59"/>
        <v>0.99</v>
      </c>
      <c r="AH130" s="113">
        <f t="shared" si="59"/>
        <v>0.99</v>
      </c>
      <c r="AI130" s="113">
        <f t="shared" si="59"/>
        <v>0.99</v>
      </c>
      <c r="AJ130" s="113">
        <f t="shared" si="59"/>
        <v>0.99</v>
      </c>
      <c r="AK130" s="113">
        <f t="shared" si="59"/>
        <v>0.99</v>
      </c>
      <c r="AL130" s="113">
        <f t="shared" si="59"/>
        <v>0.99</v>
      </c>
      <c r="AM130" s="113">
        <f t="shared" si="59"/>
        <v>0.99</v>
      </c>
      <c r="AN130" s="113">
        <f t="shared" si="59"/>
        <v>0.99</v>
      </c>
      <c r="AO130" s="113">
        <f t="shared" si="59"/>
        <v>0.99</v>
      </c>
      <c r="AP130" s="113">
        <f t="shared" si="59"/>
        <v>0.99</v>
      </c>
      <c r="AQ130" s="113">
        <f t="shared" si="59"/>
        <v>0.99</v>
      </c>
      <c r="AR130" s="113">
        <f t="shared" si="59"/>
        <v>0.99</v>
      </c>
      <c r="AS130" s="113">
        <f t="shared" si="59"/>
        <v>0.99</v>
      </c>
      <c r="AT130" s="113">
        <f t="shared" si="59"/>
        <v>0.99</v>
      </c>
      <c r="AU130" s="113">
        <f t="shared" si="59"/>
        <v>0.99</v>
      </c>
      <c r="AV130" s="113">
        <f t="shared" si="59"/>
        <v>0.99</v>
      </c>
    </row>
    <row r="131" spans="1:48">
      <c r="A131" s="199" t="s">
        <v>16</v>
      </c>
      <c r="B131" s="283" t="str">
        <f t="shared" si="57"/>
        <v>CNR</v>
      </c>
      <c r="C131" s="283" t="str">
        <f t="shared" si="57"/>
        <v>Commercial - Refrigeration</v>
      </c>
      <c r="E131" s="156">
        <f t="shared" si="58"/>
        <v>0.01</v>
      </c>
      <c r="H131" s="283"/>
      <c r="I131" s="165"/>
      <c r="J131" s="168">
        <f t="shared" si="59"/>
        <v>0.99</v>
      </c>
      <c r="K131" s="113">
        <f t="shared" si="59"/>
        <v>0.99</v>
      </c>
      <c r="L131" s="113">
        <f t="shared" si="59"/>
        <v>0.99</v>
      </c>
      <c r="M131" s="113">
        <f t="shared" si="59"/>
        <v>0.99</v>
      </c>
      <c r="N131" s="113">
        <f>N120*(1-$E131)</f>
        <v>0.99</v>
      </c>
      <c r="O131" s="113">
        <f t="shared" si="59"/>
        <v>0.99</v>
      </c>
      <c r="P131" s="113">
        <f t="shared" si="59"/>
        <v>0.99</v>
      </c>
      <c r="Q131" s="113">
        <f t="shared" si="59"/>
        <v>0.99</v>
      </c>
      <c r="R131" s="113">
        <f t="shared" si="59"/>
        <v>0.99</v>
      </c>
      <c r="S131" s="113">
        <f t="shared" si="59"/>
        <v>0.99</v>
      </c>
      <c r="T131" s="113">
        <f t="shared" si="59"/>
        <v>0.99</v>
      </c>
      <c r="U131" s="113">
        <f t="shared" si="59"/>
        <v>0.99</v>
      </c>
      <c r="V131" s="113">
        <f t="shared" si="59"/>
        <v>0.99</v>
      </c>
      <c r="W131" s="113">
        <f t="shared" si="59"/>
        <v>0.99</v>
      </c>
      <c r="X131" s="113">
        <f t="shared" si="59"/>
        <v>0.99</v>
      </c>
      <c r="Y131" s="113">
        <f t="shared" si="59"/>
        <v>0.99</v>
      </c>
      <c r="Z131" s="113">
        <f t="shared" si="59"/>
        <v>0.99</v>
      </c>
      <c r="AA131" s="113">
        <f t="shared" si="59"/>
        <v>0.99</v>
      </c>
      <c r="AB131" s="113">
        <f t="shared" si="59"/>
        <v>0.99</v>
      </c>
      <c r="AC131" s="113">
        <f t="shared" si="59"/>
        <v>0.99</v>
      </c>
      <c r="AD131" s="113">
        <f t="shared" si="59"/>
        <v>0.99</v>
      </c>
      <c r="AE131" s="113">
        <f t="shared" si="59"/>
        <v>0.99</v>
      </c>
      <c r="AF131" s="113">
        <f t="shared" si="59"/>
        <v>0.99</v>
      </c>
      <c r="AG131" s="113">
        <f t="shared" si="59"/>
        <v>0.99</v>
      </c>
      <c r="AH131" s="113">
        <f t="shared" si="59"/>
        <v>0.99</v>
      </c>
      <c r="AI131" s="113">
        <f t="shared" si="59"/>
        <v>0.99</v>
      </c>
      <c r="AJ131" s="113">
        <f t="shared" si="59"/>
        <v>0.99</v>
      </c>
      <c r="AK131" s="113">
        <f t="shared" si="59"/>
        <v>0.99</v>
      </c>
      <c r="AL131" s="113">
        <f t="shared" si="59"/>
        <v>0.99</v>
      </c>
      <c r="AM131" s="113">
        <f t="shared" si="59"/>
        <v>0.99</v>
      </c>
      <c r="AN131" s="113">
        <f t="shared" si="59"/>
        <v>0.99</v>
      </c>
      <c r="AO131" s="113">
        <f t="shared" si="59"/>
        <v>0.99</v>
      </c>
      <c r="AP131" s="113">
        <f t="shared" si="59"/>
        <v>0.99</v>
      </c>
      <c r="AQ131" s="113">
        <f t="shared" si="59"/>
        <v>0.99</v>
      </c>
      <c r="AR131" s="113">
        <f t="shared" si="59"/>
        <v>0.99</v>
      </c>
      <c r="AS131" s="113">
        <f t="shared" si="59"/>
        <v>0.99</v>
      </c>
      <c r="AT131" s="113">
        <f t="shared" si="59"/>
        <v>0.99</v>
      </c>
      <c r="AU131" s="113">
        <f t="shared" si="59"/>
        <v>0.99</v>
      </c>
      <c r="AV131" s="113">
        <f t="shared" si="59"/>
        <v>0.99</v>
      </c>
    </row>
    <row r="132" spans="1:48">
      <c r="A132" s="199" t="s">
        <v>16</v>
      </c>
      <c r="B132" s="283" t="str">
        <f t="shared" si="57"/>
        <v>CNW</v>
      </c>
      <c r="C132" s="283" t="str">
        <f t="shared" si="57"/>
        <v>Commercial - Water Heating</v>
      </c>
      <c r="E132" s="156">
        <f t="shared" si="58"/>
        <v>0.01</v>
      </c>
      <c r="I132" s="165"/>
      <c r="J132" s="168">
        <f t="shared" si="59"/>
        <v>0.99</v>
      </c>
      <c r="K132" s="113">
        <f t="shared" si="59"/>
        <v>0.99</v>
      </c>
      <c r="L132" s="113">
        <f t="shared" si="59"/>
        <v>0.99</v>
      </c>
      <c r="M132" s="113">
        <f t="shared" si="59"/>
        <v>0.99</v>
      </c>
      <c r="N132" s="113">
        <f t="shared" si="59"/>
        <v>0.99</v>
      </c>
      <c r="O132" s="113">
        <f t="shared" si="59"/>
        <v>0.99</v>
      </c>
      <c r="P132" s="113">
        <f t="shared" si="59"/>
        <v>0.99</v>
      </c>
      <c r="Q132" s="113">
        <f t="shared" si="59"/>
        <v>0.99</v>
      </c>
      <c r="R132" s="113">
        <f t="shared" si="59"/>
        <v>0.99</v>
      </c>
      <c r="S132" s="113">
        <f t="shared" si="59"/>
        <v>0.99</v>
      </c>
      <c r="T132" s="113">
        <f t="shared" si="59"/>
        <v>0.99</v>
      </c>
      <c r="U132" s="113">
        <f t="shared" si="59"/>
        <v>0.99</v>
      </c>
      <c r="V132" s="113">
        <f t="shared" si="59"/>
        <v>0.99</v>
      </c>
      <c r="W132" s="113">
        <f t="shared" si="59"/>
        <v>0.99</v>
      </c>
      <c r="X132" s="113">
        <f t="shared" si="59"/>
        <v>0.99</v>
      </c>
      <c r="Y132" s="113">
        <f t="shared" si="59"/>
        <v>0.99</v>
      </c>
      <c r="Z132" s="113">
        <f t="shared" si="59"/>
        <v>0.99</v>
      </c>
      <c r="AA132" s="113">
        <f t="shared" si="59"/>
        <v>0.99</v>
      </c>
      <c r="AB132" s="113">
        <f t="shared" si="59"/>
        <v>0.99</v>
      </c>
      <c r="AC132" s="113">
        <f t="shared" si="59"/>
        <v>0.99</v>
      </c>
      <c r="AD132" s="113">
        <f t="shared" si="59"/>
        <v>0.99</v>
      </c>
      <c r="AE132" s="113">
        <f t="shared" si="59"/>
        <v>0.99</v>
      </c>
      <c r="AF132" s="113">
        <f t="shared" si="59"/>
        <v>0.99</v>
      </c>
      <c r="AG132" s="113">
        <f t="shared" si="59"/>
        <v>0.99</v>
      </c>
      <c r="AH132" s="113">
        <f t="shared" si="59"/>
        <v>0.99</v>
      </c>
      <c r="AI132" s="113">
        <f t="shared" si="59"/>
        <v>0.99</v>
      </c>
      <c r="AJ132" s="113">
        <f t="shared" si="59"/>
        <v>0.99</v>
      </c>
      <c r="AK132" s="113">
        <f t="shared" si="59"/>
        <v>0.99</v>
      </c>
      <c r="AL132" s="113">
        <f t="shared" si="59"/>
        <v>0.99</v>
      </c>
      <c r="AM132" s="113">
        <f t="shared" si="59"/>
        <v>0.99</v>
      </c>
      <c r="AN132" s="113">
        <f t="shared" si="59"/>
        <v>0.99</v>
      </c>
      <c r="AO132" s="113">
        <f t="shared" si="59"/>
        <v>0.99</v>
      </c>
      <c r="AP132" s="113">
        <f t="shared" si="59"/>
        <v>0.99</v>
      </c>
      <c r="AQ132" s="113">
        <f t="shared" si="59"/>
        <v>0.99</v>
      </c>
      <c r="AR132" s="113">
        <f t="shared" si="59"/>
        <v>0.99</v>
      </c>
      <c r="AS132" s="113">
        <f t="shared" si="59"/>
        <v>0.99</v>
      </c>
      <c r="AT132" s="113">
        <f t="shared" si="59"/>
        <v>0.99</v>
      </c>
      <c r="AU132" s="113">
        <f t="shared" si="59"/>
        <v>0.99</v>
      </c>
      <c r="AV132" s="113">
        <f t="shared" si="59"/>
        <v>0.99</v>
      </c>
    </row>
    <row r="133" spans="1:48">
      <c r="A133" s="199" t="s">
        <v>16</v>
      </c>
      <c r="B133" s="283" t="str">
        <f t="shared" si="57"/>
        <v>CNG</v>
      </c>
      <c r="C133" s="283" t="str">
        <f t="shared" si="57"/>
        <v>Commercial - Public lights</v>
      </c>
      <c r="E133" s="156">
        <f t="shared" si="58"/>
        <v>0.01</v>
      </c>
      <c r="I133" s="165"/>
      <c r="J133" s="168">
        <f t="shared" si="59"/>
        <v>0.99</v>
      </c>
      <c r="K133" s="113">
        <f t="shared" si="59"/>
        <v>0.99</v>
      </c>
      <c r="L133" s="113">
        <f t="shared" si="59"/>
        <v>0.99</v>
      </c>
      <c r="M133" s="113">
        <f t="shared" si="59"/>
        <v>0.99</v>
      </c>
      <c r="N133" s="113">
        <f t="shared" si="59"/>
        <v>0.99</v>
      </c>
      <c r="O133" s="113">
        <f t="shared" si="59"/>
        <v>0.99</v>
      </c>
      <c r="P133" s="113">
        <f t="shared" si="59"/>
        <v>0.99</v>
      </c>
      <c r="Q133" s="113">
        <f t="shared" si="59"/>
        <v>0.99</v>
      </c>
      <c r="R133" s="113">
        <f t="shared" si="59"/>
        <v>0.99</v>
      </c>
      <c r="S133" s="113">
        <f t="shared" si="59"/>
        <v>0.99</v>
      </c>
      <c r="T133" s="113">
        <f t="shared" si="59"/>
        <v>0.99</v>
      </c>
      <c r="U133" s="113">
        <f t="shared" si="59"/>
        <v>0.99</v>
      </c>
      <c r="V133" s="113">
        <f t="shared" si="59"/>
        <v>0.99</v>
      </c>
      <c r="W133" s="113">
        <f t="shared" si="59"/>
        <v>0.99</v>
      </c>
      <c r="X133" s="113">
        <f t="shared" si="59"/>
        <v>0.99</v>
      </c>
      <c r="Y133" s="113">
        <f t="shared" si="59"/>
        <v>0.99</v>
      </c>
      <c r="Z133" s="113">
        <f t="shared" si="59"/>
        <v>0.99</v>
      </c>
      <c r="AA133" s="113">
        <f t="shared" si="59"/>
        <v>0.99</v>
      </c>
      <c r="AB133" s="113">
        <f t="shared" si="59"/>
        <v>0.99</v>
      </c>
      <c r="AC133" s="113">
        <f t="shared" si="59"/>
        <v>0.99</v>
      </c>
      <c r="AD133" s="113">
        <f t="shared" si="59"/>
        <v>0.99</v>
      </c>
      <c r="AE133" s="113">
        <f t="shared" si="59"/>
        <v>0.99</v>
      </c>
      <c r="AF133" s="113">
        <f t="shared" ref="AF133:AV135" si="60">AF122*(1-$E133)</f>
        <v>0.99</v>
      </c>
      <c r="AG133" s="113">
        <f t="shared" si="60"/>
        <v>0.99</v>
      </c>
      <c r="AH133" s="113">
        <f t="shared" si="60"/>
        <v>0.99</v>
      </c>
      <c r="AI133" s="113">
        <f t="shared" si="60"/>
        <v>0.99</v>
      </c>
      <c r="AJ133" s="113">
        <f t="shared" si="60"/>
        <v>0.99</v>
      </c>
      <c r="AK133" s="113">
        <f t="shared" si="60"/>
        <v>0.99</v>
      </c>
      <c r="AL133" s="113">
        <f t="shared" si="60"/>
        <v>0.99</v>
      </c>
      <c r="AM133" s="113">
        <f t="shared" si="60"/>
        <v>0.99</v>
      </c>
      <c r="AN133" s="113">
        <f t="shared" si="60"/>
        <v>0.99</v>
      </c>
      <c r="AO133" s="113">
        <f t="shared" si="60"/>
        <v>0.99</v>
      </c>
      <c r="AP133" s="113">
        <f t="shared" si="60"/>
        <v>0.99</v>
      </c>
      <c r="AQ133" s="113">
        <f t="shared" si="60"/>
        <v>0.99</v>
      </c>
      <c r="AR133" s="113">
        <f t="shared" si="60"/>
        <v>0.99</v>
      </c>
      <c r="AS133" s="113">
        <f t="shared" si="60"/>
        <v>0.99</v>
      </c>
      <c r="AT133" s="113">
        <f t="shared" si="60"/>
        <v>0.99</v>
      </c>
      <c r="AU133" s="113">
        <f t="shared" si="60"/>
        <v>0.99</v>
      </c>
      <c r="AV133" s="113">
        <f t="shared" si="60"/>
        <v>0.99</v>
      </c>
    </row>
    <row r="134" spans="1:48">
      <c r="A134" s="199" t="s">
        <v>16</v>
      </c>
      <c r="B134" s="283" t="str">
        <f t="shared" si="57"/>
        <v>CNT</v>
      </c>
      <c r="C134" s="283" t="str">
        <f t="shared" si="57"/>
        <v>Commercial - Public Water</v>
      </c>
      <c r="E134" s="156">
        <f t="shared" si="58"/>
        <v>0.01</v>
      </c>
      <c r="I134" s="165"/>
      <c r="J134" s="168">
        <f t="shared" ref="J134:AV135" si="61">J123*(1-$E134)</f>
        <v>0.99</v>
      </c>
      <c r="K134" s="113">
        <f t="shared" si="61"/>
        <v>0.99</v>
      </c>
      <c r="L134" s="113">
        <f t="shared" si="61"/>
        <v>0.99</v>
      </c>
      <c r="M134" s="113">
        <f t="shared" si="61"/>
        <v>0.99</v>
      </c>
      <c r="N134" s="113">
        <f t="shared" si="61"/>
        <v>0.99</v>
      </c>
      <c r="O134" s="113">
        <f t="shared" si="61"/>
        <v>0.99</v>
      </c>
      <c r="P134" s="113">
        <f t="shared" si="61"/>
        <v>0.99</v>
      </c>
      <c r="Q134" s="113">
        <f t="shared" si="61"/>
        <v>0.99</v>
      </c>
      <c r="R134" s="113">
        <f t="shared" si="61"/>
        <v>0.99</v>
      </c>
      <c r="S134" s="113">
        <f t="shared" si="61"/>
        <v>0.99</v>
      </c>
      <c r="T134" s="113">
        <f t="shared" si="61"/>
        <v>0.99</v>
      </c>
      <c r="U134" s="113">
        <f t="shared" si="61"/>
        <v>0.99</v>
      </c>
      <c r="V134" s="113">
        <f t="shared" si="61"/>
        <v>0.99</v>
      </c>
      <c r="W134" s="113">
        <f t="shared" si="61"/>
        <v>0.99</v>
      </c>
      <c r="X134" s="113">
        <f t="shared" si="61"/>
        <v>0.99</v>
      </c>
      <c r="Y134" s="113">
        <f t="shared" si="61"/>
        <v>0.99</v>
      </c>
      <c r="Z134" s="113">
        <f t="shared" si="61"/>
        <v>0.99</v>
      </c>
      <c r="AA134" s="113">
        <f t="shared" si="61"/>
        <v>0.99</v>
      </c>
      <c r="AB134" s="113">
        <f t="shared" si="61"/>
        <v>0.99</v>
      </c>
      <c r="AC134" s="113">
        <f t="shared" si="61"/>
        <v>0.99</v>
      </c>
      <c r="AD134" s="113">
        <f t="shared" si="61"/>
        <v>0.99</v>
      </c>
      <c r="AE134" s="113">
        <f t="shared" si="61"/>
        <v>0.99</v>
      </c>
      <c r="AF134" s="113">
        <f t="shared" si="61"/>
        <v>0.99</v>
      </c>
      <c r="AG134" s="113">
        <f t="shared" si="61"/>
        <v>0.99</v>
      </c>
      <c r="AH134" s="113">
        <f t="shared" si="61"/>
        <v>0.99</v>
      </c>
      <c r="AI134" s="113">
        <f t="shared" si="60"/>
        <v>0.99</v>
      </c>
      <c r="AJ134" s="113">
        <f t="shared" si="60"/>
        <v>0.99</v>
      </c>
      <c r="AK134" s="113">
        <f t="shared" si="60"/>
        <v>0.99</v>
      </c>
      <c r="AL134" s="113">
        <f t="shared" si="60"/>
        <v>0.99</v>
      </c>
      <c r="AM134" s="113">
        <f t="shared" si="60"/>
        <v>0.99</v>
      </c>
      <c r="AN134" s="113">
        <f t="shared" si="60"/>
        <v>0.99</v>
      </c>
      <c r="AO134" s="113">
        <f t="shared" si="60"/>
        <v>0.99</v>
      </c>
      <c r="AP134" s="113">
        <f t="shared" si="60"/>
        <v>0.99</v>
      </c>
      <c r="AQ134" s="113">
        <f t="shared" si="60"/>
        <v>0.99</v>
      </c>
      <c r="AR134" s="113">
        <f t="shared" si="60"/>
        <v>0.99</v>
      </c>
      <c r="AS134" s="113">
        <f t="shared" si="61"/>
        <v>0.99</v>
      </c>
      <c r="AT134" s="113">
        <f t="shared" si="61"/>
        <v>0.99</v>
      </c>
      <c r="AU134" s="113">
        <f t="shared" si="61"/>
        <v>0.99</v>
      </c>
      <c r="AV134" s="113">
        <f t="shared" si="61"/>
        <v>0.99</v>
      </c>
    </row>
    <row r="135" spans="1:48">
      <c r="A135" s="199" t="s">
        <v>16</v>
      </c>
      <c r="B135" s="283" t="str">
        <f t="shared" si="57"/>
        <v>CNO</v>
      </c>
      <c r="C135" s="283" t="str">
        <f t="shared" si="57"/>
        <v>Commercial - Other</v>
      </c>
      <c r="E135" s="156">
        <f t="shared" si="58"/>
        <v>0.01</v>
      </c>
      <c r="I135" s="165"/>
      <c r="J135" s="168">
        <f t="shared" si="61"/>
        <v>0.99</v>
      </c>
      <c r="K135" s="113">
        <f t="shared" si="61"/>
        <v>0.99</v>
      </c>
      <c r="L135" s="113">
        <f t="shared" si="61"/>
        <v>0.99</v>
      </c>
      <c r="M135" s="113">
        <f t="shared" si="61"/>
        <v>0.99</v>
      </c>
      <c r="N135" s="113">
        <f t="shared" si="61"/>
        <v>0.99</v>
      </c>
      <c r="O135" s="113">
        <f t="shared" si="61"/>
        <v>0.99</v>
      </c>
      <c r="P135" s="113">
        <f t="shared" si="61"/>
        <v>0.99</v>
      </c>
      <c r="Q135" s="113">
        <f t="shared" si="61"/>
        <v>0.99</v>
      </c>
      <c r="R135" s="113">
        <f t="shared" si="61"/>
        <v>0.99</v>
      </c>
      <c r="S135" s="113">
        <f t="shared" si="61"/>
        <v>0.99</v>
      </c>
      <c r="T135" s="113">
        <f t="shared" si="61"/>
        <v>0.99</v>
      </c>
      <c r="U135" s="113">
        <f t="shared" si="61"/>
        <v>0.99</v>
      </c>
      <c r="V135" s="113">
        <f t="shared" si="61"/>
        <v>0.99</v>
      </c>
      <c r="W135" s="113">
        <f t="shared" si="61"/>
        <v>0.99</v>
      </c>
      <c r="X135" s="113">
        <f t="shared" si="61"/>
        <v>0.99</v>
      </c>
      <c r="Y135" s="113">
        <f t="shared" si="61"/>
        <v>0.99</v>
      </c>
      <c r="Z135" s="113">
        <f t="shared" si="61"/>
        <v>0.99</v>
      </c>
      <c r="AA135" s="113">
        <f t="shared" si="61"/>
        <v>0.99</v>
      </c>
      <c r="AB135" s="113">
        <f t="shared" si="61"/>
        <v>0.99</v>
      </c>
      <c r="AC135" s="113">
        <f t="shared" si="61"/>
        <v>0.99</v>
      </c>
      <c r="AD135" s="113">
        <f t="shared" si="61"/>
        <v>0.99</v>
      </c>
      <c r="AE135" s="113">
        <f t="shared" si="61"/>
        <v>0.99</v>
      </c>
      <c r="AF135" s="113">
        <f t="shared" si="61"/>
        <v>0.99</v>
      </c>
      <c r="AG135" s="113">
        <f t="shared" si="61"/>
        <v>0.99</v>
      </c>
      <c r="AH135" s="113">
        <f t="shared" si="61"/>
        <v>0.99</v>
      </c>
      <c r="AI135" s="113">
        <f t="shared" si="60"/>
        <v>0.99</v>
      </c>
      <c r="AJ135" s="113">
        <f t="shared" si="60"/>
        <v>0.99</v>
      </c>
      <c r="AK135" s="113">
        <f t="shared" si="60"/>
        <v>0.99</v>
      </c>
      <c r="AL135" s="113">
        <f t="shared" si="60"/>
        <v>0.99</v>
      </c>
      <c r="AM135" s="113">
        <f t="shared" si="60"/>
        <v>0.99</v>
      </c>
      <c r="AN135" s="113">
        <f t="shared" si="60"/>
        <v>0.99</v>
      </c>
      <c r="AO135" s="113">
        <f t="shared" si="60"/>
        <v>0.99</v>
      </c>
      <c r="AP135" s="113">
        <f t="shared" si="60"/>
        <v>0.99</v>
      </c>
      <c r="AQ135" s="113">
        <f t="shared" si="60"/>
        <v>0.99</v>
      </c>
      <c r="AR135" s="113">
        <f t="shared" si="60"/>
        <v>0.99</v>
      </c>
      <c r="AS135" s="113">
        <f t="shared" si="61"/>
        <v>0.99</v>
      </c>
      <c r="AT135" s="113">
        <f t="shared" si="61"/>
        <v>0.99</v>
      </c>
      <c r="AU135" s="113">
        <f t="shared" si="61"/>
        <v>0.99</v>
      </c>
      <c r="AV135" s="113">
        <f t="shared" si="61"/>
        <v>0.99</v>
      </c>
    </row>
    <row r="136" spans="1:48">
      <c r="A136" s="199" t="s">
        <v>16</v>
      </c>
      <c r="B136" s="283"/>
      <c r="C136" s="283"/>
      <c r="I136" s="165"/>
      <c r="K136" s="95"/>
    </row>
    <row r="137" spans="1:48" ht="15.75" thickBot="1">
      <c r="A137" s="199" t="s">
        <v>16</v>
      </c>
      <c r="B137" s="283"/>
      <c r="C137" s="92" t="s">
        <v>260</v>
      </c>
      <c r="I137" s="165"/>
      <c r="K137" s="95"/>
    </row>
    <row r="138" spans="1:48">
      <c r="A138" s="199" t="s">
        <v>16</v>
      </c>
      <c r="B138" s="283" t="str">
        <f t="shared" ref="B138:C146" si="62">B127</f>
        <v>CNC</v>
      </c>
      <c r="C138" s="283" t="str">
        <f t="shared" si="62"/>
        <v>Commercial - Cooling</v>
      </c>
      <c r="E138" s="156">
        <f t="shared" ref="E138:E146" si="63">E127+$AX$106</f>
        <v>0.02</v>
      </c>
      <c r="I138" s="165"/>
      <c r="J138" s="168">
        <f t="shared" ref="J138:AV144" si="64">J127*(1-$E138)</f>
        <v>0.97019999999999995</v>
      </c>
      <c r="K138" s="113">
        <f t="shared" si="64"/>
        <v>0.97019999999999995</v>
      </c>
      <c r="L138" s="113">
        <f t="shared" si="64"/>
        <v>0.97019999999999995</v>
      </c>
      <c r="M138" s="113">
        <f t="shared" si="64"/>
        <v>0.97019999999999995</v>
      </c>
      <c r="N138" s="113">
        <f t="shared" si="64"/>
        <v>0.97019999999999995</v>
      </c>
      <c r="O138" s="113">
        <f t="shared" si="64"/>
        <v>0.97019999999999995</v>
      </c>
      <c r="P138" s="113">
        <f t="shared" si="64"/>
        <v>0.97019999999999995</v>
      </c>
      <c r="Q138" s="113">
        <f t="shared" si="64"/>
        <v>0.97019999999999995</v>
      </c>
      <c r="R138" s="113">
        <f t="shared" si="64"/>
        <v>0.97019999999999995</v>
      </c>
      <c r="S138" s="113">
        <f t="shared" si="64"/>
        <v>0.97019999999999995</v>
      </c>
      <c r="T138" s="113">
        <f t="shared" si="64"/>
        <v>0.97019999999999995</v>
      </c>
      <c r="U138" s="113">
        <f t="shared" si="64"/>
        <v>0.97019999999999995</v>
      </c>
      <c r="V138" s="113">
        <f t="shared" si="64"/>
        <v>0.97019999999999995</v>
      </c>
      <c r="W138" s="113">
        <f t="shared" si="64"/>
        <v>0.97019999999999995</v>
      </c>
      <c r="X138" s="113">
        <f t="shared" si="64"/>
        <v>0.97019999999999995</v>
      </c>
      <c r="Y138" s="113">
        <f t="shared" si="64"/>
        <v>0.97019999999999995</v>
      </c>
      <c r="Z138" s="113">
        <f t="shared" si="64"/>
        <v>0.97019999999999995</v>
      </c>
      <c r="AA138" s="113">
        <f t="shared" si="64"/>
        <v>0.97019999999999995</v>
      </c>
      <c r="AB138" s="113">
        <f t="shared" si="64"/>
        <v>0.97019999999999995</v>
      </c>
      <c r="AC138" s="113">
        <f t="shared" si="64"/>
        <v>0.97019999999999995</v>
      </c>
      <c r="AD138" s="113">
        <f t="shared" si="64"/>
        <v>0.97019999999999995</v>
      </c>
      <c r="AE138" s="113">
        <f t="shared" si="64"/>
        <v>0.97019999999999995</v>
      </c>
      <c r="AF138" s="113">
        <f t="shared" si="64"/>
        <v>0.97019999999999995</v>
      </c>
      <c r="AG138" s="113">
        <f t="shared" si="64"/>
        <v>0.97019999999999995</v>
      </c>
      <c r="AH138" s="113">
        <f t="shared" si="64"/>
        <v>0.97019999999999995</v>
      </c>
      <c r="AI138" s="113">
        <f t="shared" si="64"/>
        <v>0.97019999999999995</v>
      </c>
      <c r="AJ138" s="113">
        <f t="shared" si="64"/>
        <v>0.97019999999999995</v>
      </c>
      <c r="AK138" s="113">
        <f t="shared" si="64"/>
        <v>0.97019999999999995</v>
      </c>
      <c r="AL138" s="113">
        <f t="shared" si="64"/>
        <v>0.97019999999999995</v>
      </c>
      <c r="AM138" s="113">
        <f t="shared" si="64"/>
        <v>0.97019999999999995</v>
      </c>
      <c r="AN138" s="113">
        <f t="shared" si="64"/>
        <v>0.97019999999999995</v>
      </c>
      <c r="AO138" s="113">
        <f t="shared" si="64"/>
        <v>0.97019999999999995</v>
      </c>
      <c r="AP138" s="113">
        <f t="shared" si="64"/>
        <v>0.97019999999999995</v>
      </c>
      <c r="AQ138" s="113">
        <f t="shared" si="64"/>
        <v>0.97019999999999995</v>
      </c>
      <c r="AR138" s="113">
        <f t="shared" si="64"/>
        <v>0.97019999999999995</v>
      </c>
      <c r="AS138" s="113">
        <f t="shared" si="64"/>
        <v>0.97019999999999995</v>
      </c>
      <c r="AT138" s="113">
        <f t="shared" si="64"/>
        <v>0.97019999999999995</v>
      </c>
      <c r="AU138" s="113">
        <f t="shared" si="64"/>
        <v>0.97019999999999995</v>
      </c>
      <c r="AV138" s="113">
        <f t="shared" si="64"/>
        <v>0.97019999999999995</v>
      </c>
    </row>
    <row r="139" spans="1:48">
      <c r="A139" s="199" t="s">
        <v>16</v>
      </c>
      <c r="B139" s="283" t="str">
        <f t="shared" si="62"/>
        <v>CNH</v>
      </c>
      <c r="C139" s="283" t="str">
        <f t="shared" si="62"/>
        <v>Commercial - Space Heating</v>
      </c>
      <c r="E139" s="156">
        <f t="shared" si="63"/>
        <v>0.02</v>
      </c>
      <c r="I139" s="165"/>
      <c r="J139" s="168">
        <f t="shared" si="64"/>
        <v>0.97019999999999995</v>
      </c>
      <c r="K139" s="113">
        <f t="shared" si="64"/>
        <v>0.97019999999999995</v>
      </c>
      <c r="L139" s="113">
        <f t="shared" si="64"/>
        <v>0.97019999999999995</v>
      </c>
      <c r="M139" s="113">
        <f t="shared" si="64"/>
        <v>0.97019999999999995</v>
      </c>
      <c r="N139" s="113">
        <f t="shared" si="64"/>
        <v>0.97019999999999995</v>
      </c>
      <c r="O139" s="113">
        <f t="shared" si="64"/>
        <v>0.97019999999999995</v>
      </c>
      <c r="P139" s="113">
        <f t="shared" si="64"/>
        <v>0.97019999999999995</v>
      </c>
      <c r="Q139" s="113">
        <f t="shared" si="64"/>
        <v>0.97019999999999995</v>
      </c>
      <c r="R139" s="113">
        <f t="shared" si="64"/>
        <v>0.97019999999999995</v>
      </c>
      <c r="S139" s="113">
        <f t="shared" si="64"/>
        <v>0.97019999999999995</v>
      </c>
      <c r="T139" s="113">
        <f t="shared" si="64"/>
        <v>0.97019999999999995</v>
      </c>
      <c r="U139" s="113">
        <f t="shared" si="64"/>
        <v>0.97019999999999995</v>
      </c>
      <c r="V139" s="113">
        <f t="shared" si="64"/>
        <v>0.97019999999999995</v>
      </c>
      <c r="W139" s="113">
        <f t="shared" si="64"/>
        <v>0.97019999999999995</v>
      </c>
      <c r="X139" s="113">
        <f t="shared" si="64"/>
        <v>0.97019999999999995</v>
      </c>
      <c r="Y139" s="113">
        <f t="shared" si="64"/>
        <v>0.97019999999999995</v>
      </c>
      <c r="Z139" s="113">
        <f t="shared" si="64"/>
        <v>0.97019999999999995</v>
      </c>
      <c r="AA139" s="113">
        <f t="shared" si="64"/>
        <v>0.97019999999999995</v>
      </c>
      <c r="AB139" s="113">
        <f t="shared" si="64"/>
        <v>0.97019999999999995</v>
      </c>
      <c r="AC139" s="113">
        <f t="shared" si="64"/>
        <v>0.97019999999999995</v>
      </c>
      <c r="AD139" s="113">
        <f t="shared" si="64"/>
        <v>0.97019999999999995</v>
      </c>
      <c r="AE139" s="113">
        <f t="shared" si="64"/>
        <v>0.97019999999999995</v>
      </c>
      <c r="AF139" s="113">
        <f t="shared" si="64"/>
        <v>0.97019999999999995</v>
      </c>
      <c r="AG139" s="113">
        <f t="shared" si="64"/>
        <v>0.97019999999999995</v>
      </c>
      <c r="AH139" s="113">
        <f t="shared" si="64"/>
        <v>0.97019999999999995</v>
      </c>
      <c r="AI139" s="113">
        <f t="shared" si="64"/>
        <v>0.97019999999999995</v>
      </c>
      <c r="AJ139" s="113">
        <f t="shared" si="64"/>
        <v>0.97019999999999995</v>
      </c>
      <c r="AK139" s="113">
        <f t="shared" si="64"/>
        <v>0.97019999999999995</v>
      </c>
      <c r="AL139" s="113">
        <f t="shared" si="64"/>
        <v>0.97019999999999995</v>
      </c>
      <c r="AM139" s="113">
        <f t="shared" si="64"/>
        <v>0.97019999999999995</v>
      </c>
      <c r="AN139" s="113">
        <f t="shared" si="64"/>
        <v>0.97019999999999995</v>
      </c>
      <c r="AO139" s="113">
        <f t="shared" si="64"/>
        <v>0.97019999999999995</v>
      </c>
      <c r="AP139" s="113">
        <f t="shared" si="64"/>
        <v>0.97019999999999995</v>
      </c>
      <c r="AQ139" s="113">
        <f t="shared" si="64"/>
        <v>0.97019999999999995</v>
      </c>
      <c r="AR139" s="113">
        <f t="shared" si="64"/>
        <v>0.97019999999999995</v>
      </c>
      <c r="AS139" s="113">
        <f t="shared" si="64"/>
        <v>0.97019999999999995</v>
      </c>
      <c r="AT139" s="113">
        <f t="shared" si="64"/>
        <v>0.97019999999999995</v>
      </c>
      <c r="AU139" s="113">
        <f t="shared" si="64"/>
        <v>0.97019999999999995</v>
      </c>
      <c r="AV139" s="113">
        <f t="shared" si="64"/>
        <v>0.97019999999999995</v>
      </c>
    </row>
    <row r="140" spans="1:48">
      <c r="A140" s="199" t="s">
        <v>16</v>
      </c>
      <c r="B140" s="283" t="str">
        <f t="shared" si="62"/>
        <v>CNK</v>
      </c>
      <c r="C140" s="283" t="str">
        <f t="shared" si="62"/>
        <v>Commercial - Cooking</v>
      </c>
      <c r="E140" s="156">
        <f t="shared" si="63"/>
        <v>0.02</v>
      </c>
      <c r="I140" s="165"/>
      <c r="J140" s="168">
        <f t="shared" si="64"/>
        <v>0.97019999999999995</v>
      </c>
      <c r="K140" s="113">
        <f t="shared" si="64"/>
        <v>0.97019999999999995</v>
      </c>
      <c r="L140" s="113">
        <f t="shared" si="64"/>
        <v>0.97019999999999995</v>
      </c>
      <c r="M140" s="113">
        <f t="shared" si="64"/>
        <v>0.97019999999999995</v>
      </c>
      <c r="N140" s="113">
        <f t="shared" si="64"/>
        <v>0.97019999999999995</v>
      </c>
      <c r="O140" s="113">
        <f t="shared" si="64"/>
        <v>0.97019999999999995</v>
      </c>
      <c r="P140" s="113">
        <f t="shared" si="64"/>
        <v>0.97019999999999995</v>
      </c>
      <c r="Q140" s="113">
        <f t="shared" si="64"/>
        <v>0.97019999999999995</v>
      </c>
      <c r="R140" s="113">
        <f t="shared" si="64"/>
        <v>0.97019999999999995</v>
      </c>
      <c r="S140" s="113">
        <f t="shared" si="64"/>
        <v>0.97019999999999995</v>
      </c>
      <c r="T140" s="113">
        <f t="shared" si="64"/>
        <v>0.97019999999999995</v>
      </c>
      <c r="U140" s="113">
        <f t="shared" si="64"/>
        <v>0.97019999999999995</v>
      </c>
      <c r="V140" s="113">
        <f t="shared" si="64"/>
        <v>0.97019999999999995</v>
      </c>
      <c r="W140" s="113">
        <f t="shared" si="64"/>
        <v>0.97019999999999995</v>
      </c>
      <c r="X140" s="113">
        <f t="shared" si="64"/>
        <v>0.97019999999999995</v>
      </c>
      <c r="Y140" s="113">
        <f t="shared" si="64"/>
        <v>0.97019999999999995</v>
      </c>
      <c r="Z140" s="113">
        <f t="shared" si="64"/>
        <v>0.97019999999999995</v>
      </c>
      <c r="AA140" s="113">
        <f t="shared" si="64"/>
        <v>0.97019999999999995</v>
      </c>
      <c r="AB140" s="113">
        <f t="shared" si="64"/>
        <v>0.97019999999999995</v>
      </c>
      <c r="AC140" s="113">
        <f t="shared" si="64"/>
        <v>0.97019999999999995</v>
      </c>
      <c r="AD140" s="113">
        <f t="shared" si="64"/>
        <v>0.97019999999999995</v>
      </c>
      <c r="AE140" s="113">
        <f t="shared" si="64"/>
        <v>0.97019999999999995</v>
      </c>
      <c r="AF140" s="113">
        <f t="shared" si="64"/>
        <v>0.97019999999999995</v>
      </c>
      <c r="AG140" s="113">
        <f t="shared" si="64"/>
        <v>0.97019999999999995</v>
      </c>
      <c r="AH140" s="113">
        <f t="shared" si="64"/>
        <v>0.97019999999999995</v>
      </c>
      <c r="AI140" s="113">
        <f t="shared" si="64"/>
        <v>0.97019999999999995</v>
      </c>
      <c r="AJ140" s="113">
        <f t="shared" si="64"/>
        <v>0.97019999999999995</v>
      </c>
      <c r="AK140" s="113">
        <f t="shared" si="64"/>
        <v>0.97019999999999995</v>
      </c>
      <c r="AL140" s="113">
        <f t="shared" si="64"/>
        <v>0.97019999999999995</v>
      </c>
      <c r="AM140" s="113">
        <f t="shared" si="64"/>
        <v>0.97019999999999995</v>
      </c>
      <c r="AN140" s="113">
        <f t="shared" si="64"/>
        <v>0.97019999999999995</v>
      </c>
      <c r="AO140" s="113">
        <f t="shared" si="64"/>
        <v>0.97019999999999995</v>
      </c>
      <c r="AP140" s="113">
        <f t="shared" si="64"/>
        <v>0.97019999999999995</v>
      </c>
      <c r="AQ140" s="113">
        <f t="shared" si="64"/>
        <v>0.97019999999999995</v>
      </c>
      <c r="AR140" s="113">
        <f t="shared" si="64"/>
        <v>0.97019999999999995</v>
      </c>
      <c r="AS140" s="113">
        <f t="shared" si="64"/>
        <v>0.97019999999999995</v>
      </c>
      <c r="AT140" s="113">
        <f t="shared" si="64"/>
        <v>0.97019999999999995</v>
      </c>
      <c r="AU140" s="113">
        <f t="shared" si="64"/>
        <v>0.97019999999999995</v>
      </c>
      <c r="AV140" s="113">
        <f t="shared" si="64"/>
        <v>0.97019999999999995</v>
      </c>
    </row>
    <row r="141" spans="1:48">
      <c r="A141" s="199" t="s">
        <v>16</v>
      </c>
      <c r="B141" s="283" t="str">
        <f t="shared" si="62"/>
        <v>CNL</v>
      </c>
      <c r="C141" s="283" t="str">
        <f t="shared" si="62"/>
        <v>Commercial - Lighting</v>
      </c>
      <c r="E141" s="156">
        <f t="shared" si="63"/>
        <v>0.02</v>
      </c>
      <c r="I141" s="165"/>
      <c r="J141" s="168">
        <f t="shared" si="64"/>
        <v>0.97019999999999995</v>
      </c>
      <c r="K141" s="113">
        <f t="shared" si="64"/>
        <v>0.97019999999999995</v>
      </c>
      <c r="L141" s="113">
        <f t="shared" si="64"/>
        <v>0.97019999999999995</v>
      </c>
      <c r="M141" s="113">
        <f t="shared" si="64"/>
        <v>0.97019999999999995</v>
      </c>
      <c r="N141" s="113">
        <f t="shared" si="64"/>
        <v>0.97019999999999995</v>
      </c>
      <c r="O141" s="113">
        <f t="shared" si="64"/>
        <v>0.97019999999999995</v>
      </c>
      <c r="P141" s="113">
        <f t="shared" si="64"/>
        <v>0.97019999999999995</v>
      </c>
      <c r="Q141" s="113">
        <f t="shared" si="64"/>
        <v>0.97019999999999995</v>
      </c>
      <c r="R141" s="113">
        <f t="shared" si="64"/>
        <v>0.97019999999999995</v>
      </c>
      <c r="S141" s="113">
        <f t="shared" si="64"/>
        <v>0.97019999999999995</v>
      </c>
      <c r="T141" s="113">
        <f t="shared" si="64"/>
        <v>0.97019999999999995</v>
      </c>
      <c r="U141" s="113">
        <f t="shared" si="64"/>
        <v>0.97019999999999995</v>
      </c>
      <c r="V141" s="113">
        <f t="shared" si="64"/>
        <v>0.97019999999999995</v>
      </c>
      <c r="W141" s="113">
        <f t="shared" si="64"/>
        <v>0.97019999999999995</v>
      </c>
      <c r="X141" s="113">
        <f t="shared" si="64"/>
        <v>0.97019999999999995</v>
      </c>
      <c r="Y141" s="113">
        <f t="shared" si="64"/>
        <v>0.97019999999999995</v>
      </c>
      <c r="Z141" s="113">
        <f t="shared" si="64"/>
        <v>0.97019999999999995</v>
      </c>
      <c r="AA141" s="113">
        <f t="shared" si="64"/>
        <v>0.97019999999999995</v>
      </c>
      <c r="AB141" s="113">
        <f t="shared" si="64"/>
        <v>0.97019999999999995</v>
      </c>
      <c r="AC141" s="113">
        <f t="shared" si="64"/>
        <v>0.97019999999999995</v>
      </c>
      <c r="AD141" s="113">
        <f t="shared" si="64"/>
        <v>0.97019999999999995</v>
      </c>
      <c r="AE141" s="113">
        <f t="shared" si="64"/>
        <v>0.97019999999999995</v>
      </c>
      <c r="AF141" s="113">
        <f t="shared" si="64"/>
        <v>0.97019999999999995</v>
      </c>
      <c r="AG141" s="113">
        <f t="shared" si="64"/>
        <v>0.97019999999999995</v>
      </c>
      <c r="AH141" s="113">
        <f t="shared" si="64"/>
        <v>0.97019999999999995</v>
      </c>
      <c r="AI141" s="113">
        <f t="shared" si="64"/>
        <v>0.97019999999999995</v>
      </c>
      <c r="AJ141" s="113">
        <f t="shared" si="64"/>
        <v>0.97019999999999995</v>
      </c>
      <c r="AK141" s="113">
        <f t="shared" si="64"/>
        <v>0.97019999999999995</v>
      </c>
      <c r="AL141" s="113">
        <f t="shared" si="64"/>
        <v>0.97019999999999995</v>
      </c>
      <c r="AM141" s="113">
        <f t="shared" si="64"/>
        <v>0.97019999999999995</v>
      </c>
      <c r="AN141" s="113">
        <f t="shared" si="64"/>
        <v>0.97019999999999995</v>
      </c>
      <c r="AO141" s="113">
        <f t="shared" si="64"/>
        <v>0.97019999999999995</v>
      </c>
      <c r="AP141" s="113">
        <f t="shared" si="64"/>
        <v>0.97019999999999995</v>
      </c>
      <c r="AQ141" s="113">
        <f t="shared" si="64"/>
        <v>0.97019999999999995</v>
      </c>
      <c r="AR141" s="113">
        <f t="shared" si="64"/>
        <v>0.97019999999999995</v>
      </c>
      <c r="AS141" s="113">
        <f t="shared" si="64"/>
        <v>0.97019999999999995</v>
      </c>
      <c r="AT141" s="113">
        <f t="shared" si="64"/>
        <v>0.97019999999999995</v>
      </c>
      <c r="AU141" s="113">
        <f t="shared" si="64"/>
        <v>0.97019999999999995</v>
      </c>
      <c r="AV141" s="113">
        <f t="shared" si="64"/>
        <v>0.97019999999999995</v>
      </c>
    </row>
    <row r="142" spans="1:48">
      <c r="A142" s="199" t="s">
        <v>16</v>
      </c>
      <c r="B142" s="283" t="str">
        <f t="shared" si="62"/>
        <v>CNR</v>
      </c>
      <c r="C142" s="283" t="str">
        <f t="shared" si="62"/>
        <v>Commercial - Refrigeration</v>
      </c>
      <c r="E142" s="156">
        <f t="shared" si="63"/>
        <v>0.02</v>
      </c>
      <c r="I142" s="165"/>
      <c r="J142" s="168">
        <f t="shared" si="64"/>
        <v>0.97019999999999995</v>
      </c>
      <c r="K142" s="113">
        <f t="shared" si="64"/>
        <v>0.97019999999999995</v>
      </c>
      <c r="L142" s="113">
        <f t="shared" si="64"/>
        <v>0.97019999999999995</v>
      </c>
      <c r="M142" s="113">
        <f t="shared" si="64"/>
        <v>0.97019999999999995</v>
      </c>
      <c r="N142" s="113">
        <f t="shared" si="64"/>
        <v>0.97019999999999995</v>
      </c>
      <c r="O142" s="113">
        <f t="shared" si="64"/>
        <v>0.97019999999999995</v>
      </c>
      <c r="P142" s="113">
        <f t="shared" si="64"/>
        <v>0.97019999999999995</v>
      </c>
      <c r="Q142" s="113">
        <f t="shared" si="64"/>
        <v>0.97019999999999995</v>
      </c>
      <c r="R142" s="113">
        <f t="shared" si="64"/>
        <v>0.97019999999999995</v>
      </c>
      <c r="S142" s="113">
        <f t="shared" si="64"/>
        <v>0.97019999999999995</v>
      </c>
      <c r="T142" s="113">
        <f t="shared" si="64"/>
        <v>0.97019999999999995</v>
      </c>
      <c r="U142" s="113">
        <f t="shared" si="64"/>
        <v>0.97019999999999995</v>
      </c>
      <c r="V142" s="113">
        <f t="shared" si="64"/>
        <v>0.97019999999999995</v>
      </c>
      <c r="W142" s="113">
        <f t="shared" si="64"/>
        <v>0.97019999999999995</v>
      </c>
      <c r="X142" s="113">
        <f t="shared" si="64"/>
        <v>0.97019999999999995</v>
      </c>
      <c r="Y142" s="113">
        <f t="shared" si="64"/>
        <v>0.97019999999999995</v>
      </c>
      <c r="Z142" s="113">
        <f t="shared" si="64"/>
        <v>0.97019999999999995</v>
      </c>
      <c r="AA142" s="113">
        <f t="shared" si="64"/>
        <v>0.97019999999999995</v>
      </c>
      <c r="AB142" s="113">
        <f t="shared" si="64"/>
        <v>0.97019999999999995</v>
      </c>
      <c r="AC142" s="113">
        <f t="shared" si="64"/>
        <v>0.97019999999999995</v>
      </c>
      <c r="AD142" s="113">
        <f t="shared" si="64"/>
        <v>0.97019999999999995</v>
      </c>
      <c r="AE142" s="113">
        <f t="shared" si="64"/>
        <v>0.97019999999999995</v>
      </c>
      <c r="AF142" s="113">
        <f t="shared" si="64"/>
        <v>0.97019999999999995</v>
      </c>
      <c r="AG142" s="113">
        <f t="shared" si="64"/>
        <v>0.97019999999999995</v>
      </c>
      <c r="AH142" s="113">
        <f t="shared" si="64"/>
        <v>0.97019999999999995</v>
      </c>
      <c r="AI142" s="113">
        <f t="shared" si="64"/>
        <v>0.97019999999999995</v>
      </c>
      <c r="AJ142" s="113">
        <f t="shared" si="64"/>
        <v>0.97019999999999995</v>
      </c>
      <c r="AK142" s="113">
        <f t="shared" si="64"/>
        <v>0.97019999999999995</v>
      </c>
      <c r="AL142" s="113">
        <f t="shared" si="64"/>
        <v>0.97019999999999995</v>
      </c>
      <c r="AM142" s="113">
        <f t="shared" si="64"/>
        <v>0.97019999999999995</v>
      </c>
      <c r="AN142" s="113">
        <f t="shared" si="64"/>
        <v>0.97019999999999995</v>
      </c>
      <c r="AO142" s="113">
        <f t="shared" si="64"/>
        <v>0.97019999999999995</v>
      </c>
      <c r="AP142" s="113">
        <f t="shared" si="64"/>
        <v>0.97019999999999995</v>
      </c>
      <c r="AQ142" s="113">
        <f t="shared" si="64"/>
        <v>0.97019999999999995</v>
      </c>
      <c r="AR142" s="113">
        <f t="shared" si="64"/>
        <v>0.97019999999999995</v>
      </c>
      <c r="AS142" s="113">
        <f t="shared" si="64"/>
        <v>0.97019999999999995</v>
      </c>
      <c r="AT142" s="113">
        <f t="shared" si="64"/>
        <v>0.97019999999999995</v>
      </c>
      <c r="AU142" s="113">
        <f t="shared" si="64"/>
        <v>0.97019999999999995</v>
      </c>
      <c r="AV142" s="113">
        <f t="shared" si="64"/>
        <v>0.97019999999999995</v>
      </c>
    </row>
    <row r="143" spans="1:48">
      <c r="A143" s="199" t="s">
        <v>16</v>
      </c>
      <c r="B143" s="283" t="str">
        <f t="shared" si="62"/>
        <v>CNW</v>
      </c>
      <c r="C143" s="283" t="str">
        <f t="shared" si="62"/>
        <v>Commercial - Water Heating</v>
      </c>
      <c r="E143" s="156">
        <f t="shared" si="63"/>
        <v>0.02</v>
      </c>
      <c r="I143" s="165"/>
      <c r="J143" s="168">
        <f t="shared" si="64"/>
        <v>0.97019999999999995</v>
      </c>
      <c r="K143" s="113">
        <f t="shared" si="64"/>
        <v>0.97019999999999995</v>
      </c>
      <c r="L143" s="113">
        <f t="shared" si="64"/>
        <v>0.97019999999999995</v>
      </c>
      <c r="M143" s="113">
        <f t="shared" si="64"/>
        <v>0.97019999999999995</v>
      </c>
      <c r="N143" s="113">
        <f t="shared" si="64"/>
        <v>0.97019999999999995</v>
      </c>
      <c r="O143" s="113">
        <f t="shared" si="64"/>
        <v>0.97019999999999995</v>
      </c>
      <c r="P143" s="113">
        <f t="shared" si="64"/>
        <v>0.97019999999999995</v>
      </c>
      <c r="Q143" s="113">
        <f t="shared" si="64"/>
        <v>0.97019999999999995</v>
      </c>
      <c r="R143" s="113">
        <f t="shared" si="64"/>
        <v>0.97019999999999995</v>
      </c>
      <c r="S143" s="113">
        <f t="shared" si="64"/>
        <v>0.97019999999999995</v>
      </c>
      <c r="T143" s="113">
        <f t="shared" si="64"/>
        <v>0.97019999999999995</v>
      </c>
      <c r="U143" s="113">
        <f t="shared" si="64"/>
        <v>0.97019999999999995</v>
      </c>
      <c r="V143" s="113">
        <f t="shared" si="64"/>
        <v>0.97019999999999995</v>
      </c>
      <c r="W143" s="113">
        <f t="shared" si="64"/>
        <v>0.97019999999999995</v>
      </c>
      <c r="X143" s="113">
        <f t="shared" si="64"/>
        <v>0.97019999999999995</v>
      </c>
      <c r="Y143" s="113">
        <f t="shared" si="64"/>
        <v>0.97019999999999995</v>
      </c>
      <c r="Z143" s="113">
        <f t="shared" si="64"/>
        <v>0.97019999999999995</v>
      </c>
      <c r="AA143" s="113">
        <f t="shared" si="64"/>
        <v>0.97019999999999995</v>
      </c>
      <c r="AB143" s="113">
        <f t="shared" si="64"/>
        <v>0.97019999999999995</v>
      </c>
      <c r="AC143" s="113">
        <f t="shared" si="64"/>
        <v>0.97019999999999995</v>
      </c>
      <c r="AD143" s="113">
        <f t="shared" si="64"/>
        <v>0.97019999999999995</v>
      </c>
      <c r="AE143" s="113">
        <f t="shared" si="64"/>
        <v>0.97019999999999995</v>
      </c>
      <c r="AF143" s="113">
        <f t="shared" si="64"/>
        <v>0.97019999999999995</v>
      </c>
      <c r="AG143" s="113">
        <f t="shared" si="64"/>
        <v>0.97019999999999995</v>
      </c>
      <c r="AH143" s="113">
        <f t="shared" si="64"/>
        <v>0.97019999999999995</v>
      </c>
      <c r="AI143" s="113">
        <f t="shared" si="64"/>
        <v>0.97019999999999995</v>
      </c>
      <c r="AJ143" s="113">
        <f t="shared" si="64"/>
        <v>0.97019999999999995</v>
      </c>
      <c r="AK143" s="113">
        <f t="shared" si="64"/>
        <v>0.97019999999999995</v>
      </c>
      <c r="AL143" s="113">
        <f t="shared" si="64"/>
        <v>0.97019999999999995</v>
      </c>
      <c r="AM143" s="113">
        <f t="shared" si="64"/>
        <v>0.97019999999999995</v>
      </c>
      <c r="AN143" s="113">
        <f t="shared" si="64"/>
        <v>0.97019999999999995</v>
      </c>
      <c r="AO143" s="113">
        <f t="shared" si="64"/>
        <v>0.97019999999999995</v>
      </c>
      <c r="AP143" s="113">
        <f t="shared" si="64"/>
        <v>0.97019999999999995</v>
      </c>
      <c r="AQ143" s="113">
        <f t="shared" si="64"/>
        <v>0.97019999999999995</v>
      </c>
      <c r="AR143" s="113">
        <f t="shared" si="64"/>
        <v>0.97019999999999995</v>
      </c>
      <c r="AS143" s="113">
        <f t="shared" si="64"/>
        <v>0.97019999999999995</v>
      </c>
      <c r="AT143" s="113">
        <f t="shared" si="64"/>
        <v>0.97019999999999995</v>
      </c>
      <c r="AU143" s="113">
        <f t="shared" si="64"/>
        <v>0.97019999999999995</v>
      </c>
      <c r="AV143" s="113">
        <f t="shared" si="64"/>
        <v>0.97019999999999995</v>
      </c>
    </row>
    <row r="144" spans="1:48">
      <c r="A144" s="199" t="s">
        <v>16</v>
      </c>
      <c r="B144" s="283" t="str">
        <f t="shared" si="62"/>
        <v>CNG</v>
      </c>
      <c r="C144" s="283" t="str">
        <f t="shared" si="62"/>
        <v>Commercial - Public lights</v>
      </c>
      <c r="E144" s="156">
        <f t="shared" si="63"/>
        <v>0.02</v>
      </c>
      <c r="I144" s="165"/>
      <c r="J144" s="168">
        <f t="shared" si="64"/>
        <v>0.97019999999999995</v>
      </c>
      <c r="K144" s="113">
        <f t="shared" si="64"/>
        <v>0.97019999999999995</v>
      </c>
      <c r="L144" s="113">
        <f t="shared" si="64"/>
        <v>0.97019999999999995</v>
      </c>
      <c r="M144" s="113">
        <f t="shared" si="64"/>
        <v>0.97019999999999995</v>
      </c>
      <c r="N144" s="113">
        <f t="shared" si="64"/>
        <v>0.97019999999999995</v>
      </c>
      <c r="O144" s="113">
        <f t="shared" si="64"/>
        <v>0.97019999999999995</v>
      </c>
      <c r="P144" s="113">
        <f t="shared" si="64"/>
        <v>0.97019999999999995</v>
      </c>
      <c r="Q144" s="113">
        <f t="shared" si="64"/>
        <v>0.97019999999999995</v>
      </c>
      <c r="R144" s="113">
        <f t="shared" si="64"/>
        <v>0.97019999999999995</v>
      </c>
      <c r="S144" s="113">
        <f t="shared" si="64"/>
        <v>0.97019999999999995</v>
      </c>
      <c r="T144" s="113">
        <f t="shared" si="64"/>
        <v>0.97019999999999995</v>
      </c>
      <c r="U144" s="113">
        <f t="shared" si="64"/>
        <v>0.97019999999999995</v>
      </c>
      <c r="V144" s="113">
        <f t="shared" si="64"/>
        <v>0.97019999999999995</v>
      </c>
      <c r="W144" s="113">
        <f t="shared" si="64"/>
        <v>0.97019999999999995</v>
      </c>
      <c r="X144" s="113">
        <f t="shared" si="64"/>
        <v>0.97019999999999995</v>
      </c>
      <c r="Y144" s="113">
        <f t="shared" si="64"/>
        <v>0.97019999999999995</v>
      </c>
      <c r="Z144" s="113">
        <f t="shared" si="64"/>
        <v>0.97019999999999995</v>
      </c>
      <c r="AA144" s="113">
        <f t="shared" si="64"/>
        <v>0.97019999999999995</v>
      </c>
      <c r="AB144" s="113">
        <f t="shared" si="64"/>
        <v>0.97019999999999995</v>
      </c>
      <c r="AC144" s="113">
        <f t="shared" si="64"/>
        <v>0.97019999999999995</v>
      </c>
      <c r="AD144" s="113">
        <f t="shared" si="64"/>
        <v>0.97019999999999995</v>
      </c>
      <c r="AE144" s="113">
        <f t="shared" ref="AE144:AV146" si="65">AE133*(1-$E144)</f>
        <v>0.97019999999999995</v>
      </c>
      <c r="AF144" s="113">
        <f t="shared" si="65"/>
        <v>0.97019999999999995</v>
      </c>
      <c r="AG144" s="113">
        <f t="shared" si="65"/>
        <v>0.97019999999999995</v>
      </c>
      <c r="AH144" s="113">
        <f t="shared" si="65"/>
        <v>0.97019999999999995</v>
      </c>
      <c r="AI144" s="113">
        <f t="shared" si="65"/>
        <v>0.97019999999999995</v>
      </c>
      <c r="AJ144" s="113">
        <f t="shared" si="65"/>
        <v>0.97019999999999995</v>
      </c>
      <c r="AK144" s="113">
        <f t="shared" si="65"/>
        <v>0.97019999999999995</v>
      </c>
      <c r="AL144" s="113">
        <f t="shared" si="65"/>
        <v>0.97019999999999995</v>
      </c>
      <c r="AM144" s="113">
        <f t="shared" si="65"/>
        <v>0.97019999999999995</v>
      </c>
      <c r="AN144" s="113">
        <f t="shared" si="65"/>
        <v>0.97019999999999995</v>
      </c>
      <c r="AO144" s="113">
        <f t="shared" si="65"/>
        <v>0.97019999999999995</v>
      </c>
      <c r="AP144" s="113">
        <f t="shared" si="65"/>
        <v>0.97019999999999995</v>
      </c>
      <c r="AQ144" s="113">
        <f t="shared" si="65"/>
        <v>0.97019999999999995</v>
      </c>
      <c r="AR144" s="113">
        <f t="shared" si="65"/>
        <v>0.97019999999999995</v>
      </c>
      <c r="AS144" s="113">
        <f t="shared" si="65"/>
        <v>0.97019999999999995</v>
      </c>
      <c r="AT144" s="113">
        <f t="shared" si="65"/>
        <v>0.97019999999999995</v>
      </c>
      <c r="AU144" s="113">
        <f t="shared" si="65"/>
        <v>0.97019999999999995</v>
      </c>
      <c r="AV144" s="113">
        <f t="shared" si="65"/>
        <v>0.97019999999999995</v>
      </c>
    </row>
    <row r="145" spans="1:48">
      <c r="A145" s="199" t="s">
        <v>16</v>
      </c>
      <c r="B145" s="283" t="str">
        <f t="shared" si="62"/>
        <v>CNT</v>
      </c>
      <c r="C145" s="283" t="str">
        <f t="shared" si="62"/>
        <v>Commercial - Public Water</v>
      </c>
      <c r="E145" s="156">
        <f t="shared" si="63"/>
        <v>0.02</v>
      </c>
      <c r="I145" s="165"/>
      <c r="J145" s="168">
        <f t="shared" ref="J145:AV146" si="66">J134*(1-$E145)</f>
        <v>0.97019999999999995</v>
      </c>
      <c r="K145" s="113">
        <f t="shared" si="66"/>
        <v>0.97019999999999995</v>
      </c>
      <c r="L145" s="113">
        <f t="shared" si="66"/>
        <v>0.97019999999999995</v>
      </c>
      <c r="M145" s="113">
        <f t="shared" si="66"/>
        <v>0.97019999999999995</v>
      </c>
      <c r="N145" s="113">
        <f t="shared" si="66"/>
        <v>0.97019999999999995</v>
      </c>
      <c r="O145" s="113">
        <f t="shared" si="66"/>
        <v>0.97019999999999995</v>
      </c>
      <c r="P145" s="113">
        <f t="shared" si="66"/>
        <v>0.97019999999999995</v>
      </c>
      <c r="Q145" s="113">
        <f t="shared" si="66"/>
        <v>0.97019999999999995</v>
      </c>
      <c r="R145" s="113">
        <f t="shared" si="66"/>
        <v>0.97019999999999995</v>
      </c>
      <c r="S145" s="113">
        <f t="shared" si="66"/>
        <v>0.97019999999999995</v>
      </c>
      <c r="T145" s="113">
        <f t="shared" si="66"/>
        <v>0.97019999999999995</v>
      </c>
      <c r="U145" s="113">
        <f t="shared" si="66"/>
        <v>0.97019999999999995</v>
      </c>
      <c r="V145" s="113">
        <f t="shared" si="66"/>
        <v>0.97019999999999995</v>
      </c>
      <c r="W145" s="113">
        <f t="shared" si="66"/>
        <v>0.97019999999999995</v>
      </c>
      <c r="X145" s="113">
        <f t="shared" si="66"/>
        <v>0.97019999999999995</v>
      </c>
      <c r="Y145" s="113">
        <f t="shared" si="66"/>
        <v>0.97019999999999995</v>
      </c>
      <c r="Z145" s="113">
        <f t="shared" si="66"/>
        <v>0.97019999999999995</v>
      </c>
      <c r="AA145" s="113">
        <f t="shared" si="66"/>
        <v>0.97019999999999995</v>
      </c>
      <c r="AB145" s="113">
        <f t="shared" si="66"/>
        <v>0.97019999999999995</v>
      </c>
      <c r="AC145" s="113">
        <f t="shared" si="66"/>
        <v>0.97019999999999995</v>
      </c>
      <c r="AD145" s="113">
        <f t="shared" si="66"/>
        <v>0.97019999999999995</v>
      </c>
      <c r="AE145" s="113">
        <f t="shared" si="66"/>
        <v>0.97019999999999995</v>
      </c>
      <c r="AF145" s="113">
        <f t="shared" si="66"/>
        <v>0.97019999999999995</v>
      </c>
      <c r="AG145" s="113">
        <f t="shared" si="66"/>
        <v>0.97019999999999995</v>
      </c>
      <c r="AH145" s="113">
        <f t="shared" si="66"/>
        <v>0.97019999999999995</v>
      </c>
      <c r="AI145" s="113">
        <f t="shared" si="65"/>
        <v>0.97019999999999995</v>
      </c>
      <c r="AJ145" s="113">
        <f t="shared" si="65"/>
        <v>0.97019999999999995</v>
      </c>
      <c r="AK145" s="113">
        <f t="shared" si="65"/>
        <v>0.97019999999999995</v>
      </c>
      <c r="AL145" s="113">
        <f t="shared" si="65"/>
        <v>0.97019999999999995</v>
      </c>
      <c r="AM145" s="113">
        <f t="shared" si="65"/>
        <v>0.97019999999999995</v>
      </c>
      <c r="AN145" s="113">
        <f t="shared" si="65"/>
        <v>0.97019999999999995</v>
      </c>
      <c r="AO145" s="113">
        <f t="shared" si="65"/>
        <v>0.97019999999999995</v>
      </c>
      <c r="AP145" s="113">
        <f t="shared" si="65"/>
        <v>0.97019999999999995</v>
      </c>
      <c r="AQ145" s="113">
        <f t="shared" si="65"/>
        <v>0.97019999999999995</v>
      </c>
      <c r="AR145" s="113">
        <f t="shared" si="65"/>
        <v>0.97019999999999995</v>
      </c>
      <c r="AS145" s="113">
        <f t="shared" si="66"/>
        <v>0.97019999999999995</v>
      </c>
      <c r="AT145" s="113">
        <f t="shared" si="66"/>
        <v>0.97019999999999995</v>
      </c>
      <c r="AU145" s="113">
        <f t="shared" si="66"/>
        <v>0.97019999999999995</v>
      </c>
      <c r="AV145" s="113">
        <f t="shared" si="66"/>
        <v>0.97019999999999995</v>
      </c>
    </row>
    <row r="146" spans="1:48">
      <c r="A146" s="199" t="s">
        <v>16</v>
      </c>
      <c r="B146" s="283" t="str">
        <f t="shared" si="62"/>
        <v>CNO</v>
      </c>
      <c r="C146" s="283" t="str">
        <f t="shared" si="62"/>
        <v>Commercial - Other</v>
      </c>
      <c r="E146" s="156">
        <f t="shared" si="63"/>
        <v>0.02</v>
      </c>
      <c r="I146" s="165"/>
      <c r="J146" s="168">
        <f t="shared" si="66"/>
        <v>0.97019999999999995</v>
      </c>
      <c r="K146" s="113">
        <f t="shared" si="66"/>
        <v>0.97019999999999995</v>
      </c>
      <c r="L146" s="113">
        <f t="shared" si="66"/>
        <v>0.97019999999999995</v>
      </c>
      <c r="M146" s="113">
        <f t="shared" si="66"/>
        <v>0.97019999999999995</v>
      </c>
      <c r="N146" s="113">
        <f t="shared" si="66"/>
        <v>0.97019999999999995</v>
      </c>
      <c r="O146" s="113">
        <f t="shared" si="66"/>
        <v>0.97019999999999995</v>
      </c>
      <c r="P146" s="113">
        <f t="shared" si="66"/>
        <v>0.97019999999999995</v>
      </c>
      <c r="Q146" s="113">
        <f t="shared" si="66"/>
        <v>0.97019999999999995</v>
      </c>
      <c r="R146" s="113">
        <f t="shared" si="66"/>
        <v>0.97019999999999995</v>
      </c>
      <c r="S146" s="113">
        <f t="shared" si="66"/>
        <v>0.97019999999999995</v>
      </c>
      <c r="T146" s="113">
        <f t="shared" si="66"/>
        <v>0.97019999999999995</v>
      </c>
      <c r="U146" s="113">
        <f t="shared" si="66"/>
        <v>0.97019999999999995</v>
      </c>
      <c r="V146" s="113">
        <f t="shared" si="66"/>
        <v>0.97019999999999995</v>
      </c>
      <c r="W146" s="113">
        <f t="shared" si="66"/>
        <v>0.97019999999999995</v>
      </c>
      <c r="X146" s="113">
        <f t="shared" si="66"/>
        <v>0.97019999999999995</v>
      </c>
      <c r="Y146" s="113">
        <f t="shared" si="66"/>
        <v>0.97019999999999995</v>
      </c>
      <c r="Z146" s="113">
        <f t="shared" si="66"/>
        <v>0.97019999999999995</v>
      </c>
      <c r="AA146" s="113">
        <f t="shared" si="66"/>
        <v>0.97019999999999995</v>
      </c>
      <c r="AB146" s="113">
        <f t="shared" si="66"/>
        <v>0.97019999999999995</v>
      </c>
      <c r="AC146" s="113">
        <f t="shared" si="66"/>
        <v>0.97019999999999995</v>
      </c>
      <c r="AD146" s="113">
        <f t="shared" si="66"/>
        <v>0.97019999999999995</v>
      </c>
      <c r="AE146" s="113">
        <f t="shared" si="66"/>
        <v>0.97019999999999995</v>
      </c>
      <c r="AF146" s="113">
        <f t="shared" si="66"/>
        <v>0.97019999999999995</v>
      </c>
      <c r="AG146" s="113">
        <f t="shared" si="66"/>
        <v>0.97019999999999995</v>
      </c>
      <c r="AH146" s="113">
        <f t="shared" si="66"/>
        <v>0.97019999999999995</v>
      </c>
      <c r="AI146" s="113">
        <f t="shared" si="65"/>
        <v>0.97019999999999995</v>
      </c>
      <c r="AJ146" s="113">
        <f t="shared" si="65"/>
        <v>0.97019999999999995</v>
      </c>
      <c r="AK146" s="113">
        <f t="shared" si="65"/>
        <v>0.97019999999999995</v>
      </c>
      <c r="AL146" s="113">
        <f t="shared" si="65"/>
        <v>0.97019999999999995</v>
      </c>
      <c r="AM146" s="113">
        <f t="shared" si="65"/>
        <v>0.97019999999999995</v>
      </c>
      <c r="AN146" s="113">
        <f t="shared" si="65"/>
        <v>0.97019999999999995</v>
      </c>
      <c r="AO146" s="113">
        <f t="shared" si="65"/>
        <v>0.97019999999999995</v>
      </c>
      <c r="AP146" s="113">
        <f t="shared" si="65"/>
        <v>0.97019999999999995</v>
      </c>
      <c r="AQ146" s="113">
        <f t="shared" si="65"/>
        <v>0.97019999999999995</v>
      </c>
      <c r="AR146" s="113">
        <f t="shared" si="65"/>
        <v>0.97019999999999995</v>
      </c>
      <c r="AS146" s="113">
        <f t="shared" si="66"/>
        <v>0.97019999999999995</v>
      </c>
      <c r="AT146" s="113">
        <f t="shared" si="66"/>
        <v>0.97019999999999995</v>
      </c>
      <c r="AU146" s="113">
        <f t="shared" si="66"/>
        <v>0.97019999999999995</v>
      </c>
      <c r="AV146" s="113">
        <f t="shared" si="66"/>
        <v>0.97019999999999995</v>
      </c>
    </row>
    <row r="147" spans="1:48">
      <c r="A147" s="199" t="s">
        <v>16</v>
      </c>
      <c r="I147" s="165"/>
      <c r="K147" s="95"/>
    </row>
    <row r="148" spans="1:48" ht="19.5" thickBot="1">
      <c r="A148" s="199" t="s">
        <v>16</v>
      </c>
      <c r="B148" s="174" t="s">
        <v>480</v>
      </c>
      <c r="C148" s="93"/>
      <c r="D148" s="93"/>
      <c r="E148" s="93"/>
      <c r="F148" s="93"/>
      <c r="G148" s="93"/>
      <c r="H148" s="93"/>
      <c r="I148" s="166"/>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199" t="s">
        <v>16</v>
      </c>
      <c r="B149" s="173"/>
      <c r="C149" s="173"/>
      <c r="D149" s="173"/>
      <c r="E149" s="173"/>
      <c r="F149" s="173"/>
      <c r="G149" s="173"/>
      <c r="H149" s="173"/>
      <c r="I149" s="172"/>
      <c r="K149" s="95"/>
    </row>
    <row r="150" spans="1:48" ht="15.75" thickBot="1">
      <c r="A150" s="199" t="s">
        <v>16</v>
      </c>
      <c r="B150" s="93" t="s">
        <v>494</v>
      </c>
      <c r="C150" s="173"/>
      <c r="D150" s="173"/>
      <c r="E150" s="173"/>
      <c r="F150" s="173"/>
      <c r="G150" s="173"/>
      <c r="H150" s="173"/>
      <c r="I150" s="172"/>
      <c r="K150" s="95"/>
    </row>
    <row r="151" spans="1:48">
      <c r="A151" s="199" t="s">
        <v>16</v>
      </c>
      <c r="B151" s="95" t="str">
        <f>B92</f>
        <v>CEC</v>
      </c>
      <c r="C151" s="95" t="str">
        <f>C92</f>
        <v>Commercial - Cooling</v>
      </c>
      <c r="D151" s="173"/>
      <c r="E151" s="173"/>
      <c r="F151" s="173"/>
      <c r="G151" s="173"/>
      <c r="H151" s="173"/>
      <c r="I151" s="172"/>
      <c r="J151" s="171">
        <f t="shared" ref="J151:AV157" si="67">J92*J$34/1000</f>
        <v>27.932878870776872</v>
      </c>
      <c r="K151" s="171">
        <f t="shared" si="67"/>
        <v>27.182413750658707</v>
      </c>
      <c r="L151" s="171">
        <f t="shared" si="67"/>
        <v>26.492003713185113</v>
      </c>
      <c r="M151" s="171">
        <f t="shared" si="67"/>
        <v>25.741064630366179</v>
      </c>
      <c r="N151" s="171">
        <f t="shared" si="67"/>
        <v>24.958206291803975</v>
      </c>
      <c r="O151" s="171">
        <f t="shared" si="67"/>
        <v>24.056668064799556</v>
      </c>
      <c r="P151" s="171">
        <f>P92*P$34/1000</f>
        <v>24.211751661334905</v>
      </c>
      <c r="Q151" s="171">
        <f>Q92*Q$34/1000</f>
        <v>24.393731912972637</v>
      </c>
      <c r="R151" s="171">
        <f t="shared" si="67"/>
        <v>24.393731912972637</v>
      </c>
      <c r="S151" s="171">
        <f t="shared" si="67"/>
        <v>24.220018069004688</v>
      </c>
      <c r="T151" s="171">
        <f t="shared" si="67"/>
        <v>23.976470081623745</v>
      </c>
      <c r="U151" s="171">
        <f t="shared" si="67"/>
        <v>23.735786785776906</v>
      </c>
      <c r="V151" s="171">
        <f t="shared" si="67"/>
        <v>23.523484372742637</v>
      </c>
      <c r="W151" s="171">
        <f t="shared" si="67"/>
        <v>23.315959305903963</v>
      </c>
      <c r="X151" s="171">
        <f t="shared" si="67"/>
        <v>23.124495194708601</v>
      </c>
      <c r="Y151" s="171">
        <f t="shared" si="67"/>
        <v>22.930637562091761</v>
      </c>
      <c r="Z151" s="171">
        <f t="shared" si="67"/>
        <v>22.734291153430711</v>
      </c>
      <c r="AA151" s="171">
        <f t="shared" si="67"/>
        <v>22.555663133457532</v>
      </c>
      <c r="AB151" s="171">
        <f t="shared" si="67"/>
        <v>22.360891156823811</v>
      </c>
      <c r="AC151" s="171">
        <f t="shared" si="67"/>
        <v>22.892017832116874</v>
      </c>
      <c r="AD151" s="171">
        <f t="shared" si="67"/>
        <v>23.4440888458081</v>
      </c>
      <c r="AE151" s="171">
        <f t="shared" si="67"/>
        <v>24.011929264219329</v>
      </c>
      <c r="AF151" s="171">
        <f t="shared" si="67"/>
        <v>24.597389123849581</v>
      </c>
      <c r="AG151" s="171">
        <f t="shared" si="67"/>
        <v>25.164739261689927</v>
      </c>
      <c r="AH151" s="171">
        <f t="shared" si="67"/>
        <v>25.74195330743294</v>
      </c>
      <c r="AI151" s="171">
        <f t="shared" si="67"/>
        <v>26.368417885136079</v>
      </c>
      <c r="AJ151" s="171">
        <f t="shared" si="67"/>
        <v>27.021868470013111</v>
      </c>
      <c r="AK151" s="171">
        <f t="shared" si="67"/>
        <v>27.696108893705446</v>
      </c>
      <c r="AL151" s="171">
        <f t="shared" si="67"/>
        <v>28.383398596845392</v>
      </c>
      <c r="AM151" s="171">
        <f t="shared" si="67"/>
        <v>29.170302604828375</v>
      </c>
      <c r="AN151" s="171">
        <f t="shared" si="67"/>
        <v>29.931410206184854</v>
      </c>
      <c r="AO151" s="171">
        <f t="shared" si="67"/>
        <v>30.668954338695553</v>
      </c>
      <c r="AP151" s="171">
        <f t="shared" si="67"/>
        <v>31.384867224301459</v>
      </c>
      <c r="AQ151" s="171">
        <f t="shared" si="67"/>
        <v>32.080833887700273</v>
      </c>
      <c r="AR151" s="171">
        <f t="shared" si="67"/>
        <v>32.937162241619156</v>
      </c>
      <c r="AS151" s="171">
        <f t="shared" si="67"/>
        <v>33.766403201671345</v>
      </c>
      <c r="AT151" s="171">
        <f t="shared" si="67"/>
        <v>34.570823614172966</v>
      </c>
      <c r="AU151" s="171">
        <f t="shared" si="67"/>
        <v>35.352394660869713</v>
      </c>
      <c r="AV151" s="171">
        <f t="shared" si="67"/>
        <v>36.194598307084824</v>
      </c>
    </row>
    <row r="152" spans="1:48">
      <c r="A152" s="199" t="s">
        <v>16</v>
      </c>
      <c r="B152" s="95" t="str">
        <f t="shared" ref="B152:C159" si="68">B93</f>
        <v>CEH</v>
      </c>
      <c r="C152" s="95" t="str">
        <f t="shared" si="68"/>
        <v>Commercial - Space Heating</v>
      </c>
      <c r="D152" s="173"/>
      <c r="E152" s="173"/>
      <c r="F152" s="173"/>
      <c r="G152" s="173"/>
      <c r="H152" s="173"/>
      <c r="I152" s="172"/>
      <c r="J152" s="171">
        <f t="shared" si="67"/>
        <v>1.5703509815003798</v>
      </c>
      <c r="K152" s="171">
        <f t="shared" si="67"/>
        <v>1.7096291700728525</v>
      </c>
      <c r="L152" s="171">
        <f t="shared" si="67"/>
        <v>1.8565924579200153</v>
      </c>
      <c r="M152" s="171">
        <f t="shared" si="67"/>
        <v>2.0036670914771593</v>
      </c>
      <c r="N152" s="171">
        <f t="shared" si="67"/>
        <v>2.1523940814942852</v>
      </c>
      <c r="O152" s="171">
        <f t="shared" si="67"/>
        <v>2.2941963422736769</v>
      </c>
      <c r="P152" s="171">
        <f t="shared" si="67"/>
        <v>2.3089860969878235</v>
      </c>
      <c r="Q152" s="171">
        <f t="shared" si="67"/>
        <v>2.3263408872085125</v>
      </c>
      <c r="R152" s="171">
        <f t="shared" si="67"/>
        <v>2.3263408872085125</v>
      </c>
      <c r="S152" s="171">
        <f t="shared" si="67"/>
        <v>2.3097744340172359</v>
      </c>
      <c r="T152" s="171">
        <f t="shared" si="67"/>
        <v>2.2865481542883717</v>
      </c>
      <c r="U152" s="171">
        <f t="shared" si="67"/>
        <v>2.2635950697011444</v>
      </c>
      <c r="V152" s="171">
        <f t="shared" si="67"/>
        <v>2.2433485659822123</v>
      </c>
      <c r="W152" s="171">
        <f t="shared" si="67"/>
        <v>2.2235576602761959</v>
      </c>
      <c r="X152" s="171">
        <f t="shared" si="67"/>
        <v>2.2052984290976347</v>
      </c>
      <c r="Y152" s="171">
        <f t="shared" si="67"/>
        <v>2.18681093654574</v>
      </c>
      <c r="Z152" s="171">
        <f t="shared" si="67"/>
        <v>2.1680860985359462</v>
      </c>
      <c r="AA152" s="171">
        <f t="shared" si="67"/>
        <v>2.1510509983738544</v>
      </c>
      <c r="AB152" s="171">
        <f t="shared" si="67"/>
        <v>2.1324763081812272</v>
      </c>
      <c r="AC152" s="171">
        <f t="shared" si="67"/>
        <v>2.183127914316338</v>
      </c>
      <c r="AD152" s="171">
        <f t="shared" si="67"/>
        <v>2.2357769053101904</v>
      </c>
      <c r="AE152" s="171">
        <f t="shared" si="67"/>
        <v>2.289929766687548</v>
      </c>
      <c r="AF152" s="171">
        <f t="shared" si="67"/>
        <v>2.345762929654831</v>
      </c>
      <c r="AG152" s="171">
        <f t="shared" si="67"/>
        <v>2.39986903476946</v>
      </c>
      <c r="AH152" s="171">
        <f t="shared" si="67"/>
        <v>2.4549158246609619</v>
      </c>
      <c r="AI152" s="171">
        <f t="shared" si="67"/>
        <v>2.5146594574391665</v>
      </c>
      <c r="AJ152" s="171">
        <f t="shared" si="67"/>
        <v>2.5769766469037823</v>
      </c>
      <c r="AK152" s="171">
        <f t="shared" si="67"/>
        <v>2.641276487167671</v>
      </c>
      <c r="AL152" s="171">
        <f t="shared" si="67"/>
        <v>2.7068207894284324</v>
      </c>
      <c r="AM152" s="171">
        <f t="shared" si="67"/>
        <v>2.7818649431729261</v>
      </c>
      <c r="AN152" s="171">
        <f t="shared" si="67"/>
        <v>2.854448988079116</v>
      </c>
      <c r="AO152" s="171">
        <f t="shared" si="67"/>
        <v>2.9247858712465464</v>
      </c>
      <c r="AP152" s="171">
        <f t="shared" si="67"/>
        <v>2.9930598616062896</v>
      </c>
      <c r="AQ152" s="171">
        <f t="shared" si="67"/>
        <v>3.0594316537935162</v>
      </c>
      <c r="AR152" s="171">
        <f t="shared" si="67"/>
        <v>3.1410965531908093</v>
      </c>
      <c r="AS152" s="171">
        <f t="shared" si="67"/>
        <v>3.2201782270240602</v>
      </c>
      <c r="AT152" s="171">
        <f t="shared" si="67"/>
        <v>3.2968928561256634</v>
      </c>
      <c r="AU152" s="171">
        <f t="shared" si="67"/>
        <v>3.3714284248806061</v>
      </c>
      <c r="AV152" s="171">
        <f t="shared" si="67"/>
        <v>3.4517463026262556</v>
      </c>
    </row>
    <row r="153" spans="1:48">
      <c r="A153" s="199" t="s">
        <v>16</v>
      </c>
      <c r="B153" s="95" t="str">
        <f t="shared" si="68"/>
        <v>CEK</v>
      </c>
      <c r="C153" s="95" t="str">
        <f t="shared" si="68"/>
        <v>Commercial - Cooking</v>
      </c>
      <c r="D153" s="173"/>
      <c r="E153" s="173"/>
      <c r="F153" s="173"/>
      <c r="G153" s="173"/>
      <c r="H153" s="173"/>
      <c r="I153" s="172"/>
      <c r="J153" s="171">
        <f t="shared" si="67"/>
        <v>1.9788999513059524</v>
      </c>
      <c r="K153" s="171">
        <f t="shared" si="67"/>
        <v>1.9279783946854825</v>
      </c>
      <c r="L153" s="171">
        <f t="shared" si="67"/>
        <v>1.8813647367419324</v>
      </c>
      <c r="M153" s="171">
        <f t="shared" si="67"/>
        <v>1.8305063847469043</v>
      </c>
      <c r="N153" s="171">
        <f t="shared" si="67"/>
        <v>1.7774293605020526</v>
      </c>
      <c r="O153" s="171">
        <f t="shared" si="67"/>
        <v>1.7159413539708159</v>
      </c>
      <c r="P153" s="171">
        <f t="shared" si="67"/>
        <v>1.7270033329572956</v>
      </c>
      <c r="Q153" s="171">
        <f t="shared" si="67"/>
        <v>1.7399838271200814</v>
      </c>
      <c r="R153" s="171">
        <f t="shared" si="67"/>
        <v>1.7399838271200814</v>
      </c>
      <c r="S153" s="171">
        <f t="shared" si="67"/>
        <v>1.7275929686762221</v>
      </c>
      <c r="T153" s="171">
        <f t="shared" si="67"/>
        <v>1.7102209011023748</v>
      </c>
      <c r="U153" s="171">
        <f t="shared" si="67"/>
        <v>1.6930531695012601</v>
      </c>
      <c r="V153" s="171">
        <f t="shared" si="67"/>
        <v>1.6779098217570085</v>
      </c>
      <c r="W153" s="171">
        <f t="shared" si="67"/>
        <v>1.6631072379904273</v>
      </c>
      <c r="X153" s="171">
        <f t="shared" si="67"/>
        <v>1.6494502683171366</v>
      </c>
      <c r="Y153" s="171">
        <f t="shared" si="67"/>
        <v>1.6356225708282706</v>
      </c>
      <c r="Z153" s="171">
        <f t="shared" si="67"/>
        <v>1.6216173510938658</v>
      </c>
      <c r="AA153" s="171">
        <f t="shared" si="67"/>
        <v>1.608875968720203</v>
      </c>
      <c r="AB153" s="171">
        <f t="shared" si="67"/>
        <v>1.594983051862382</v>
      </c>
      <c r="AC153" s="171">
        <f t="shared" si="67"/>
        <v>1.6328678588471846</v>
      </c>
      <c r="AD153" s="171">
        <f t="shared" si="67"/>
        <v>1.67224660739913</v>
      </c>
      <c r="AE153" s="171">
        <f t="shared" si="67"/>
        <v>1.7127501739688358</v>
      </c>
      <c r="AF153" s="171">
        <f t="shared" si="67"/>
        <v>1.7545105200617963</v>
      </c>
      <c r="AG153" s="171">
        <f t="shared" si="67"/>
        <v>1.7949791153418635</v>
      </c>
      <c r="AH153" s="171">
        <f t="shared" si="67"/>
        <v>1.8361512946526186</v>
      </c>
      <c r="AI153" s="171">
        <f t="shared" si="67"/>
        <v>1.8808364718676465</v>
      </c>
      <c r="AJ153" s="171">
        <f t="shared" si="67"/>
        <v>1.9274465376650631</v>
      </c>
      <c r="AK153" s="171">
        <f t="shared" si="67"/>
        <v>1.9755395247078271</v>
      </c>
      <c r="AL153" s="171">
        <f t="shared" si="67"/>
        <v>2.0245633055821961</v>
      </c>
      <c r="AM153" s="171">
        <f t="shared" si="67"/>
        <v>2.0806924887785652</v>
      </c>
      <c r="AN153" s="171">
        <f t="shared" si="67"/>
        <v>2.1349816365720673</v>
      </c>
      <c r="AO153" s="171">
        <f t="shared" si="67"/>
        <v>2.1875900224858871</v>
      </c>
      <c r="AP153" s="171">
        <f t="shared" si="67"/>
        <v>2.2386554702421071</v>
      </c>
      <c r="AQ153" s="171">
        <f t="shared" si="67"/>
        <v>2.2882981711969643</v>
      </c>
      <c r="AR153" s="171">
        <f t="shared" si="67"/>
        <v>2.3493793330232462</v>
      </c>
      <c r="AS153" s="171">
        <f t="shared" si="67"/>
        <v>2.4085283744419157</v>
      </c>
      <c r="AT153" s="171">
        <f t="shared" si="67"/>
        <v>2.4659069876426996</v>
      </c>
      <c r="AU153" s="171">
        <f t="shared" si="67"/>
        <v>2.5216557753169</v>
      </c>
      <c r="AV153" s="171">
        <f t="shared" si="67"/>
        <v>2.5817294339429724</v>
      </c>
    </row>
    <row r="154" spans="1:48">
      <c r="A154" s="199" t="s">
        <v>16</v>
      </c>
      <c r="B154" s="95" t="str">
        <f t="shared" si="68"/>
        <v>CEL</v>
      </c>
      <c r="C154" s="95" t="str">
        <f t="shared" si="68"/>
        <v>Commercial - Lighting</v>
      </c>
      <c r="D154" s="173"/>
      <c r="E154" s="173"/>
      <c r="F154" s="173"/>
      <c r="G154" s="173"/>
      <c r="H154" s="173"/>
      <c r="I154" s="172"/>
      <c r="J154" s="171">
        <f t="shared" si="67"/>
        <v>24.308054381137783</v>
      </c>
      <c r="K154" s="171">
        <f t="shared" si="67"/>
        <v>23.654976442577553</v>
      </c>
      <c r="L154" s="171">
        <f t="shared" si="67"/>
        <v>23.054160292769623</v>
      </c>
      <c r="M154" s="171">
        <f t="shared" si="67"/>
        <v>22.400669897220691</v>
      </c>
      <c r="N154" s="171">
        <f t="shared" si="67"/>
        <v>21.71940237894831</v>
      </c>
      <c r="O154" s="171">
        <f t="shared" si="67"/>
        <v>20.934855954282256</v>
      </c>
      <c r="P154" s="171">
        <f t="shared" si="67"/>
        <v>21.06981449241373</v>
      </c>
      <c r="Q154" s="171">
        <f t="shared" si="67"/>
        <v>21.228179330981487</v>
      </c>
      <c r="R154" s="171">
        <f t="shared" si="67"/>
        <v>21.228179330981487</v>
      </c>
      <c r="S154" s="171">
        <f t="shared" si="67"/>
        <v>21.077008175818271</v>
      </c>
      <c r="T154" s="171">
        <f t="shared" si="67"/>
        <v>20.865065191027465</v>
      </c>
      <c r="U154" s="171">
        <f t="shared" si="67"/>
        <v>20.655615149334938</v>
      </c>
      <c r="V154" s="171">
        <f t="shared" si="67"/>
        <v>20.47086302889802</v>
      </c>
      <c r="W154" s="171">
        <f t="shared" si="67"/>
        <v>20.290268302751073</v>
      </c>
      <c r="X154" s="171">
        <f t="shared" si="67"/>
        <v>20.123650316524021</v>
      </c>
      <c r="Y154" s="171">
        <f t="shared" si="67"/>
        <v>19.954949413990885</v>
      </c>
      <c r="Z154" s="171">
        <f t="shared" si="67"/>
        <v>19.784082701635395</v>
      </c>
      <c r="AA154" s="171">
        <f t="shared" si="67"/>
        <v>19.628635078653517</v>
      </c>
      <c r="AB154" s="171">
        <f t="shared" si="67"/>
        <v>19.459138485701629</v>
      </c>
      <c r="AC154" s="171">
        <f t="shared" si="67"/>
        <v>19.921341331531597</v>
      </c>
      <c r="AD154" s="171">
        <f t="shared" si="67"/>
        <v>20.40177058786205</v>
      </c>
      <c r="AE154" s="171">
        <f t="shared" si="67"/>
        <v>20.895922867489375</v>
      </c>
      <c r="AF154" s="171">
        <f t="shared" si="67"/>
        <v>21.405408129345226</v>
      </c>
      <c r="AG154" s="171">
        <f t="shared" si="67"/>
        <v>21.899133751669009</v>
      </c>
      <c r="AH154" s="171">
        <f t="shared" si="67"/>
        <v>22.401443251466279</v>
      </c>
      <c r="AI154" s="171">
        <f t="shared" si="67"/>
        <v>22.946612086125704</v>
      </c>
      <c r="AJ154" s="171">
        <f t="shared" si="67"/>
        <v>23.515264978155212</v>
      </c>
      <c r="AK154" s="171">
        <f t="shared" si="67"/>
        <v>24.102009830373834</v>
      </c>
      <c r="AL154" s="171">
        <f t="shared" si="67"/>
        <v>24.70011056881939</v>
      </c>
      <c r="AM154" s="171">
        <f t="shared" si="67"/>
        <v>25.384898753641874</v>
      </c>
      <c r="AN154" s="171">
        <f t="shared" si="67"/>
        <v>26.047238108251911</v>
      </c>
      <c r="AO154" s="171">
        <f t="shared" si="67"/>
        <v>26.689071804109002</v>
      </c>
      <c r="AP154" s="171">
        <f t="shared" si="67"/>
        <v>27.31208132045613</v>
      </c>
      <c r="AQ154" s="171">
        <f t="shared" si="67"/>
        <v>27.917733017856225</v>
      </c>
      <c r="AR154" s="171">
        <f t="shared" si="67"/>
        <v>28.662936413878093</v>
      </c>
      <c r="AS154" s="171">
        <f t="shared" si="67"/>
        <v>29.384567522696738</v>
      </c>
      <c r="AT154" s="171">
        <f t="shared" si="67"/>
        <v>30.08459902402701</v>
      </c>
      <c r="AU154" s="171">
        <f t="shared" si="67"/>
        <v>30.764746301137912</v>
      </c>
      <c r="AV154" s="171">
        <f t="shared" si="67"/>
        <v>31.497657940031218</v>
      </c>
    </row>
    <row r="155" spans="1:48">
      <c r="A155" s="199" t="s">
        <v>16</v>
      </c>
      <c r="B155" s="95" t="str">
        <f t="shared" si="68"/>
        <v>CER</v>
      </c>
      <c r="C155" s="95" t="str">
        <f t="shared" si="68"/>
        <v>Commercial - Refrigeration</v>
      </c>
      <c r="D155" s="173"/>
      <c r="E155" s="173"/>
      <c r="F155" s="173"/>
      <c r="G155" s="173"/>
      <c r="H155" s="173"/>
      <c r="I155" s="172"/>
      <c r="J155" s="171">
        <f t="shared" si="67"/>
        <v>5.9132780747494111</v>
      </c>
      <c r="K155" s="171">
        <f t="shared" si="67"/>
        <v>5.7544076281624807</v>
      </c>
      <c r="L155" s="171">
        <f t="shared" si="67"/>
        <v>5.6082506009521316</v>
      </c>
      <c r="M155" s="171">
        <f t="shared" si="67"/>
        <v>5.4492798183683409</v>
      </c>
      <c r="N155" s="171">
        <f t="shared" si="67"/>
        <v>5.2835518577642615</v>
      </c>
      <c r="O155" s="171">
        <f t="shared" si="67"/>
        <v>5.0926998422610916</v>
      </c>
      <c r="P155" s="171">
        <f t="shared" si="67"/>
        <v>5.1255304157006645</v>
      </c>
      <c r="Q155" s="171">
        <f t="shared" si="67"/>
        <v>5.1640549028122535</v>
      </c>
      <c r="R155" s="171">
        <f t="shared" si="67"/>
        <v>5.1640549028122535</v>
      </c>
      <c r="S155" s="171">
        <f t="shared" si="67"/>
        <v>5.1272803809461669</v>
      </c>
      <c r="T155" s="171">
        <f t="shared" si="67"/>
        <v>5.0757222518828664</v>
      </c>
      <c r="U155" s="171">
        <f t="shared" si="67"/>
        <v>5.0247705664918376</v>
      </c>
      <c r="V155" s="171">
        <f t="shared" si="67"/>
        <v>4.9798269998075844</v>
      </c>
      <c r="W155" s="171">
        <f t="shared" si="67"/>
        <v>4.9358947780922691</v>
      </c>
      <c r="X155" s="171">
        <f t="shared" si="67"/>
        <v>4.8953625960686908</v>
      </c>
      <c r="Y155" s="171">
        <f t="shared" si="67"/>
        <v>4.8543237151900254</v>
      </c>
      <c r="Z155" s="171">
        <f t="shared" si="67"/>
        <v>4.8127579704358805</v>
      </c>
      <c r="AA155" s="171">
        <f t="shared" si="67"/>
        <v>4.7749431372806646</v>
      </c>
      <c r="AB155" s="171">
        <f t="shared" si="67"/>
        <v>4.7337106934522977</v>
      </c>
      <c r="AC155" s="171">
        <f t="shared" si="67"/>
        <v>4.8461480737328824</v>
      </c>
      <c r="AD155" s="171">
        <f t="shared" si="67"/>
        <v>4.9630192861871176</v>
      </c>
      <c r="AE155" s="171">
        <f t="shared" si="67"/>
        <v>5.0832288181756224</v>
      </c>
      <c r="AF155" s="171">
        <f t="shared" si="67"/>
        <v>5.2071683149819945</v>
      </c>
      <c r="AG155" s="171">
        <f t="shared" si="67"/>
        <v>5.3272740565461847</v>
      </c>
      <c r="AH155" s="171">
        <f t="shared" si="67"/>
        <v>5.4494679477279657</v>
      </c>
      <c r="AI155" s="171">
        <f t="shared" si="67"/>
        <v>5.5820879783763164</v>
      </c>
      <c r="AJ155" s="171">
        <f t="shared" si="67"/>
        <v>5.72042083817073</v>
      </c>
      <c r="AK155" s="171">
        <f t="shared" si="67"/>
        <v>5.8631548231987027</v>
      </c>
      <c r="AL155" s="171">
        <f t="shared" si="67"/>
        <v>6.0086512881846428</v>
      </c>
      <c r="AM155" s="171">
        <f t="shared" si="67"/>
        <v>6.1752357007281828</v>
      </c>
      <c r="AN155" s="171">
        <f t="shared" si="67"/>
        <v>6.3363591177754275</v>
      </c>
      <c r="AO155" s="171">
        <f t="shared" si="67"/>
        <v>6.4924942432707944</v>
      </c>
      <c r="AP155" s="171">
        <f t="shared" si="67"/>
        <v>6.6440501208252885</v>
      </c>
      <c r="AQ155" s="171">
        <f t="shared" si="67"/>
        <v>6.7913834633880645</v>
      </c>
      <c r="AR155" s="171">
        <f t="shared" si="67"/>
        <v>6.9726647306516529</v>
      </c>
      <c r="AS155" s="171">
        <f t="shared" si="67"/>
        <v>7.1482117056142238</v>
      </c>
      <c r="AT155" s="171">
        <f t="shared" si="67"/>
        <v>7.3185042705207071</v>
      </c>
      <c r="AU155" s="171">
        <f t="shared" si="67"/>
        <v>7.4839597166160248</v>
      </c>
      <c r="AV155" s="171">
        <f t="shared" si="67"/>
        <v>7.6622508400865819</v>
      </c>
    </row>
    <row r="156" spans="1:48">
      <c r="A156" s="199" t="s">
        <v>16</v>
      </c>
      <c r="B156" s="95" t="str">
        <f t="shared" si="68"/>
        <v>CEW</v>
      </c>
      <c r="C156" s="95" t="str">
        <f t="shared" si="68"/>
        <v>Commercial - Water Heating</v>
      </c>
      <c r="D156" s="173"/>
      <c r="E156" s="173"/>
      <c r="F156" s="173"/>
      <c r="G156" s="173"/>
      <c r="H156" s="173"/>
      <c r="I156" s="172"/>
      <c r="J156" s="171">
        <f t="shared" si="67"/>
        <v>1.9366218046150063</v>
      </c>
      <c r="K156" s="171">
        <f t="shared" si="67"/>
        <v>2.0747560247060011</v>
      </c>
      <c r="L156" s="171">
        <f t="shared" si="67"/>
        <v>2.2215693132915648</v>
      </c>
      <c r="M156" s="171">
        <f t="shared" si="67"/>
        <v>2.3678686704112906</v>
      </c>
      <c r="N156" s="171">
        <f t="shared" si="67"/>
        <v>2.5155670238606285</v>
      </c>
      <c r="O156" s="171">
        <f t="shared" si="67"/>
        <v>2.6547723439938684</v>
      </c>
      <c r="P156" s="171">
        <f t="shared" si="67"/>
        <v>2.6718865861649017</v>
      </c>
      <c r="Q156" s="171">
        <f t="shared" si="67"/>
        <v>2.691969007300679</v>
      </c>
      <c r="R156" s="171">
        <f t="shared" si="67"/>
        <v>2.691969007300679</v>
      </c>
      <c r="S156" s="171">
        <f t="shared" si="67"/>
        <v>2.6727988251502346</v>
      </c>
      <c r="T156" s="171">
        <f t="shared" si="67"/>
        <v>2.6459220997619681</v>
      </c>
      <c r="U156" s="171">
        <f t="shared" si="67"/>
        <v>2.6193615072578704</v>
      </c>
      <c r="V156" s="171">
        <f t="shared" si="67"/>
        <v>2.595932885589717</v>
      </c>
      <c r="W156" s="171">
        <f t="shared" si="67"/>
        <v>2.5730314677106989</v>
      </c>
      <c r="X156" s="171">
        <f t="shared" si="67"/>
        <v>2.551902455750287</v>
      </c>
      <c r="Y156" s="171">
        <f t="shared" si="67"/>
        <v>2.5305093068588009</v>
      </c>
      <c r="Z156" s="171">
        <f t="shared" si="67"/>
        <v>2.5088415092173397</v>
      </c>
      <c r="AA156" s="171">
        <f t="shared" si="67"/>
        <v>2.4891290234312855</v>
      </c>
      <c r="AB156" s="171">
        <f t="shared" si="67"/>
        <v>2.4676349721537192</v>
      </c>
      <c r="AC156" s="171">
        <f t="shared" si="67"/>
        <v>2.5262474285806595</v>
      </c>
      <c r="AD156" s="171">
        <f t="shared" si="67"/>
        <v>2.5871711963742827</v>
      </c>
      <c r="AE156" s="171">
        <f t="shared" si="67"/>
        <v>2.6498351959996445</v>
      </c>
      <c r="AF156" s="171">
        <f t="shared" si="67"/>
        <v>2.7144435881376716</v>
      </c>
      <c r="AG156" s="171">
        <f t="shared" si="67"/>
        <v>2.777053482876318</v>
      </c>
      <c r="AH156" s="171">
        <f t="shared" si="67"/>
        <v>2.840751908654807</v>
      </c>
      <c r="AI156" s="171">
        <f t="shared" si="67"/>
        <v>2.9098853743075836</v>
      </c>
      <c r="AJ156" s="171">
        <f t="shared" si="67"/>
        <v>2.9819968793682752</v>
      </c>
      <c r="AK156" s="171">
        <f t="shared" si="67"/>
        <v>3.0564026460022764</v>
      </c>
      <c r="AL156" s="171">
        <f t="shared" si="67"/>
        <v>3.1322484651860854</v>
      </c>
      <c r="AM156" s="171">
        <f t="shared" si="67"/>
        <v>3.219087215762185</v>
      </c>
      <c r="AN156" s="171">
        <f t="shared" si="67"/>
        <v>3.3030792052364566</v>
      </c>
      <c r="AO156" s="171">
        <f t="shared" si="67"/>
        <v>3.3844708493407114</v>
      </c>
      <c r="AP156" s="171">
        <f t="shared" si="67"/>
        <v>3.4634753783260201</v>
      </c>
      <c r="AQ156" s="171">
        <f t="shared" si="67"/>
        <v>3.5402787430046212</v>
      </c>
      <c r="AR156" s="171">
        <f t="shared" si="67"/>
        <v>3.6347788136394268</v>
      </c>
      <c r="AS156" s="171">
        <f t="shared" si="67"/>
        <v>3.7262896563431478</v>
      </c>
      <c r="AT156" s="171">
        <f t="shared" si="67"/>
        <v>3.81506142882224</v>
      </c>
      <c r="AU156" s="171">
        <f t="shared" si="67"/>
        <v>3.9013116607349847</v>
      </c>
      <c r="AV156" s="171">
        <f t="shared" si="67"/>
        <v>3.9942529999911147</v>
      </c>
    </row>
    <row r="157" spans="1:48">
      <c r="A157" s="199" t="s">
        <v>16</v>
      </c>
      <c r="B157" s="95" t="str">
        <f t="shared" si="68"/>
        <v>CEG</v>
      </c>
      <c r="C157" s="95" t="str">
        <f t="shared" si="68"/>
        <v>Commercial - Public lights</v>
      </c>
      <c r="D157" s="173"/>
      <c r="E157" s="173"/>
      <c r="F157" s="173"/>
      <c r="G157" s="173"/>
      <c r="H157" s="173"/>
      <c r="I157" s="172"/>
      <c r="J157" s="171">
        <f t="shared" si="67"/>
        <v>10.30055287377321</v>
      </c>
      <c r="K157" s="171">
        <f t="shared" si="67"/>
        <v>10.023810698880988</v>
      </c>
      <c r="L157" s="171">
        <f t="shared" si="67"/>
        <v>9.7692144888562282</v>
      </c>
      <c r="M157" s="171">
        <f t="shared" si="67"/>
        <v>9.4922975350634147</v>
      </c>
      <c r="N157" s="171">
        <f t="shared" si="67"/>
        <v>9.2036100085703758</v>
      </c>
      <c r="O157" s="171">
        <f t="shared" si="67"/>
        <v>8.8711579824850144</v>
      </c>
      <c r="P157" s="171">
        <f t="shared" si="67"/>
        <v>8.9283467453532221</v>
      </c>
      <c r="Q157" s="171">
        <f t="shared" si="67"/>
        <v>8.995453942310931</v>
      </c>
      <c r="R157" s="171">
        <f t="shared" si="67"/>
        <v>8.995453942310931</v>
      </c>
      <c r="S157" s="171">
        <f t="shared" si="67"/>
        <v>8.9771970991004117</v>
      </c>
      <c r="T157" s="171">
        <f t="shared" si="67"/>
        <v>8.9346534103357751</v>
      </c>
      <c r="U157" s="171">
        <f t="shared" si="67"/>
        <v>8.8947672970471228</v>
      </c>
      <c r="V157" s="171">
        <f t="shared" si="67"/>
        <v>8.8673082683331117</v>
      </c>
      <c r="W157" s="171">
        <f t="shared" si="67"/>
        <v>8.8436711025268195</v>
      </c>
      <c r="X157" s="171">
        <f t="shared" si="67"/>
        <v>8.8283764785378427</v>
      </c>
      <c r="Y157" s="171">
        <f t="shared" si="67"/>
        <v>8.8146580725675427</v>
      </c>
      <c r="Z157" s="171">
        <f t="shared" si="67"/>
        <v>8.80269297034733</v>
      </c>
      <c r="AA157" s="171">
        <f t="shared" si="67"/>
        <v>8.8006061850648898</v>
      </c>
      <c r="AB157" s="171">
        <f t="shared" si="67"/>
        <v>8.7955432585320867</v>
      </c>
      <c r="AC157" s="171">
        <f t="shared" si="67"/>
        <v>9.0044592456247958</v>
      </c>
      <c r="AD157" s="171">
        <f t="shared" si="67"/>
        <v>9.221613582124526</v>
      </c>
      <c r="AE157" s="171">
        <f t="shared" si="67"/>
        <v>9.4449707340846718</v>
      </c>
      <c r="AF157" s="171">
        <f t="shared" si="67"/>
        <v>9.6752584039900178</v>
      </c>
      <c r="AG157" s="171">
        <f t="shared" ref="K157:AV159" si="69">AG98*AG$34/1000</f>
        <v>9.8984227065713153</v>
      </c>
      <c r="AH157" s="171">
        <f t="shared" si="69"/>
        <v>10.125466927356573</v>
      </c>
      <c r="AI157" s="171">
        <f t="shared" si="69"/>
        <v>10.371883595390146</v>
      </c>
      <c r="AJ157" s="171">
        <f t="shared" si="69"/>
        <v>10.628915072637202</v>
      </c>
      <c r="AK157" s="171">
        <f t="shared" si="69"/>
        <v>10.894124127663044</v>
      </c>
      <c r="AL157" s="171">
        <f t="shared" si="69"/>
        <v>11.164466050653278</v>
      </c>
      <c r="AM157" s="171">
        <f t="shared" si="69"/>
        <v>11.473990755817566</v>
      </c>
      <c r="AN157" s="171">
        <f t="shared" si="69"/>
        <v>11.773368575117294</v>
      </c>
      <c r="AO157" s="171">
        <f t="shared" si="69"/>
        <v>12.063477823316676</v>
      </c>
      <c r="AP157" s="171">
        <f t="shared" si="69"/>
        <v>12.345078530127761</v>
      </c>
      <c r="AQ157" s="171">
        <f t="shared" si="69"/>
        <v>12.618833491479219</v>
      </c>
      <c r="AR157" s="171">
        <f t="shared" si="69"/>
        <v>12.955665911420704</v>
      </c>
      <c r="AS157" s="171">
        <f t="shared" si="69"/>
        <v>13.281843642206713</v>
      </c>
      <c r="AT157" s="171">
        <f t="shared" si="69"/>
        <v>13.598258336352078</v>
      </c>
      <c r="AU157" s="171">
        <f t="shared" si="69"/>
        <v>13.905685348210667</v>
      </c>
      <c r="AV157" s="171">
        <f t="shared" si="69"/>
        <v>14.236961885931205</v>
      </c>
    </row>
    <row r="158" spans="1:48">
      <c r="A158" s="199" t="s">
        <v>16</v>
      </c>
      <c r="B158" s="95" t="str">
        <f t="shared" si="68"/>
        <v>CET</v>
      </c>
      <c r="C158" s="95" t="str">
        <f t="shared" si="68"/>
        <v>Commercial - Public Water</v>
      </c>
      <c r="D158" s="173"/>
      <c r="E158" s="173"/>
      <c r="F158" s="173"/>
      <c r="G158" s="173"/>
      <c r="H158" s="173"/>
      <c r="I158" s="172"/>
      <c r="J158" s="171">
        <f t="shared" ref="J158:J159" si="70">J99*J$34/1000</f>
        <v>3.5593512487513528</v>
      </c>
      <c r="K158" s="171">
        <f t="shared" si="69"/>
        <v>3.4637231190911666</v>
      </c>
      <c r="L158" s="171">
        <f t="shared" si="69"/>
        <v>3.3757475172779561</v>
      </c>
      <c r="M158" s="171">
        <f t="shared" si="69"/>
        <v>3.2800589928500612</v>
      </c>
      <c r="N158" s="171">
        <f t="shared" si="69"/>
        <v>3.1803031525069465</v>
      </c>
      <c r="O158" s="171">
        <f t="shared" si="69"/>
        <v>3.0654245097100388</v>
      </c>
      <c r="P158" s="171">
        <f t="shared" si="69"/>
        <v>3.0851860600873766</v>
      </c>
      <c r="Q158" s="171">
        <f t="shared" si="69"/>
        <v>3.1083749207455065</v>
      </c>
      <c r="R158" s="171">
        <f t="shared" si="69"/>
        <v>3.1083749207455065</v>
      </c>
      <c r="S158" s="171">
        <f t="shared" si="69"/>
        <v>3.1020662770759921</v>
      </c>
      <c r="T158" s="171">
        <f t="shared" si="69"/>
        <v>3.0873653252351985</v>
      </c>
      <c r="U158" s="171">
        <f t="shared" si="69"/>
        <v>3.0735826973625451</v>
      </c>
      <c r="V158" s="171">
        <f t="shared" si="69"/>
        <v>3.0640942427775908</v>
      </c>
      <c r="W158" s="171">
        <f t="shared" si="69"/>
        <v>3.0559264311406267</v>
      </c>
      <c r="X158" s="171">
        <f t="shared" si="69"/>
        <v>3.0506413809436652</v>
      </c>
      <c r="Y158" s="171">
        <f t="shared" si="69"/>
        <v>3.0459009921490416</v>
      </c>
      <c r="Z158" s="171">
        <f t="shared" si="69"/>
        <v>3.0417664566487783</v>
      </c>
      <c r="AA158" s="171">
        <f t="shared" si="69"/>
        <v>3.0410453689662091</v>
      </c>
      <c r="AB158" s="171">
        <f t="shared" si="69"/>
        <v>3.0392958770605123</v>
      </c>
      <c r="AC158" s="171">
        <f t="shared" si="69"/>
        <v>3.1114866991120054</v>
      </c>
      <c r="AD158" s="171">
        <f t="shared" si="69"/>
        <v>3.1865242789646451</v>
      </c>
      <c r="AE158" s="171">
        <f t="shared" si="69"/>
        <v>3.2637052388110916</v>
      </c>
      <c r="AF158" s="171">
        <f t="shared" si="69"/>
        <v>3.3432810359060849</v>
      </c>
      <c r="AG158" s="171">
        <f t="shared" si="69"/>
        <v>3.4203953567394776</v>
      </c>
      <c r="AH158" s="171">
        <f t="shared" si="69"/>
        <v>3.4988503815014402</v>
      </c>
      <c r="AI158" s="171">
        <f t="shared" si="69"/>
        <v>3.5839995463886609</v>
      </c>
      <c r="AJ158" s="171">
        <f t="shared" si="69"/>
        <v>3.6728166536564752</v>
      </c>
      <c r="AK158" s="171">
        <f t="shared" si="69"/>
        <v>3.7644595191175996</v>
      </c>
      <c r="AL158" s="171">
        <f t="shared" si="69"/>
        <v>3.8578760447135365</v>
      </c>
      <c r="AM158" s="171">
        <f t="shared" si="69"/>
        <v>3.9648321624430047</v>
      </c>
      <c r="AN158" s="171">
        <f t="shared" si="69"/>
        <v>4.0682820284871957</v>
      </c>
      <c r="AO158" s="171">
        <f t="shared" si="69"/>
        <v>4.1685291441038679</v>
      </c>
      <c r="AP158" s="171">
        <f t="shared" si="69"/>
        <v>4.2658361372060876</v>
      </c>
      <c r="AQ158" s="171">
        <f t="shared" si="69"/>
        <v>4.3604320366183549</v>
      </c>
      <c r="AR158" s="171">
        <f t="shared" si="69"/>
        <v>4.4768243224723747</v>
      </c>
      <c r="AS158" s="171">
        <f t="shared" si="69"/>
        <v>4.5895348854504174</v>
      </c>
      <c r="AT158" s="171">
        <f t="shared" si="69"/>
        <v>4.6988718356637538</v>
      </c>
      <c r="AU158" s="171">
        <f t="shared" si="69"/>
        <v>4.8051030964482964</v>
      </c>
      <c r="AV158" s="171">
        <f t="shared" si="69"/>
        <v>4.9195755497881422</v>
      </c>
    </row>
    <row r="159" spans="1:48">
      <c r="A159" s="199" t="s">
        <v>16</v>
      </c>
      <c r="B159" s="95" t="str">
        <f t="shared" si="68"/>
        <v>CEO</v>
      </c>
      <c r="C159" s="95" t="str">
        <f t="shared" si="68"/>
        <v>Commercial - Other</v>
      </c>
      <c r="D159" s="173"/>
      <c r="E159" s="173"/>
      <c r="F159" s="173"/>
      <c r="G159" s="173"/>
      <c r="H159" s="173"/>
      <c r="I159" s="172"/>
      <c r="J159" s="171">
        <f t="shared" si="70"/>
        <v>3.7520368714157861</v>
      </c>
      <c r="K159" s="171">
        <f t="shared" si="69"/>
        <v>3.6836958161690943</v>
      </c>
      <c r="L159" s="171">
        <f t="shared" si="69"/>
        <v>3.6241923983997872</v>
      </c>
      <c r="M159" s="171">
        <f t="shared" si="69"/>
        <v>3.5571871958880834</v>
      </c>
      <c r="N159" s="171">
        <f t="shared" si="69"/>
        <v>3.4865111136726998</v>
      </c>
      <c r="O159" s="171">
        <f t="shared" si="69"/>
        <v>3.3998483491588085</v>
      </c>
      <c r="P159" s="171">
        <f t="shared" si="69"/>
        <v>3.4217657945939819</v>
      </c>
      <c r="Q159" s="171">
        <f t="shared" si="69"/>
        <v>3.4474844542372667</v>
      </c>
      <c r="R159" s="171">
        <f t="shared" si="69"/>
        <v>3.4474844542372667</v>
      </c>
      <c r="S159" s="171">
        <f t="shared" si="69"/>
        <v>3.422934058311712</v>
      </c>
      <c r="T159" s="171">
        <f t="shared" si="69"/>
        <v>3.3885142367218037</v>
      </c>
      <c r="U159" s="171">
        <f t="shared" si="69"/>
        <v>3.354499272394623</v>
      </c>
      <c r="V159" s="171">
        <f t="shared" si="69"/>
        <v>3.324495283208226</v>
      </c>
      <c r="W159" s="171">
        <f t="shared" si="69"/>
        <v>3.2951664603637636</v>
      </c>
      <c r="X159" s="171">
        <f t="shared" si="69"/>
        <v>3.2681074786038082</v>
      </c>
      <c r="Y159" s="171">
        <f t="shared" si="69"/>
        <v>3.2407102284755327</v>
      </c>
      <c r="Z159" s="171">
        <f t="shared" si="69"/>
        <v>3.2129612479620464</v>
      </c>
      <c r="AA159" s="171">
        <f t="shared" si="69"/>
        <v>3.187716347995706</v>
      </c>
      <c r="AB159" s="171">
        <f t="shared" si="69"/>
        <v>3.1601898766890053</v>
      </c>
      <c r="AC159" s="171">
        <f t="shared" si="69"/>
        <v>3.2352522313478183</v>
      </c>
      <c r="AD159" s="171">
        <f t="shared" si="69"/>
        <v>3.3132745792249527</v>
      </c>
      <c r="AE159" s="171">
        <f t="shared" si="69"/>
        <v>3.3935255642707975</v>
      </c>
      <c r="AF159" s="171">
        <f t="shared" si="69"/>
        <v>3.4762666459493188</v>
      </c>
      <c r="AG159" s="171">
        <f t="shared" si="69"/>
        <v>3.556448341283676</v>
      </c>
      <c r="AH159" s="171">
        <f t="shared" si="69"/>
        <v>3.6380240696948007</v>
      </c>
      <c r="AI159" s="171">
        <f t="shared" si="69"/>
        <v>3.726560210883322</v>
      </c>
      <c r="AJ159" s="171">
        <f t="shared" si="69"/>
        <v>3.8189101941090451</v>
      </c>
      <c r="AK159" s="171">
        <f t="shared" si="69"/>
        <v>3.9141983356443522</v>
      </c>
      <c r="AL159" s="171">
        <f t="shared" si="69"/>
        <v>4.01133068815136</v>
      </c>
      <c r="AM159" s="171">
        <f t="shared" si="69"/>
        <v>4.1225411968253383</v>
      </c>
      <c r="AN159" s="171">
        <f t="shared" si="69"/>
        <v>4.2301059857243617</v>
      </c>
      <c r="AO159" s="171">
        <f t="shared" si="69"/>
        <v>4.3343406284684818</v>
      </c>
      <c r="AP159" s="171">
        <f t="shared" si="69"/>
        <v>4.4355181995150001</v>
      </c>
      <c r="AQ159" s="171">
        <f t="shared" si="69"/>
        <v>4.5338768377625085</v>
      </c>
      <c r="AR159" s="171">
        <f t="shared" si="69"/>
        <v>4.6548988567955192</v>
      </c>
      <c r="AS159" s="171">
        <f t="shared" si="69"/>
        <v>4.7720927051495066</v>
      </c>
      <c r="AT159" s="171">
        <f t="shared" si="69"/>
        <v>4.8857787486242907</v>
      </c>
      <c r="AU159" s="171">
        <f t="shared" si="69"/>
        <v>4.9962355677359289</v>
      </c>
      <c r="AV159" s="171">
        <f t="shared" si="69"/>
        <v>5.1152613891226286</v>
      </c>
    </row>
    <row r="160" spans="1:48">
      <c r="A160" s="199" t="s">
        <v>16</v>
      </c>
      <c r="B160" s="173"/>
      <c r="C160" s="173"/>
      <c r="D160" s="173"/>
      <c r="E160" s="173"/>
      <c r="F160" s="173"/>
      <c r="G160" s="173"/>
      <c r="H160" s="173"/>
      <c r="I160" s="172"/>
      <c r="K160" s="95"/>
    </row>
    <row r="161" spans="1:48" ht="15.75" thickBot="1">
      <c r="A161" s="199" t="s">
        <v>16</v>
      </c>
      <c r="B161" s="93" t="s">
        <v>479</v>
      </c>
      <c r="C161" s="93"/>
      <c r="D161" s="93"/>
      <c r="E161" s="93"/>
      <c r="F161" s="93"/>
      <c r="G161" s="93"/>
      <c r="H161" s="93"/>
      <c r="I161" s="165"/>
      <c r="K161" s="95"/>
    </row>
    <row r="162" spans="1:48">
      <c r="A162" s="199" t="s">
        <v>16</v>
      </c>
      <c r="B162" s="95" t="str">
        <f t="shared" ref="B162:B170" si="71">B70</f>
        <v>CEC</v>
      </c>
      <c r="C162" s="95" t="str">
        <f t="shared" ref="C162:C170" si="72">C138</f>
        <v>Commercial - Cooling</v>
      </c>
      <c r="E162" s="114"/>
      <c r="F162" s="114"/>
      <c r="I162" s="165"/>
      <c r="J162" s="171">
        <f t="shared" ref="J162:AV168" si="73">J$35*J70/1000</f>
        <v>111.73151548310749</v>
      </c>
      <c r="K162" s="171">
        <f t="shared" si="73"/>
        <v>108.72965500263481</v>
      </c>
      <c r="L162" s="171">
        <f t="shared" si="73"/>
        <v>105.96801485274044</v>
      </c>
      <c r="M162" s="171">
        <f t="shared" si="73"/>
        <v>102.9642585214647</v>
      </c>
      <c r="N162" s="171">
        <f t="shared" si="73"/>
        <v>99.832825167215901</v>
      </c>
      <c r="O162" s="171">
        <f t="shared" si="73"/>
        <v>96.226672259198224</v>
      </c>
      <c r="P162" s="171">
        <f t="shared" si="73"/>
        <v>95.264405536606233</v>
      </c>
      <c r="Q162" s="171">
        <f>Q$35*Q70/1000</f>
        <v>94.302138814014256</v>
      </c>
      <c r="R162" s="171">
        <f t="shared" si="73"/>
        <v>93.339872091422265</v>
      </c>
      <c r="S162" s="171">
        <f t="shared" si="73"/>
        <v>92.377605368830288</v>
      </c>
      <c r="T162" s="171">
        <f t="shared" si="73"/>
        <v>91.415338646238297</v>
      </c>
      <c r="U162" s="171">
        <f t="shared" si="73"/>
        <v>90.45307192364632</v>
      </c>
      <c r="V162" s="171">
        <f t="shared" si="73"/>
        <v>89.490805201054329</v>
      </c>
      <c r="W162" s="171">
        <f t="shared" si="73"/>
        <v>88.528538478462352</v>
      </c>
      <c r="X162" s="171">
        <f t="shared" si="73"/>
        <v>87.566271755870375</v>
      </c>
      <c r="Y162" s="171">
        <f t="shared" si="73"/>
        <v>86.604005033278398</v>
      </c>
      <c r="Z162" s="171">
        <f t="shared" si="73"/>
        <v>85.641738310686407</v>
      </c>
      <c r="AA162" s="171">
        <f t="shared" si="73"/>
        <v>84.67947158809443</v>
      </c>
      <c r="AB162" s="171">
        <f t="shared" si="73"/>
        <v>83.717204865502438</v>
      </c>
      <c r="AC162" s="171">
        <f t="shared" si="73"/>
        <v>82.754938142910476</v>
      </c>
      <c r="AD162" s="171">
        <f t="shared" si="73"/>
        <v>81.792671420318484</v>
      </c>
      <c r="AE162" s="171">
        <f t="shared" si="73"/>
        <v>80.830404697726493</v>
      </c>
      <c r="AF162" s="171">
        <f t="shared" si="73"/>
        <v>79.868137975134502</v>
      </c>
      <c r="AG162" s="171">
        <f t="shared" si="73"/>
        <v>78.905871252542525</v>
      </c>
      <c r="AH162" s="171">
        <f t="shared" si="73"/>
        <v>77.943604529950534</v>
      </c>
      <c r="AI162" s="171">
        <f t="shared" si="73"/>
        <v>76.981337807358557</v>
      </c>
      <c r="AJ162" s="171">
        <f t="shared" si="73"/>
        <v>76.01907108476658</v>
      </c>
      <c r="AK162" s="171">
        <f t="shared" si="73"/>
        <v>75.056804362174589</v>
      </c>
      <c r="AL162" s="171">
        <f t="shared" si="73"/>
        <v>74.094537639582597</v>
      </c>
      <c r="AM162" s="171">
        <f t="shared" si="73"/>
        <v>73.132270916990635</v>
      </c>
      <c r="AN162" s="171">
        <f t="shared" si="73"/>
        <v>72.170004194398643</v>
      </c>
      <c r="AO162" s="171">
        <f t="shared" si="73"/>
        <v>71.207737471806652</v>
      </c>
      <c r="AP162" s="171">
        <f t="shared" si="73"/>
        <v>70.245470749214675</v>
      </c>
      <c r="AQ162" s="171">
        <f t="shared" si="73"/>
        <v>69.283204026622684</v>
      </c>
      <c r="AR162" s="171">
        <f t="shared" si="73"/>
        <v>68.320937304030721</v>
      </c>
      <c r="AS162" s="171">
        <f t="shared" si="73"/>
        <v>67.35867058143873</v>
      </c>
      <c r="AT162" s="171">
        <f t="shared" si="73"/>
        <v>66.396403858846753</v>
      </c>
      <c r="AU162" s="171">
        <f t="shared" si="73"/>
        <v>65.434137136254762</v>
      </c>
      <c r="AV162" s="171">
        <f t="shared" si="73"/>
        <v>64.471870413662785</v>
      </c>
    </row>
    <row r="163" spans="1:48">
      <c r="A163" s="199" t="s">
        <v>16</v>
      </c>
      <c r="B163" s="95" t="str">
        <f t="shared" si="71"/>
        <v>CEH</v>
      </c>
      <c r="C163" s="95" t="str">
        <f t="shared" si="72"/>
        <v>Commercial - Space Heating</v>
      </c>
      <c r="E163" s="114"/>
      <c r="F163" s="114"/>
      <c r="I163" s="165"/>
      <c r="J163" s="171">
        <f t="shared" si="73"/>
        <v>6.2814039260015191</v>
      </c>
      <c r="K163" s="171">
        <f t="shared" si="73"/>
        <v>6.8385166802914092</v>
      </c>
      <c r="L163" s="171">
        <f t="shared" si="73"/>
        <v>7.4263698316800602</v>
      </c>
      <c r="M163" s="171">
        <f t="shared" si="73"/>
        <v>8.0146683659086371</v>
      </c>
      <c r="N163" s="171">
        <f t="shared" si="73"/>
        <v>8.609576325977141</v>
      </c>
      <c r="O163" s="171">
        <f t="shared" si="73"/>
        <v>9.1767853690947074</v>
      </c>
      <c r="P163" s="171">
        <f t="shared" si="73"/>
        <v>9.0850175154037593</v>
      </c>
      <c r="Q163" s="171">
        <f t="shared" si="73"/>
        <v>8.9932496617128113</v>
      </c>
      <c r="R163" s="171">
        <f t="shared" si="73"/>
        <v>8.9014818080218649</v>
      </c>
      <c r="S163" s="171">
        <f t="shared" si="73"/>
        <v>8.8097139543309169</v>
      </c>
      <c r="T163" s="171">
        <f t="shared" si="73"/>
        <v>8.7179461006399688</v>
      </c>
      <c r="U163" s="171">
        <f t="shared" si="73"/>
        <v>8.6261782469490225</v>
      </c>
      <c r="V163" s="171">
        <f t="shared" si="73"/>
        <v>8.5344103932580744</v>
      </c>
      <c r="W163" s="171">
        <f t="shared" si="73"/>
        <v>8.4426425395671281</v>
      </c>
      <c r="X163" s="171">
        <f t="shared" si="73"/>
        <v>8.35087468587618</v>
      </c>
      <c r="Y163" s="171">
        <f t="shared" si="73"/>
        <v>8.2591068321852337</v>
      </c>
      <c r="Z163" s="171">
        <f t="shared" si="73"/>
        <v>8.1673389784942874</v>
      </c>
      <c r="AA163" s="171">
        <f t="shared" si="73"/>
        <v>8.075571124803341</v>
      </c>
      <c r="AB163" s="171">
        <f t="shared" si="73"/>
        <v>7.983803271112393</v>
      </c>
      <c r="AC163" s="171">
        <f t="shared" si="73"/>
        <v>7.8920354174214467</v>
      </c>
      <c r="AD163" s="171">
        <f t="shared" si="73"/>
        <v>7.8002675637304995</v>
      </c>
      <c r="AE163" s="171">
        <f t="shared" si="73"/>
        <v>7.7084997100395514</v>
      </c>
      <c r="AF163" s="171">
        <f t="shared" si="73"/>
        <v>7.6167318563486042</v>
      </c>
      <c r="AG163" s="171">
        <f t="shared" si="73"/>
        <v>7.524964002657657</v>
      </c>
      <c r="AH163" s="171">
        <f t="shared" si="73"/>
        <v>7.4331961489667089</v>
      </c>
      <c r="AI163" s="171">
        <f t="shared" si="73"/>
        <v>7.3414282952757635</v>
      </c>
      <c r="AJ163" s="171">
        <f t="shared" si="73"/>
        <v>7.2496604415848154</v>
      </c>
      <c r="AK163" s="171">
        <f t="shared" si="73"/>
        <v>7.1578925878938682</v>
      </c>
      <c r="AL163" s="171">
        <f t="shared" si="73"/>
        <v>7.066124734202921</v>
      </c>
      <c r="AM163" s="171">
        <f t="shared" si="73"/>
        <v>6.9743568805119747</v>
      </c>
      <c r="AN163" s="171">
        <f t="shared" si="73"/>
        <v>6.8825890268210275</v>
      </c>
      <c r="AO163" s="171">
        <f t="shared" si="73"/>
        <v>6.7908211731300785</v>
      </c>
      <c r="AP163" s="171">
        <f t="shared" si="73"/>
        <v>6.6990533194391331</v>
      </c>
      <c r="AQ163" s="171">
        <f t="shared" si="73"/>
        <v>6.6072854657481859</v>
      </c>
      <c r="AR163" s="171">
        <f t="shared" si="73"/>
        <v>6.5155176120572396</v>
      </c>
      <c r="AS163" s="171">
        <f t="shared" si="73"/>
        <v>6.4237497583662915</v>
      </c>
      <c r="AT163" s="171">
        <f t="shared" si="73"/>
        <v>6.3319819046753443</v>
      </c>
      <c r="AU163" s="171">
        <f t="shared" si="73"/>
        <v>6.240214050984398</v>
      </c>
      <c r="AV163" s="171">
        <f t="shared" si="73"/>
        <v>6.1484461972934508</v>
      </c>
    </row>
    <row r="164" spans="1:48">
      <c r="A164" s="199" t="s">
        <v>16</v>
      </c>
      <c r="B164" s="95" t="str">
        <f t="shared" si="71"/>
        <v>CEK</v>
      </c>
      <c r="C164" s="95" t="str">
        <f t="shared" si="72"/>
        <v>Commercial - Cooking</v>
      </c>
      <c r="E164" s="114"/>
      <c r="F164" s="114"/>
      <c r="I164" s="165"/>
      <c r="J164" s="171">
        <f t="shared" si="73"/>
        <v>7.9155998052238097</v>
      </c>
      <c r="K164" s="171">
        <f t="shared" si="73"/>
        <v>7.7119135787419291</v>
      </c>
      <c r="L164" s="171">
        <f t="shared" si="73"/>
        <v>7.5254589469677287</v>
      </c>
      <c r="M164" s="171">
        <f t="shared" si="73"/>
        <v>7.3220255389876163</v>
      </c>
      <c r="N164" s="171">
        <f t="shared" si="73"/>
        <v>7.1097174420082103</v>
      </c>
      <c r="O164" s="171">
        <f t="shared" si="73"/>
        <v>6.8637654158832637</v>
      </c>
      <c r="P164" s="171">
        <f t="shared" si="73"/>
        <v>6.795127761724431</v>
      </c>
      <c r="Q164" s="171">
        <f t="shared" si="73"/>
        <v>6.7264901075655983</v>
      </c>
      <c r="R164" s="171">
        <f t="shared" si="73"/>
        <v>6.6578524534067656</v>
      </c>
      <c r="S164" s="171">
        <f t="shared" si="73"/>
        <v>6.5892147992479329</v>
      </c>
      <c r="T164" s="171">
        <f t="shared" si="73"/>
        <v>6.5205771450891001</v>
      </c>
      <c r="U164" s="171">
        <f t="shared" si="73"/>
        <v>6.4519394909302683</v>
      </c>
      <c r="V164" s="171">
        <f t="shared" si="73"/>
        <v>6.3833018367714347</v>
      </c>
      <c r="W164" s="171">
        <f t="shared" si="73"/>
        <v>6.3146641826126011</v>
      </c>
      <c r="X164" s="171">
        <f t="shared" si="73"/>
        <v>6.2460265284537693</v>
      </c>
      <c r="Y164" s="171">
        <f t="shared" si="73"/>
        <v>6.1773888742949374</v>
      </c>
      <c r="Z164" s="171">
        <f t="shared" si="73"/>
        <v>6.1087512201361038</v>
      </c>
      <c r="AA164" s="171">
        <f t="shared" si="73"/>
        <v>6.040113565977272</v>
      </c>
      <c r="AB164" s="171">
        <f t="shared" si="73"/>
        <v>5.9714759118184393</v>
      </c>
      <c r="AC164" s="171">
        <f t="shared" si="73"/>
        <v>5.9028382576596066</v>
      </c>
      <c r="AD164" s="171">
        <f t="shared" si="73"/>
        <v>5.8342006035007739</v>
      </c>
      <c r="AE164" s="171">
        <f t="shared" si="73"/>
        <v>5.7655629493419402</v>
      </c>
      <c r="AF164" s="171">
        <f t="shared" si="73"/>
        <v>5.6969252951831075</v>
      </c>
      <c r="AG164" s="171">
        <f t="shared" si="73"/>
        <v>5.6282876410242748</v>
      </c>
      <c r="AH164" s="171">
        <f t="shared" si="73"/>
        <v>5.5596499868654421</v>
      </c>
      <c r="AI164" s="171">
        <f t="shared" si="73"/>
        <v>5.4910123327066103</v>
      </c>
      <c r="AJ164" s="171">
        <f t="shared" si="73"/>
        <v>5.4223746785477767</v>
      </c>
      <c r="AK164" s="171">
        <f t="shared" si="73"/>
        <v>5.3537370243889448</v>
      </c>
      <c r="AL164" s="171">
        <f t="shared" si="73"/>
        <v>5.2850993702301121</v>
      </c>
      <c r="AM164" s="171">
        <f t="shared" si="73"/>
        <v>5.2164617160712785</v>
      </c>
      <c r="AN164" s="171">
        <f t="shared" si="73"/>
        <v>5.1478240619124467</v>
      </c>
      <c r="AO164" s="171">
        <f t="shared" si="73"/>
        <v>5.0791864077536131</v>
      </c>
      <c r="AP164" s="171">
        <f t="shared" si="73"/>
        <v>5.0105487535947804</v>
      </c>
      <c r="AQ164" s="171">
        <f t="shared" si="73"/>
        <v>4.9419110994359476</v>
      </c>
      <c r="AR164" s="171">
        <f t="shared" si="73"/>
        <v>4.8732734452771167</v>
      </c>
      <c r="AS164" s="171">
        <f t="shared" si="73"/>
        <v>4.8046357911182831</v>
      </c>
      <c r="AT164" s="171">
        <f t="shared" si="73"/>
        <v>4.7359981369594504</v>
      </c>
      <c r="AU164" s="171">
        <f t="shared" si="73"/>
        <v>4.6673604828006177</v>
      </c>
      <c r="AV164" s="171">
        <f t="shared" si="73"/>
        <v>4.5987228286417849</v>
      </c>
    </row>
    <row r="165" spans="1:48">
      <c r="A165" s="199" t="s">
        <v>16</v>
      </c>
      <c r="B165" s="95" t="str">
        <f t="shared" si="71"/>
        <v>CEL</v>
      </c>
      <c r="C165" s="95" t="str">
        <f t="shared" si="72"/>
        <v>Commercial - Lighting</v>
      </c>
      <c r="E165" s="114"/>
      <c r="F165" s="114"/>
      <c r="I165" s="165"/>
      <c r="J165" s="171">
        <f t="shared" si="73"/>
        <v>97.232217524551132</v>
      </c>
      <c r="K165" s="171">
        <f t="shared" si="73"/>
        <v>94.619905770310211</v>
      </c>
      <c r="L165" s="171">
        <f t="shared" si="73"/>
        <v>92.216641171078479</v>
      </c>
      <c r="M165" s="171">
        <f t="shared" si="73"/>
        <v>89.602679588882765</v>
      </c>
      <c r="N165" s="171">
        <f t="shared" si="73"/>
        <v>86.877609515793239</v>
      </c>
      <c r="O165" s="171">
        <f t="shared" si="73"/>
        <v>83.739423817129023</v>
      </c>
      <c r="P165" s="171">
        <f t="shared" si="73"/>
        <v>82.902029578957737</v>
      </c>
      <c r="Q165" s="171">
        <f t="shared" si="73"/>
        <v>82.064635340786438</v>
      </c>
      <c r="R165" s="171">
        <f t="shared" si="73"/>
        <v>81.227241102615139</v>
      </c>
      <c r="S165" s="171">
        <f t="shared" si="73"/>
        <v>80.389846864443854</v>
      </c>
      <c r="T165" s="171">
        <f t="shared" si="73"/>
        <v>79.552452626272554</v>
      </c>
      <c r="U165" s="171">
        <f t="shared" si="73"/>
        <v>78.715058388101269</v>
      </c>
      <c r="V165" s="171">
        <f t="shared" si="73"/>
        <v>77.87766414992997</v>
      </c>
      <c r="W165" s="171">
        <f t="shared" si="73"/>
        <v>77.040269911758685</v>
      </c>
      <c r="X165" s="171">
        <f t="shared" si="73"/>
        <v>76.2028756735874</v>
      </c>
      <c r="Y165" s="171">
        <f t="shared" si="73"/>
        <v>75.365481435416115</v>
      </c>
      <c r="Z165" s="171">
        <f t="shared" si="73"/>
        <v>74.528087197244815</v>
      </c>
      <c r="AA165" s="171">
        <f t="shared" si="73"/>
        <v>73.690692959073544</v>
      </c>
      <c r="AB165" s="171">
        <f t="shared" si="73"/>
        <v>72.853298720902245</v>
      </c>
      <c r="AC165" s="171">
        <f t="shared" si="73"/>
        <v>72.01590448273096</v>
      </c>
      <c r="AD165" s="171">
        <f t="shared" si="73"/>
        <v>71.178510244559661</v>
      </c>
      <c r="AE165" s="171">
        <f t="shared" si="73"/>
        <v>70.341116006388361</v>
      </c>
      <c r="AF165" s="171">
        <f t="shared" si="73"/>
        <v>69.503721768217076</v>
      </c>
      <c r="AG165" s="171">
        <f t="shared" si="73"/>
        <v>68.666327530045791</v>
      </c>
      <c r="AH165" s="171">
        <f t="shared" si="73"/>
        <v>67.828933291874492</v>
      </c>
      <c r="AI165" s="171">
        <f t="shared" si="73"/>
        <v>66.991539053703207</v>
      </c>
      <c r="AJ165" s="171">
        <f t="shared" si="73"/>
        <v>66.154144815531907</v>
      </c>
      <c r="AK165" s="171">
        <f t="shared" si="73"/>
        <v>65.316750577360622</v>
      </c>
      <c r="AL165" s="171">
        <f t="shared" si="73"/>
        <v>64.479356339189323</v>
      </c>
      <c r="AM165" s="171">
        <f t="shared" si="73"/>
        <v>63.641962101018045</v>
      </c>
      <c r="AN165" s="171">
        <f t="shared" si="73"/>
        <v>62.804567862846753</v>
      </c>
      <c r="AO165" s="171">
        <f t="shared" si="73"/>
        <v>61.967173624675453</v>
      </c>
      <c r="AP165" s="171">
        <f t="shared" si="73"/>
        <v>61.129779386504161</v>
      </c>
      <c r="AQ165" s="171">
        <f t="shared" si="73"/>
        <v>60.292385148332869</v>
      </c>
      <c r="AR165" s="171">
        <f t="shared" si="73"/>
        <v>59.454990910161591</v>
      </c>
      <c r="AS165" s="171">
        <f t="shared" si="73"/>
        <v>58.617596671990292</v>
      </c>
      <c r="AT165" s="171">
        <f t="shared" si="73"/>
        <v>57.780202433818999</v>
      </c>
      <c r="AU165" s="171">
        <f t="shared" si="73"/>
        <v>56.942808195647714</v>
      </c>
      <c r="AV165" s="171">
        <f t="shared" si="73"/>
        <v>56.105413957476429</v>
      </c>
    </row>
    <row r="166" spans="1:48">
      <c r="A166" s="199" t="s">
        <v>16</v>
      </c>
      <c r="B166" s="95" t="str">
        <f t="shared" si="71"/>
        <v>CER</v>
      </c>
      <c r="C166" s="95" t="str">
        <f t="shared" si="72"/>
        <v>Commercial - Refrigeration</v>
      </c>
      <c r="E166" s="114"/>
      <c r="F166" s="114"/>
      <c r="I166" s="165"/>
      <c r="J166" s="171">
        <f t="shared" si="73"/>
        <v>23.653112298997645</v>
      </c>
      <c r="K166" s="171">
        <f t="shared" si="73"/>
        <v>23.017630512649919</v>
      </c>
      <c r="L166" s="171">
        <f t="shared" si="73"/>
        <v>22.433002403808526</v>
      </c>
      <c r="M166" s="171">
        <f t="shared" si="73"/>
        <v>21.797119273473363</v>
      </c>
      <c r="N166" s="171">
        <f t="shared" si="73"/>
        <v>21.134207431057046</v>
      </c>
      <c r="O166" s="171">
        <f t="shared" si="73"/>
        <v>20.370799369044367</v>
      </c>
      <c r="P166" s="171">
        <f t="shared" si="73"/>
        <v>20.16709137535392</v>
      </c>
      <c r="Q166" s="171">
        <f t="shared" si="73"/>
        <v>19.963383381663476</v>
      </c>
      <c r="R166" s="171">
        <f t="shared" si="73"/>
        <v>19.759675387973033</v>
      </c>
      <c r="S166" s="171">
        <f t="shared" si="73"/>
        <v>19.55596739428259</v>
      </c>
      <c r="T166" s="171">
        <f t="shared" si="73"/>
        <v>19.352259400592143</v>
      </c>
      <c r="U166" s="171">
        <f t="shared" si="73"/>
        <v>19.148551406901703</v>
      </c>
      <c r="V166" s="171">
        <f t="shared" si="73"/>
        <v>18.944843413211256</v>
      </c>
      <c r="W166" s="171">
        <f t="shared" si="73"/>
        <v>18.741135419520813</v>
      </c>
      <c r="X166" s="171">
        <f t="shared" si="73"/>
        <v>18.537427425830369</v>
      </c>
      <c r="Y166" s="171">
        <f t="shared" si="73"/>
        <v>18.333719432139929</v>
      </c>
      <c r="Z166" s="171">
        <f t="shared" si="73"/>
        <v>18.130011438449486</v>
      </c>
      <c r="AA166" s="171">
        <f t="shared" si="73"/>
        <v>17.926303444759039</v>
      </c>
      <c r="AB166" s="171">
        <f t="shared" si="73"/>
        <v>17.722595451068596</v>
      </c>
      <c r="AC166" s="171">
        <f t="shared" si="73"/>
        <v>17.518887457378153</v>
      </c>
      <c r="AD166" s="171">
        <f t="shared" si="73"/>
        <v>17.315179463687709</v>
      </c>
      <c r="AE166" s="171">
        <f t="shared" si="73"/>
        <v>17.111471469997266</v>
      </c>
      <c r="AF166" s="171">
        <f t="shared" si="73"/>
        <v>16.907763476306819</v>
      </c>
      <c r="AG166" s="171">
        <f t="shared" si="73"/>
        <v>16.704055482616376</v>
      </c>
      <c r="AH166" s="171">
        <f t="shared" si="73"/>
        <v>16.500347488925932</v>
      </c>
      <c r="AI166" s="171">
        <f t="shared" si="73"/>
        <v>16.296639495235489</v>
      </c>
      <c r="AJ166" s="171">
        <f t="shared" si="73"/>
        <v>16.092931501545042</v>
      </c>
      <c r="AK166" s="171">
        <f t="shared" si="73"/>
        <v>15.8892235078546</v>
      </c>
      <c r="AL166" s="171">
        <f t="shared" si="73"/>
        <v>15.685515514164157</v>
      </c>
      <c r="AM166" s="171">
        <f t="shared" si="73"/>
        <v>15.481807520473712</v>
      </c>
      <c r="AN166" s="171">
        <f t="shared" si="73"/>
        <v>15.278099526783269</v>
      </c>
      <c r="AO166" s="171">
        <f t="shared" si="73"/>
        <v>15.074391533092824</v>
      </c>
      <c r="AP166" s="171">
        <f t="shared" si="73"/>
        <v>14.87068353940238</v>
      </c>
      <c r="AQ166" s="171">
        <f t="shared" si="73"/>
        <v>14.666975545711937</v>
      </c>
      <c r="AR166" s="171">
        <f t="shared" si="73"/>
        <v>14.463267552021495</v>
      </c>
      <c r="AS166" s="171">
        <f t="shared" si="73"/>
        <v>14.25955955833105</v>
      </c>
      <c r="AT166" s="171">
        <f t="shared" si="73"/>
        <v>14.055851564640607</v>
      </c>
      <c r="AU166" s="171">
        <f t="shared" si="73"/>
        <v>13.852143570950163</v>
      </c>
      <c r="AV166" s="171">
        <f t="shared" si="73"/>
        <v>13.648435577259718</v>
      </c>
    </row>
    <row r="167" spans="1:48">
      <c r="A167" s="199" t="s">
        <v>16</v>
      </c>
      <c r="B167" s="95" t="str">
        <f t="shared" si="71"/>
        <v>CEW</v>
      </c>
      <c r="C167" s="95" t="str">
        <f t="shared" si="72"/>
        <v>Commercial - Water Heating</v>
      </c>
      <c r="E167" s="114"/>
      <c r="F167" s="114"/>
      <c r="I167" s="165"/>
      <c r="J167" s="171">
        <f t="shared" si="73"/>
        <v>7.7464872184600253</v>
      </c>
      <c r="K167" s="171">
        <f t="shared" si="73"/>
        <v>8.2990240988240043</v>
      </c>
      <c r="L167" s="171">
        <f t="shared" si="73"/>
        <v>8.8862772531662575</v>
      </c>
      <c r="M167" s="171">
        <f t="shared" si="73"/>
        <v>9.4714746816451605</v>
      </c>
      <c r="N167" s="171">
        <f t="shared" si="73"/>
        <v>10.062268095442514</v>
      </c>
      <c r="O167" s="171">
        <f t="shared" si="73"/>
        <v>10.619089375975474</v>
      </c>
      <c r="P167" s="171">
        <f t="shared" si="73"/>
        <v>10.51289848221572</v>
      </c>
      <c r="Q167" s="171">
        <f t="shared" si="73"/>
        <v>10.406707588455964</v>
      </c>
      <c r="R167" s="171">
        <f t="shared" si="73"/>
        <v>10.30051669469621</v>
      </c>
      <c r="S167" s="171">
        <f t="shared" si="73"/>
        <v>10.194325800936454</v>
      </c>
      <c r="T167" s="171">
        <f t="shared" si="73"/>
        <v>10.088134907176698</v>
      </c>
      <c r="U167" s="171">
        <f t="shared" si="73"/>
        <v>9.9819440134169461</v>
      </c>
      <c r="V167" s="171">
        <f t="shared" si="73"/>
        <v>9.8757531196571886</v>
      </c>
      <c r="W167" s="171">
        <f t="shared" si="73"/>
        <v>9.7695622258974346</v>
      </c>
      <c r="X167" s="171">
        <f t="shared" si="73"/>
        <v>9.6633713321376806</v>
      </c>
      <c r="Y167" s="171">
        <f t="shared" si="73"/>
        <v>9.5571804383779266</v>
      </c>
      <c r="Z167" s="171">
        <f t="shared" si="73"/>
        <v>9.4509895446181709</v>
      </c>
      <c r="AA167" s="171">
        <f t="shared" si="73"/>
        <v>9.3447986508584169</v>
      </c>
      <c r="AB167" s="171">
        <f t="shared" si="73"/>
        <v>9.2386077570986611</v>
      </c>
      <c r="AC167" s="171">
        <f t="shared" si="73"/>
        <v>9.1324168633389071</v>
      </c>
      <c r="AD167" s="171">
        <f t="shared" si="73"/>
        <v>9.0262259695791531</v>
      </c>
      <c r="AE167" s="171">
        <f t="shared" si="73"/>
        <v>8.9200350758193956</v>
      </c>
      <c r="AF167" s="171">
        <f t="shared" si="73"/>
        <v>8.8138441820596416</v>
      </c>
      <c r="AG167" s="171">
        <f t="shared" si="73"/>
        <v>8.7076532882998876</v>
      </c>
      <c r="AH167" s="171">
        <f t="shared" si="73"/>
        <v>8.6014623945401301</v>
      </c>
      <c r="AI167" s="171">
        <f t="shared" si="73"/>
        <v>8.4952715007803778</v>
      </c>
      <c r="AJ167" s="171">
        <f t="shared" si="73"/>
        <v>8.3890806070206221</v>
      </c>
      <c r="AK167" s="171">
        <f t="shared" si="73"/>
        <v>8.2828897132608681</v>
      </c>
      <c r="AL167" s="171">
        <f t="shared" si="73"/>
        <v>8.1766988195011123</v>
      </c>
      <c r="AM167" s="171">
        <f t="shared" si="73"/>
        <v>8.0705079257413583</v>
      </c>
      <c r="AN167" s="171">
        <f t="shared" si="73"/>
        <v>7.9643170319816035</v>
      </c>
      <c r="AO167" s="171">
        <f t="shared" si="73"/>
        <v>7.8581261382218468</v>
      </c>
      <c r="AP167" s="171">
        <f t="shared" si="73"/>
        <v>7.7519352444620928</v>
      </c>
      <c r="AQ167" s="171">
        <f t="shared" si="73"/>
        <v>7.6457443507023379</v>
      </c>
      <c r="AR167" s="171">
        <f t="shared" si="73"/>
        <v>7.5395534569425848</v>
      </c>
      <c r="AS167" s="171">
        <f t="shared" si="73"/>
        <v>7.4333625631828291</v>
      </c>
      <c r="AT167" s="171">
        <f t="shared" si="73"/>
        <v>7.3271716694230742</v>
      </c>
      <c r="AU167" s="171">
        <f t="shared" si="73"/>
        <v>7.2209807756633202</v>
      </c>
      <c r="AV167" s="171">
        <f t="shared" si="73"/>
        <v>7.1147898819035653</v>
      </c>
    </row>
    <row r="168" spans="1:48">
      <c r="A168" s="199" t="s">
        <v>16</v>
      </c>
      <c r="B168" s="95" t="str">
        <f t="shared" si="71"/>
        <v>CEG</v>
      </c>
      <c r="C168" s="95" t="str">
        <f t="shared" si="72"/>
        <v>Commercial - Public lights</v>
      </c>
      <c r="E168" s="114"/>
      <c r="F168" s="114"/>
      <c r="I168" s="165"/>
      <c r="J168" s="171">
        <f t="shared" si="73"/>
        <v>0</v>
      </c>
      <c r="K168" s="171">
        <f t="shared" si="73"/>
        <v>0</v>
      </c>
      <c r="L168" s="171">
        <f t="shared" si="73"/>
        <v>0</v>
      </c>
      <c r="M168" s="171">
        <f t="shared" si="73"/>
        <v>0</v>
      </c>
      <c r="N168" s="171">
        <f t="shared" si="73"/>
        <v>0</v>
      </c>
      <c r="O168" s="171">
        <f t="shared" si="73"/>
        <v>0</v>
      </c>
      <c r="P168" s="171">
        <f t="shared" si="73"/>
        <v>0</v>
      </c>
      <c r="Q168" s="171">
        <f t="shared" si="73"/>
        <v>0</v>
      </c>
      <c r="R168" s="171">
        <f t="shared" si="73"/>
        <v>0</v>
      </c>
      <c r="S168" s="171">
        <f t="shared" si="73"/>
        <v>0</v>
      </c>
      <c r="T168" s="171">
        <f t="shared" si="73"/>
        <v>0</v>
      </c>
      <c r="U168" s="171">
        <f t="shared" si="73"/>
        <v>0</v>
      </c>
      <c r="V168" s="171">
        <f t="shared" si="73"/>
        <v>0</v>
      </c>
      <c r="W168" s="171">
        <f t="shared" si="73"/>
        <v>0</v>
      </c>
      <c r="X168" s="171">
        <f t="shared" si="73"/>
        <v>0</v>
      </c>
      <c r="Y168" s="171">
        <f t="shared" si="73"/>
        <v>0</v>
      </c>
      <c r="Z168" s="171">
        <f t="shared" si="73"/>
        <v>0</v>
      </c>
      <c r="AA168" s="171">
        <f t="shared" si="73"/>
        <v>0</v>
      </c>
      <c r="AB168" s="171">
        <f t="shared" si="73"/>
        <v>0</v>
      </c>
      <c r="AC168" s="171">
        <f t="shared" si="73"/>
        <v>0</v>
      </c>
      <c r="AD168" s="171">
        <f t="shared" si="73"/>
        <v>0</v>
      </c>
      <c r="AE168" s="171">
        <f t="shared" si="73"/>
        <v>0</v>
      </c>
      <c r="AF168" s="171">
        <f t="shared" ref="AF168:AV168" si="74">AF$35*AF76/1000</f>
        <v>0</v>
      </c>
      <c r="AG168" s="171">
        <f t="shared" si="74"/>
        <v>0</v>
      </c>
      <c r="AH168" s="171">
        <f t="shared" si="74"/>
        <v>0</v>
      </c>
      <c r="AI168" s="171">
        <f t="shared" si="74"/>
        <v>0</v>
      </c>
      <c r="AJ168" s="171">
        <f t="shared" si="74"/>
        <v>0</v>
      </c>
      <c r="AK168" s="171">
        <f t="shared" si="74"/>
        <v>0</v>
      </c>
      <c r="AL168" s="171">
        <f t="shared" si="74"/>
        <v>0</v>
      </c>
      <c r="AM168" s="171">
        <f t="shared" si="74"/>
        <v>0</v>
      </c>
      <c r="AN168" s="171">
        <f t="shared" si="74"/>
        <v>0</v>
      </c>
      <c r="AO168" s="171">
        <f t="shared" si="74"/>
        <v>0</v>
      </c>
      <c r="AP168" s="171">
        <f t="shared" si="74"/>
        <v>0</v>
      </c>
      <c r="AQ168" s="171">
        <f t="shared" si="74"/>
        <v>0</v>
      </c>
      <c r="AR168" s="171">
        <f t="shared" si="74"/>
        <v>0</v>
      </c>
      <c r="AS168" s="171">
        <f t="shared" si="74"/>
        <v>0</v>
      </c>
      <c r="AT168" s="171">
        <f t="shared" si="74"/>
        <v>0</v>
      </c>
      <c r="AU168" s="171">
        <f t="shared" si="74"/>
        <v>0</v>
      </c>
      <c r="AV168" s="171">
        <f t="shared" si="74"/>
        <v>0</v>
      </c>
    </row>
    <row r="169" spans="1:48">
      <c r="A169" s="199" t="s">
        <v>16</v>
      </c>
      <c r="B169" s="95" t="str">
        <f t="shared" si="71"/>
        <v>CET</v>
      </c>
      <c r="C169" s="95" t="str">
        <f t="shared" si="72"/>
        <v>Commercial - Public Water</v>
      </c>
      <c r="E169" s="114"/>
      <c r="F169" s="114"/>
      <c r="I169" s="165"/>
      <c r="J169" s="171">
        <f t="shared" ref="J169:AV170" si="75">J$35*J77/1000</f>
        <v>0</v>
      </c>
      <c r="K169" s="171">
        <f t="shared" si="75"/>
        <v>0</v>
      </c>
      <c r="L169" s="171">
        <f t="shared" si="75"/>
        <v>0</v>
      </c>
      <c r="M169" s="171">
        <f t="shared" si="75"/>
        <v>0</v>
      </c>
      <c r="N169" s="171">
        <f t="shared" si="75"/>
        <v>0</v>
      </c>
      <c r="O169" s="171">
        <f t="shared" si="75"/>
        <v>0</v>
      </c>
      <c r="P169" s="171">
        <f t="shared" si="75"/>
        <v>0</v>
      </c>
      <c r="Q169" s="171">
        <f t="shared" si="75"/>
        <v>0</v>
      </c>
      <c r="R169" s="171">
        <f t="shared" si="75"/>
        <v>0</v>
      </c>
      <c r="S169" s="171">
        <f t="shared" si="75"/>
        <v>0</v>
      </c>
      <c r="T169" s="171">
        <f t="shared" si="75"/>
        <v>0</v>
      </c>
      <c r="U169" s="171">
        <f t="shared" si="75"/>
        <v>0</v>
      </c>
      <c r="V169" s="171">
        <f t="shared" si="75"/>
        <v>0</v>
      </c>
      <c r="W169" s="171">
        <f t="shared" si="75"/>
        <v>0</v>
      </c>
      <c r="X169" s="171">
        <f t="shared" si="75"/>
        <v>0</v>
      </c>
      <c r="Y169" s="171">
        <f t="shared" si="75"/>
        <v>0</v>
      </c>
      <c r="Z169" s="171">
        <f t="shared" si="75"/>
        <v>0</v>
      </c>
      <c r="AA169" s="171">
        <f t="shared" si="75"/>
        <v>0</v>
      </c>
      <c r="AB169" s="171">
        <f t="shared" si="75"/>
        <v>0</v>
      </c>
      <c r="AC169" s="171">
        <f t="shared" si="75"/>
        <v>0</v>
      </c>
      <c r="AD169" s="171">
        <f t="shared" si="75"/>
        <v>0</v>
      </c>
      <c r="AE169" s="171">
        <f t="shared" si="75"/>
        <v>0</v>
      </c>
      <c r="AF169" s="171">
        <f t="shared" si="75"/>
        <v>0</v>
      </c>
      <c r="AG169" s="171">
        <f t="shared" si="75"/>
        <v>0</v>
      </c>
      <c r="AH169" s="171">
        <f t="shared" si="75"/>
        <v>0</v>
      </c>
      <c r="AI169" s="171">
        <f t="shared" si="75"/>
        <v>0</v>
      </c>
      <c r="AJ169" s="171">
        <f t="shared" si="75"/>
        <v>0</v>
      </c>
      <c r="AK169" s="171">
        <f t="shared" si="75"/>
        <v>0</v>
      </c>
      <c r="AL169" s="171">
        <f t="shared" si="75"/>
        <v>0</v>
      </c>
      <c r="AM169" s="171">
        <f t="shared" si="75"/>
        <v>0</v>
      </c>
      <c r="AN169" s="171">
        <f t="shared" si="75"/>
        <v>0</v>
      </c>
      <c r="AO169" s="171">
        <f t="shared" si="75"/>
        <v>0</v>
      </c>
      <c r="AP169" s="171">
        <f t="shared" si="75"/>
        <v>0</v>
      </c>
      <c r="AQ169" s="171">
        <f t="shared" si="75"/>
        <v>0</v>
      </c>
      <c r="AR169" s="171">
        <f t="shared" si="75"/>
        <v>0</v>
      </c>
      <c r="AS169" s="171">
        <f t="shared" si="75"/>
        <v>0</v>
      </c>
      <c r="AT169" s="171">
        <f t="shared" si="75"/>
        <v>0</v>
      </c>
      <c r="AU169" s="171">
        <f t="shared" si="75"/>
        <v>0</v>
      </c>
      <c r="AV169" s="171">
        <f t="shared" si="75"/>
        <v>0</v>
      </c>
    </row>
    <row r="170" spans="1:48">
      <c r="A170" s="199" t="s">
        <v>16</v>
      </c>
      <c r="B170" s="95" t="str">
        <f t="shared" si="71"/>
        <v>CEO</v>
      </c>
      <c r="C170" s="95" t="str">
        <f t="shared" si="72"/>
        <v>Commercial - Other</v>
      </c>
      <c r="E170" s="114"/>
      <c r="F170" s="114"/>
      <c r="I170" s="165"/>
      <c r="J170" s="171">
        <f t="shared" si="75"/>
        <v>15.008147485663144</v>
      </c>
      <c r="K170" s="171">
        <f t="shared" si="75"/>
        <v>14.734783264676375</v>
      </c>
      <c r="L170" s="171">
        <f t="shared" si="75"/>
        <v>14.496769593599147</v>
      </c>
      <c r="M170" s="171">
        <f t="shared" si="75"/>
        <v>14.228748783552332</v>
      </c>
      <c r="N170" s="171">
        <f t="shared" si="75"/>
        <v>13.946044454690799</v>
      </c>
      <c r="O170" s="171">
        <f t="shared" si="75"/>
        <v>13.599393396635234</v>
      </c>
      <c r="P170" s="171">
        <f t="shared" si="75"/>
        <v>13.463399462668884</v>
      </c>
      <c r="Q170" s="171">
        <f t="shared" si="75"/>
        <v>13.327405528702529</v>
      </c>
      <c r="R170" s="171">
        <f t="shared" si="75"/>
        <v>13.191411594736177</v>
      </c>
      <c r="S170" s="171">
        <f t="shared" si="75"/>
        <v>13.055417660769825</v>
      </c>
      <c r="T170" s="171">
        <f t="shared" si="75"/>
        <v>12.919423726803471</v>
      </c>
      <c r="U170" s="171">
        <f t="shared" si="75"/>
        <v>12.78342979283712</v>
      </c>
      <c r="V170" s="171">
        <f t="shared" si="75"/>
        <v>12.647435858870766</v>
      </c>
      <c r="W170" s="171">
        <f t="shared" si="75"/>
        <v>12.511441924904416</v>
      </c>
      <c r="X170" s="171">
        <f t="shared" si="75"/>
        <v>12.375447990938062</v>
      </c>
      <c r="Y170" s="171">
        <f t="shared" si="75"/>
        <v>12.239454056971711</v>
      </c>
      <c r="Z170" s="171">
        <f t="shared" si="75"/>
        <v>12.103460123005357</v>
      </c>
      <c r="AA170" s="171">
        <f t="shared" si="75"/>
        <v>11.967466189039005</v>
      </c>
      <c r="AB170" s="171">
        <f t="shared" si="75"/>
        <v>11.831472255072653</v>
      </c>
      <c r="AC170" s="171">
        <f t="shared" si="75"/>
        <v>11.6954783211063</v>
      </c>
      <c r="AD170" s="171">
        <f t="shared" si="75"/>
        <v>11.559484387139948</v>
      </c>
      <c r="AE170" s="171">
        <f t="shared" si="75"/>
        <v>11.423490453173596</v>
      </c>
      <c r="AF170" s="171">
        <f t="shared" si="75"/>
        <v>11.287496519207243</v>
      </c>
      <c r="AG170" s="171">
        <f t="shared" si="75"/>
        <v>11.151502585240891</v>
      </c>
      <c r="AH170" s="171">
        <f t="shared" si="75"/>
        <v>11.015508651274537</v>
      </c>
      <c r="AI170" s="171">
        <f t="shared" si="75"/>
        <v>10.879514717308187</v>
      </c>
      <c r="AJ170" s="171">
        <f t="shared" si="75"/>
        <v>10.743520783341832</v>
      </c>
      <c r="AK170" s="171">
        <f t="shared" si="75"/>
        <v>10.607526849375478</v>
      </c>
      <c r="AL170" s="171">
        <f t="shared" si="75"/>
        <v>10.471532915409126</v>
      </c>
      <c r="AM170" s="171">
        <f t="shared" si="75"/>
        <v>10.335538981442776</v>
      </c>
      <c r="AN170" s="171">
        <f t="shared" si="75"/>
        <v>10.199545047476423</v>
      </c>
      <c r="AO170" s="171">
        <f t="shared" si="75"/>
        <v>10.063551113510069</v>
      </c>
      <c r="AP170" s="171">
        <f t="shared" si="75"/>
        <v>9.927557179543717</v>
      </c>
      <c r="AQ170" s="171">
        <f t="shared" si="75"/>
        <v>9.7915632455773647</v>
      </c>
      <c r="AR170" s="171">
        <f t="shared" si="75"/>
        <v>9.6555693116110142</v>
      </c>
      <c r="AS170" s="171">
        <f t="shared" si="75"/>
        <v>9.5195753776446601</v>
      </c>
      <c r="AT170" s="171">
        <f t="shared" si="75"/>
        <v>9.3835814436783078</v>
      </c>
      <c r="AU170" s="171">
        <f t="shared" si="75"/>
        <v>9.2475875097119573</v>
      </c>
      <c r="AV170" s="171">
        <f t="shared" si="75"/>
        <v>9.111593575745605</v>
      </c>
    </row>
    <row r="171" spans="1:48">
      <c r="A171" s="199" t="s">
        <v>16</v>
      </c>
      <c r="E171" s="114"/>
      <c r="F171" s="114"/>
      <c r="I171" s="165"/>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row>
    <row r="172" spans="1:48">
      <c r="A172" s="199" t="s">
        <v>16</v>
      </c>
      <c r="E172" s="114"/>
      <c r="F172" s="114"/>
      <c r="I172" s="169"/>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row>
    <row r="173" spans="1:48" ht="15.75" thickBot="1">
      <c r="A173" s="199" t="s">
        <v>16</v>
      </c>
      <c r="B173" s="170" t="s">
        <v>483</v>
      </c>
      <c r="C173" s="93"/>
      <c r="D173" s="93"/>
      <c r="I173" s="169" t="s">
        <v>109</v>
      </c>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row>
    <row r="174" spans="1:48">
      <c r="A174" s="199" t="s">
        <v>16</v>
      </c>
      <c r="B174" s="95" t="str">
        <f t="shared" ref="B174:B182" si="76">B105</f>
        <v>CNC</v>
      </c>
      <c r="C174" s="95" t="str">
        <f t="shared" ref="C174:C182" si="77">C162</f>
        <v>Commercial - Cooling</v>
      </c>
      <c r="E174" s="114"/>
      <c r="F174" s="114"/>
      <c r="I174" s="169"/>
      <c r="J174" s="171">
        <f t="shared" ref="J174:Y182" si="78">INDEX(J$49:J$52,MATCH($I$173,$B$49:$B$52,0),1)*INDEX(J$81:J$89,MATCH($B174,$B$81:$B$89,0))*INDEX(J$105:J$113,MATCH($B174,$B$105:$B$113,0))/1000</f>
        <v>0</v>
      </c>
      <c r="K174" s="171">
        <f t="shared" si="78"/>
        <v>0</v>
      </c>
      <c r="L174" s="171">
        <f t="shared" si="78"/>
        <v>0</v>
      </c>
      <c r="M174" s="171">
        <f t="shared" si="78"/>
        <v>0</v>
      </c>
      <c r="N174" s="171">
        <f t="shared" si="78"/>
        <v>0</v>
      </c>
      <c r="O174" s="171">
        <f t="shared" si="78"/>
        <v>0</v>
      </c>
      <c r="P174" s="171">
        <f t="shared" si="78"/>
        <v>0</v>
      </c>
      <c r="Q174" s="171">
        <f t="shared" si="78"/>
        <v>0</v>
      </c>
      <c r="R174" s="171">
        <f t="shared" si="78"/>
        <v>0</v>
      </c>
      <c r="S174" s="171">
        <f t="shared" si="78"/>
        <v>0</v>
      </c>
      <c r="T174" s="171">
        <f t="shared" si="78"/>
        <v>0</v>
      </c>
      <c r="U174" s="171">
        <f t="shared" si="78"/>
        <v>0</v>
      </c>
      <c r="V174" s="171">
        <f t="shared" si="78"/>
        <v>0</v>
      </c>
      <c r="W174" s="171">
        <f t="shared" si="78"/>
        <v>0</v>
      </c>
      <c r="X174" s="171">
        <f t="shared" si="78"/>
        <v>0</v>
      </c>
      <c r="Y174" s="171">
        <f t="shared" si="78"/>
        <v>0</v>
      </c>
      <c r="Z174" s="171">
        <f t="shared" ref="Z174:AO182" si="79">INDEX(Z$49:Z$52,MATCH($I$173,$B$49:$B$52,0),1)*INDEX(Z$81:Z$89,MATCH($B174,$B$81:$B$89,0))*INDEX(Z$105:Z$113,MATCH($B174,$B$105:$B$113,0))/1000</f>
        <v>0</v>
      </c>
      <c r="AA174" s="171">
        <f t="shared" si="79"/>
        <v>0</v>
      </c>
      <c r="AB174" s="171">
        <f t="shared" si="79"/>
        <v>0</v>
      </c>
      <c r="AC174" s="171">
        <f t="shared" si="79"/>
        <v>0</v>
      </c>
      <c r="AD174" s="171">
        <f t="shared" si="79"/>
        <v>0</v>
      </c>
      <c r="AE174" s="171">
        <f t="shared" si="79"/>
        <v>0</v>
      </c>
      <c r="AF174" s="171">
        <f t="shared" si="79"/>
        <v>0</v>
      </c>
      <c r="AG174" s="171">
        <f t="shared" si="79"/>
        <v>0</v>
      </c>
      <c r="AH174" s="171">
        <f t="shared" si="79"/>
        <v>0</v>
      </c>
      <c r="AI174" s="171">
        <f t="shared" si="79"/>
        <v>0</v>
      </c>
      <c r="AJ174" s="171">
        <f t="shared" si="79"/>
        <v>0</v>
      </c>
      <c r="AK174" s="171">
        <f t="shared" si="79"/>
        <v>0</v>
      </c>
      <c r="AL174" s="171">
        <f t="shared" si="79"/>
        <v>0</v>
      </c>
      <c r="AM174" s="171">
        <f t="shared" si="79"/>
        <v>0</v>
      </c>
      <c r="AN174" s="171">
        <f t="shared" si="79"/>
        <v>0</v>
      </c>
      <c r="AO174" s="171">
        <f t="shared" si="79"/>
        <v>0</v>
      </c>
      <c r="AP174" s="171">
        <f t="shared" ref="AN174:AV182" si="80">INDEX(AP$49:AP$52,MATCH($I$173,$B$49:$B$52,0),1)*INDEX(AP$81:AP$89,MATCH($B174,$B$81:$B$89,0))*INDEX(AP$105:AP$113,MATCH($B174,$B$105:$B$113,0))/1000</f>
        <v>0</v>
      </c>
      <c r="AQ174" s="171">
        <f t="shared" si="80"/>
        <v>0</v>
      </c>
      <c r="AR174" s="171">
        <f t="shared" si="80"/>
        <v>0</v>
      </c>
      <c r="AS174" s="171">
        <f t="shared" si="80"/>
        <v>0</v>
      </c>
      <c r="AT174" s="171">
        <f t="shared" si="80"/>
        <v>0</v>
      </c>
      <c r="AU174" s="171">
        <f t="shared" si="80"/>
        <v>0</v>
      </c>
      <c r="AV174" s="171">
        <f t="shared" si="80"/>
        <v>0</v>
      </c>
    </row>
    <row r="175" spans="1:48">
      <c r="A175" s="199" t="s">
        <v>16</v>
      </c>
      <c r="B175" s="95" t="str">
        <f t="shared" si="76"/>
        <v>CNH</v>
      </c>
      <c r="C175" s="95" t="str">
        <f t="shared" si="77"/>
        <v>Commercial - Space Heating</v>
      </c>
      <c r="E175" s="114"/>
      <c r="F175" s="114"/>
      <c r="I175" s="169"/>
      <c r="J175" s="171">
        <f t="shared" si="78"/>
        <v>0</v>
      </c>
      <c r="K175" s="171">
        <f t="shared" si="78"/>
        <v>0</v>
      </c>
      <c r="L175" s="171">
        <f t="shared" si="78"/>
        <v>0</v>
      </c>
      <c r="M175" s="171">
        <f t="shared" si="78"/>
        <v>0</v>
      </c>
      <c r="N175" s="171">
        <f t="shared" si="78"/>
        <v>0</v>
      </c>
      <c r="O175" s="171">
        <f t="shared" si="78"/>
        <v>0</v>
      </c>
      <c r="P175" s="171">
        <f t="shared" si="78"/>
        <v>0</v>
      </c>
      <c r="Q175" s="171">
        <f t="shared" si="78"/>
        <v>0</v>
      </c>
      <c r="R175" s="171">
        <f t="shared" si="78"/>
        <v>0</v>
      </c>
      <c r="S175" s="171">
        <f t="shared" si="78"/>
        <v>0</v>
      </c>
      <c r="T175" s="171">
        <f t="shared" si="78"/>
        <v>0</v>
      </c>
      <c r="U175" s="171">
        <f t="shared" si="78"/>
        <v>0</v>
      </c>
      <c r="V175" s="171">
        <f t="shared" si="78"/>
        <v>0</v>
      </c>
      <c r="W175" s="171">
        <f t="shared" si="78"/>
        <v>0</v>
      </c>
      <c r="X175" s="171">
        <f t="shared" si="78"/>
        <v>0</v>
      </c>
      <c r="Y175" s="171">
        <f t="shared" si="78"/>
        <v>0</v>
      </c>
      <c r="Z175" s="171">
        <f t="shared" si="79"/>
        <v>0</v>
      </c>
      <c r="AA175" s="171">
        <f t="shared" si="79"/>
        <v>0</v>
      </c>
      <c r="AB175" s="171">
        <f t="shared" si="79"/>
        <v>0</v>
      </c>
      <c r="AC175" s="171">
        <f t="shared" si="79"/>
        <v>0</v>
      </c>
      <c r="AD175" s="171">
        <f t="shared" si="79"/>
        <v>0</v>
      </c>
      <c r="AE175" s="171">
        <f t="shared" si="79"/>
        <v>0</v>
      </c>
      <c r="AF175" s="171">
        <f t="shared" si="79"/>
        <v>0</v>
      </c>
      <c r="AG175" s="171">
        <f t="shared" si="79"/>
        <v>0</v>
      </c>
      <c r="AH175" s="171">
        <f t="shared" si="79"/>
        <v>0</v>
      </c>
      <c r="AI175" s="171">
        <f t="shared" si="79"/>
        <v>0</v>
      </c>
      <c r="AJ175" s="171">
        <f t="shared" si="79"/>
        <v>0</v>
      </c>
      <c r="AK175" s="171">
        <f t="shared" si="79"/>
        <v>0</v>
      </c>
      <c r="AL175" s="171">
        <f t="shared" si="79"/>
        <v>0</v>
      </c>
      <c r="AM175" s="171">
        <f t="shared" si="79"/>
        <v>0</v>
      </c>
      <c r="AN175" s="171">
        <f t="shared" si="80"/>
        <v>0</v>
      </c>
      <c r="AO175" s="171">
        <f t="shared" si="80"/>
        <v>0</v>
      </c>
      <c r="AP175" s="171">
        <f t="shared" si="80"/>
        <v>0</v>
      </c>
      <c r="AQ175" s="171">
        <f t="shared" si="80"/>
        <v>0</v>
      </c>
      <c r="AR175" s="171">
        <f t="shared" si="80"/>
        <v>0</v>
      </c>
      <c r="AS175" s="171">
        <f t="shared" si="80"/>
        <v>0</v>
      </c>
      <c r="AT175" s="171">
        <f t="shared" si="80"/>
        <v>0</v>
      </c>
      <c r="AU175" s="171">
        <f t="shared" si="80"/>
        <v>0</v>
      </c>
      <c r="AV175" s="171">
        <f t="shared" si="80"/>
        <v>0</v>
      </c>
    </row>
    <row r="176" spans="1:48">
      <c r="A176" s="199" t="s">
        <v>16</v>
      </c>
      <c r="B176" s="95" t="str">
        <f t="shared" si="76"/>
        <v>CNK</v>
      </c>
      <c r="C176" s="95" t="str">
        <f t="shared" si="77"/>
        <v>Commercial - Cooking</v>
      </c>
      <c r="E176" s="114"/>
      <c r="F176" s="114"/>
      <c r="I176" s="169"/>
      <c r="J176" s="171">
        <f t="shared" si="78"/>
        <v>0</v>
      </c>
      <c r="K176" s="171">
        <f t="shared" si="78"/>
        <v>0</v>
      </c>
      <c r="L176" s="171">
        <f t="shared" si="78"/>
        <v>0</v>
      </c>
      <c r="M176" s="171">
        <f t="shared" si="78"/>
        <v>0</v>
      </c>
      <c r="N176" s="171">
        <f t="shared" si="78"/>
        <v>0</v>
      </c>
      <c r="O176" s="171">
        <f t="shared" si="78"/>
        <v>0</v>
      </c>
      <c r="P176" s="171">
        <f t="shared" si="78"/>
        <v>0</v>
      </c>
      <c r="Q176" s="171">
        <f t="shared" si="78"/>
        <v>0</v>
      </c>
      <c r="R176" s="171">
        <f t="shared" si="78"/>
        <v>0</v>
      </c>
      <c r="S176" s="171">
        <f t="shared" si="78"/>
        <v>0</v>
      </c>
      <c r="T176" s="171">
        <f t="shared" si="78"/>
        <v>0</v>
      </c>
      <c r="U176" s="171">
        <f t="shared" si="78"/>
        <v>0</v>
      </c>
      <c r="V176" s="171">
        <f t="shared" si="78"/>
        <v>0</v>
      </c>
      <c r="W176" s="171">
        <f t="shared" si="78"/>
        <v>0</v>
      </c>
      <c r="X176" s="171">
        <f t="shared" si="78"/>
        <v>0</v>
      </c>
      <c r="Y176" s="171">
        <f t="shared" si="78"/>
        <v>0</v>
      </c>
      <c r="Z176" s="171">
        <f t="shared" si="79"/>
        <v>0</v>
      </c>
      <c r="AA176" s="171">
        <f t="shared" si="79"/>
        <v>0</v>
      </c>
      <c r="AB176" s="171">
        <f t="shared" si="79"/>
        <v>0</v>
      </c>
      <c r="AC176" s="171">
        <f t="shared" si="79"/>
        <v>0</v>
      </c>
      <c r="AD176" s="171">
        <f t="shared" si="79"/>
        <v>0</v>
      </c>
      <c r="AE176" s="171">
        <f t="shared" si="79"/>
        <v>0</v>
      </c>
      <c r="AF176" s="171">
        <f t="shared" si="79"/>
        <v>0</v>
      </c>
      <c r="AG176" s="171">
        <f t="shared" si="79"/>
        <v>0</v>
      </c>
      <c r="AH176" s="171">
        <f t="shared" si="79"/>
        <v>0</v>
      </c>
      <c r="AI176" s="171">
        <f t="shared" si="79"/>
        <v>0</v>
      </c>
      <c r="AJ176" s="171">
        <f t="shared" si="79"/>
        <v>0</v>
      </c>
      <c r="AK176" s="171">
        <f t="shared" si="79"/>
        <v>0</v>
      </c>
      <c r="AL176" s="171">
        <f t="shared" si="79"/>
        <v>0</v>
      </c>
      <c r="AM176" s="171">
        <f t="shared" si="79"/>
        <v>0</v>
      </c>
      <c r="AN176" s="171">
        <f t="shared" si="80"/>
        <v>0</v>
      </c>
      <c r="AO176" s="171">
        <f t="shared" si="80"/>
        <v>0</v>
      </c>
      <c r="AP176" s="171">
        <f t="shared" si="80"/>
        <v>0</v>
      </c>
      <c r="AQ176" s="171">
        <f t="shared" si="80"/>
        <v>0</v>
      </c>
      <c r="AR176" s="171">
        <f t="shared" si="80"/>
        <v>0</v>
      </c>
      <c r="AS176" s="171">
        <f t="shared" si="80"/>
        <v>0</v>
      </c>
      <c r="AT176" s="171">
        <f t="shared" si="80"/>
        <v>0</v>
      </c>
      <c r="AU176" s="171">
        <f t="shared" si="80"/>
        <v>0</v>
      </c>
      <c r="AV176" s="171">
        <f t="shared" si="80"/>
        <v>0</v>
      </c>
    </row>
    <row r="177" spans="1:48">
      <c r="A177" s="199" t="s">
        <v>16</v>
      </c>
      <c r="B177" s="95" t="str">
        <f t="shared" si="76"/>
        <v>CNL</v>
      </c>
      <c r="C177" s="95" t="str">
        <f t="shared" si="77"/>
        <v>Commercial - Lighting</v>
      </c>
      <c r="E177" s="114"/>
      <c r="F177" s="114"/>
      <c r="I177" s="169"/>
      <c r="J177" s="171">
        <f t="shared" si="78"/>
        <v>0</v>
      </c>
      <c r="K177" s="171">
        <f t="shared" si="78"/>
        <v>0</v>
      </c>
      <c r="L177" s="171">
        <f t="shared" si="78"/>
        <v>0</v>
      </c>
      <c r="M177" s="171">
        <f t="shared" si="78"/>
        <v>0</v>
      </c>
      <c r="N177" s="171">
        <f t="shared" si="78"/>
        <v>0</v>
      </c>
      <c r="O177" s="171">
        <f t="shared" si="78"/>
        <v>0</v>
      </c>
      <c r="P177" s="171">
        <f t="shared" si="78"/>
        <v>0</v>
      </c>
      <c r="Q177" s="171">
        <f t="shared" si="78"/>
        <v>0</v>
      </c>
      <c r="R177" s="171">
        <f t="shared" si="78"/>
        <v>0</v>
      </c>
      <c r="S177" s="171">
        <f t="shared" si="78"/>
        <v>0</v>
      </c>
      <c r="T177" s="171">
        <f t="shared" si="78"/>
        <v>0</v>
      </c>
      <c r="U177" s="171">
        <f t="shared" si="78"/>
        <v>0</v>
      </c>
      <c r="V177" s="171">
        <f t="shared" si="78"/>
        <v>0</v>
      </c>
      <c r="W177" s="171">
        <f t="shared" si="78"/>
        <v>0</v>
      </c>
      <c r="X177" s="171">
        <f t="shared" si="78"/>
        <v>0</v>
      </c>
      <c r="Y177" s="171">
        <f t="shared" si="78"/>
        <v>0</v>
      </c>
      <c r="Z177" s="171">
        <f t="shared" si="79"/>
        <v>0</v>
      </c>
      <c r="AA177" s="171">
        <f t="shared" si="79"/>
        <v>0</v>
      </c>
      <c r="AB177" s="171">
        <f t="shared" si="79"/>
        <v>0</v>
      </c>
      <c r="AC177" s="171">
        <f t="shared" si="79"/>
        <v>0</v>
      </c>
      <c r="AD177" s="171">
        <f t="shared" si="79"/>
        <v>0</v>
      </c>
      <c r="AE177" s="171">
        <f t="shared" si="79"/>
        <v>0</v>
      </c>
      <c r="AF177" s="171">
        <f t="shared" si="79"/>
        <v>0</v>
      </c>
      <c r="AG177" s="171">
        <f t="shared" si="79"/>
        <v>0</v>
      </c>
      <c r="AH177" s="171">
        <f t="shared" si="79"/>
        <v>0</v>
      </c>
      <c r="AI177" s="171">
        <f t="shared" si="79"/>
        <v>0</v>
      </c>
      <c r="AJ177" s="171">
        <f t="shared" si="79"/>
        <v>0</v>
      </c>
      <c r="AK177" s="171">
        <f t="shared" si="79"/>
        <v>0</v>
      </c>
      <c r="AL177" s="171">
        <f t="shared" si="79"/>
        <v>0</v>
      </c>
      <c r="AM177" s="171">
        <f t="shared" si="79"/>
        <v>0</v>
      </c>
      <c r="AN177" s="171">
        <f t="shared" si="80"/>
        <v>0</v>
      </c>
      <c r="AO177" s="171">
        <f t="shared" si="80"/>
        <v>0</v>
      </c>
      <c r="AP177" s="171">
        <f t="shared" si="80"/>
        <v>0</v>
      </c>
      <c r="AQ177" s="171">
        <f t="shared" si="80"/>
        <v>0</v>
      </c>
      <c r="AR177" s="171">
        <f t="shared" si="80"/>
        <v>0</v>
      </c>
      <c r="AS177" s="171">
        <f t="shared" si="80"/>
        <v>0</v>
      </c>
      <c r="AT177" s="171">
        <f t="shared" si="80"/>
        <v>0</v>
      </c>
      <c r="AU177" s="171">
        <f t="shared" si="80"/>
        <v>0</v>
      </c>
      <c r="AV177" s="171">
        <f t="shared" si="80"/>
        <v>0</v>
      </c>
    </row>
    <row r="178" spans="1:48">
      <c r="A178" s="199" t="s">
        <v>16</v>
      </c>
      <c r="B178" s="95" t="str">
        <f t="shared" si="76"/>
        <v>CNR</v>
      </c>
      <c r="C178" s="95" t="str">
        <f t="shared" si="77"/>
        <v>Commercial - Refrigeration</v>
      </c>
      <c r="E178" s="114"/>
      <c r="F178" s="114"/>
      <c r="I178" s="169"/>
      <c r="J178" s="171">
        <f t="shared" si="78"/>
        <v>0</v>
      </c>
      <c r="K178" s="171">
        <f t="shared" si="78"/>
        <v>0</v>
      </c>
      <c r="L178" s="171">
        <f t="shared" si="78"/>
        <v>0</v>
      </c>
      <c r="M178" s="171">
        <f t="shared" si="78"/>
        <v>0</v>
      </c>
      <c r="N178" s="171">
        <f t="shared" si="78"/>
        <v>0</v>
      </c>
      <c r="O178" s="171">
        <f t="shared" si="78"/>
        <v>0</v>
      </c>
      <c r="P178" s="171">
        <f t="shared" si="78"/>
        <v>0</v>
      </c>
      <c r="Q178" s="171">
        <f t="shared" si="78"/>
        <v>0</v>
      </c>
      <c r="R178" s="171">
        <f t="shared" si="78"/>
        <v>0</v>
      </c>
      <c r="S178" s="171">
        <f t="shared" si="78"/>
        <v>0</v>
      </c>
      <c r="T178" s="171">
        <f t="shared" si="78"/>
        <v>0</v>
      </c>
      <c r="U178" s="171">
        <f t="shared" si="78"/>
        <v>0</v>
      </c>
      <c r="V178" s="171">
        <f t="shared" si="78"/>
        <v>0</v>
      </c>
      <c r="W178" s="171">
        <f t="shared" si="78"/>
        <v>0</v>
      </c>
      <c r="X178" s="171">
        <f t="shared" si="78"/>
        <v>0</v>
      </c>
      <c r="Y178" s="171">
        <f t="shared" si="78"/>
        <v>0</v>
      </c>
      <c r="Z178" s="171">
        <f t="shared" si="79"/>
        <v>0</v>
      </c>
      <c r="AA178" s="171">
        <f t="shared" si="79"/>
        <v>0</v>
      </c>
      <c r="AB178" s="171">
        <f t="shared" si="79"/>
        <v>0</v>
      </c>
      <c r="AC178" s="171">
        <f t="shared" si="79"/>
        <v>0</v>
      </c>
      <c r="AD178" s="171">
        <f t="shared" si="79"/>
        <v>0</v>
      </c>
      <c r="AE178" s="171">
        <f t="shared" si="79"/>
        <v>0</v>
      </c>
      <c r="AF178" s="171">
        <f t="shared" si="79"/>
        <v>0</v>
      </c>
      <c r="AG178" s="171">
        <f t="shared" si="79"/>
        <v>0</v>
      </c>
      <c r="AH178" s="171">
        <f t="shared" si="79"/>
        <v>0</v>
      </c>
      <c r="AI178" s="171">
        <f t="shared" si="79"/>
        <v>0</v>
      </c>
      <c r="AJ178" s="171">
        <f t="shared" si="79"/>
        <v>0</v>
      </c>
      <c r="AK178" s="171">
        <f t="shared" si="79"/>
        <v>0</v>
      </c>
      <c r="AL178" s="171">
        <f t="shared" si="79"/>
        <v>0</v>
      </c>
      <c r="AM178" s="171">
        <f t="shared" si="79"/>
        <v>0</v>
      </c>
      <c r="AN178" s="171">
        <f t="shared" si="80"/>
        <v>0</v>
      </c>
      <c r="AO178" s="171">
        <f t="shared" si="80"/>
        <v>0</v>
      </c>
      <c r="AP178" s="171">
        <f t="shared" si="80"/>
        <v>0</v>
      </c>
      <c r="AQ178" s="171">
        <f t="shared" si="80"/>
        <v>0</v>
      </c>
      <c r="AR178" s="171">
        <f t="shared" si="80"/>
        <v>0</v>
      </c>
      <c r="AS178" s="171">
        <f t="shared" si="80"/>
        <v>0</v>
      </c>
      <c r="AT178" s="171">
        <f t="shared" si="80"/>
        <v>0</v>
      </c>
      <c r="AU178" s="171">
        <f t="shared" si="80"/>
        <v>0</v>
      </c>
      <c r="AV178" s="171">
        <f t="shared" si="80"/>
        <v>0</v>
      </c>
    </row>
    <row r="179" spans="1:48">
      <c r="A179" s="199" t="s">
        <v>16</v>
      </c>
      <c r="B179" s="95" t="str">
        <f t="shared" si="76"/>
        <v>CNW</v>
      </c>
      <c r="C179" s="95" t="str">
        <f t="shared" si="77"/>
        <v>Commercial - Water Heating</v>
      </c>
      <c r="E179" s="114"/>
      <c r="F179" s="114"/>
      <c r="I179" s="169"/>
      <c r="J179" s="171">
        <f t="shared" si="78"/>
        <v>0</v>
      </c>
      <c r="K179" s="171">
        <f t="shared" si="78"/>
        <v>0</v>
      </c>
      <c r="L179" s="171">
        <f t="shared" si="78"/>
        <v>0</v>
      </c>
      <c r="M179" s="171">
        <f t="shared" si="78"/>
        <v>0</v>
      </c>
      <c r="N179" s="171">
        <f t="shared" si="78"/>
        <v>0</v>
      </c>
      <c r="O179" s="171">
        <f t="shared" si="78"/>
        <v>0</v>
      </c>
      <c r="P179" s="171">
        <f t="shared" si="78"/>
        <v>0</v>
      </c>
      <c r="Q179" s="171">
        <f t="shared" si="78"/>
        <v>0</v>
      </c>
      <c r="R179" s="171">
        <f t="shared" si="78"/>
        <v>0</v>
      </c>
      <c r="S179" s="171">
        <f t="shared" si="78"/>
        <v>0</v>
      </c>
      <c r="T179" s="171">
        <f t="shared" si="78"/>
        <v>0</v>
      </c>
      <c r="U179" s="171">
        <f t="shared" si="78"/>
        <v>0</v>
      </c>
      <c r="V179" s="171">
        <f t="shared" si="78"/>
        <v>0</v>
      </c>
      <c r="W179" s="171">
        <f t="shared" si="78"/>
        <v>0</v>
      </c>
      <c r="X179" s="171">
        <f t="shared" si="78"/>
        <v>0</v>
      </c>
      <c r="Y179" s="171">
        <f t="shared" si="78"/>
        <v>0</v>
      </c>
      <c r="Z179" s="171">
        <f t="shared" si="79"/>
        <v>0</v>
      </c>
      <c r="AA179" s="171">
        <f t="shared" si="79"/>
        <v>0</v>
      </c>
      <c r="AB179" s="171">
        <f t="shared" si="79"/>
        <v>0</v>
      </c>
      <c r="AC179" s="171">
        <f t="shared" si="79"/>
        <v>0</v>
      </c>
      <c r="AD179" s="171">
        <f t="shared" si="79"/>
        <v>0</v>
      </c>
      <c r="AE179" s="171">
        <f t="shared" si="79"/>
        <v>0</v>
      </c>
      <c r="AF179" s="171">
        <f t="shared" si="79"/>
        <v>0</v>
      </c>
      <c r="AG179" s="171">
        <f t="shared" si="79"/>
        <v>0</v>
      </c>
      <c r="AH179" s="171">
        <f t="shared" si="79"/>
        <v>0</v>
      </c>
      <c r="AI179" s="171">
        <f t="shared" si="79"/>
        <v>0</v>
      </c>
      <c r="AJ179" s="171">
        <f t="shared" si="79"/>
        <v>0</v>
      </c>
      <c r="AK179" s="171">
        <f t="shared" si="79"/>
        <v>0</v>
      </c>
      <c r="AL179" s="171">
        <f t="shared" si="79"/>
        <v>0</v>
      </c>
      <c r="AM179" s="171">
        <f t="shared" si="79"/>
        <v>0</v>
      </c>
      <c r="AN179" s="171">
        <f t="shared" si="80"/>
        <v>0</v>
      </c>
      <c r="AO179" s="171">
        <f t="shared" si="80"/>
        <v>0</v>
      </c>
      <c r="AP179" s="171">
        <f t="shared" si="80"/>
        <v>0</v>
      </c>
      <c r="AQ179" s="171">
        <f t="shared" si="80"/>
        <v>0</v>
      </c>
      <c r="AR179" s="171">
        <f t="shared" si="80"/>
        <v>0</v>
      </c>
      <c r="AS179" s="171">
        <f t="shared" si="80"/>
        <v>0</v>
      </c>
      <c r="AT179" s="171">
        <f t="shared" si="80"/>
        <v>0</v>
      </c>
      <c r="AU179" s="171">
        <f t="shared" si="80"/>
        <v>0</v>
      </c>
      <c r="AV179" s="171">
        <f t="shared" si="80"/>
        <v>0</v>
      </c>
    </row>
    <row r="180" spans="1:48">
      <c r="A180" s="199" t="s">
        <v>16</v>
      </c>
      <c r="B180" s="95" t="str">
        <f t="shared" si="76"/>
        <v>CNG</v>
      </c>
      <c r="C180" s="95" t="str">
        <f t="shared" si="77"/>
        <v>Commercial - Public lights</v>
      </c>
      <c r="E180" s="114"/>
      <c r="F180" s="114"/>
      <c r="I180" s="169"/>
      <c r="J180" s="171">
        <f t="shared" si="78"/>
        <v>0</v>
      </c>
      <c r="K180" s="171">
        <f t="shared" si="78"/>
        <v>0</v>
      </c>
      <c r="L180" s="171">
        <f t="shared" si="78"/>
        <v>0</v>
      </c>
      <c r="M180" s="171">
        <f t="shared" si="78"/>
        <v>0</v>
      </c>
      <c r="N180" s="171">
        <f t="shared" si="78"/>
        <v>0</v>
      </c>
      <c r="O180" s="171">
        <f t="shared" si="78"/>
        <v>0</v>
      </c>
      <c r="P180" s="171">
        <f t="shared" si="78"/>
        <v>0</v>
      </c>
      <c r="Q180" s="171">
        <f t="shared" si="78"/>
        <v>0</v>
      </c>
      <c r="R180" s="171">
        <f t="shared" si="78"/>
        <v>0</v>
      </c>
      <c r="S180" s="171">
        <f t="shared" si="78"/>
        <v>0</v>
      </c>
      <c r="T180" s="171">
        <f t="shared" si="78"/>
        <v>0</v>
      </c>
      <c r="U180" s="171">
        <f t="shared" si="78"/>
        <v>0</v>
      </c>
      <c r="V180" s="171">
        <f t="shared" si="78"/>
        <v>0</v>
      </c>
      <c r="W180" s="171">
        <f t="shared" si="78"/>
        <v>0</v>
      </c>
      <c r="X180" s="171">
        <f t="shared" si="78"/>
        <v>0</v>
      </c>
      <c r="Y180" s="171">
        <f t="shared" si="78"/>
        <v>0</v>
      </c>
      <c r="Z180" s="171">
        <f t="shared" si="79"/>
        <v>0</v>
      </c>
      <c r="AA180" s="171">
        <f t="shared" si="79"/>
        <v>0</v>
      </c>
      <c r="AB180" s="171">
        <f t="shared" si="79"/>
        <v>0</v>
      </c>
      <c r="AC180" s="171">
        <f t="shared" si="79"/>
        <v>0</v>
      </c>
      <c r="AD180" s="171">
        <f t="shared" si="79"/>
        <v>0</v>
      </c>
      <c r="AE180" s="171">
        <f t="shared" si="79"/>
        <v>0</v>
      </c>
      <c r="AF180" s="171">
        <f t="shared" si="79"/>
        <v>0</v>
      </c>
      <c r="AG180" s="171">
        <f t="shared" si="79"/>
        <v>0</v>
      </c>
      <c r="AH180" s="171">
        <f t="shared" si="79"/>
        <v>0</v>
      </c>
      <c r="AI180" s="171">
        <f t="shared" si="79"/>
        <v>0</v>
      </c>
      <c r="AJ180" s="171">
        <f t="shared" si="79"/>
        <v>0</v>
      </c>
      <c r="AK180" s="171">
        <f t="shared" si="79"/>
        <v>0</v>
      </c>
      <c r="AL180" s="171">
        <f t="shared" si="79"/>
        <v>0</v>
      </c>
      <c r="AM180" s="171">
        <f t="shared" si="79"/>
        <v>0</v>
      </c>
      <c r="AN180" s="171">
        <f t="shared" si="80"/>
        <v>0</v>
      </c>
      <c r="AO180" s="171">
        <f t="shared" si="80"/>
        <v>0</v>
      </c>
      <c r="AP180" s="171">
        <f t="shared" si="80"/>
        <v>0</v>
      </c>
      <c r="AQ180" s="171">
        <f t="shared" si="80"/>
        <v>0</v>
      </c>
      <c r="AR180" s="171">
        <f t="shared" si="80"/>
        <v>0</v>
      </c>
      <c r="AS180" s="171">
        <f t="shared" si="80"/>
        <v>0</v>
      </c>
      <c r="AT180" s="171">
        <f t="shared" si="80"/>
        <v>0</v>
      </c>
      <c r="AU180" s="171">
        <f t="shared" si="80"/>
        <v>0</v>
      </c>
      <c r="AV180" s="171">
        <f t="shared" si="80"/>
        <v>0</v>
      </c>
    </row>
    <row r="181" spans="1:48">
      <c r="A181" s="199" t="s">
        <v>16</v>
      </c>
      <c r="B181" s="95" t="str">
        <f t="shared" si="76"/>
        <v>CNT</v>
      </c>
      <c r="C181" s="95" t="str">
        <f t="shared" si="77"/>
        <v>Commercial - Public Water</v>
      </c>
      <c r="E181" s="114"/>
      <c r="F181" s="114"/>
      <c r="I181" s="169"/>
      <c r="J181" s="171">
        <f t="shared" si="78"/>
        <v>0</v>
      </c>
      <c r="K181" s="171">
        <f t="shared" si="78"/>
        <v>0</v>
      </c>
      <c r="L181" s="171">
        <f t="shared" si="78"/>
        <v>0</v>
      </c>
      <c r="M181" s="171">
        <f t="shared" si="78"/>
        <v>0</v>
      </c>
      <c r="N181" s="171">
        <f t="shared" si="78"/>
        <v>0</v>
      </c>
      <c r="O181" s="171">
        <f t="shared" si="78"/>
        <v>0</v>
      </c>
      <c r="P181" s="171">
        <f t="shared" si="78"/>
        <v>0</v>
      </c>
      <c r="Q181" s="171">
        <f t="shared" si="78"/>
        <v>0</v>
      </c>
      <c r="R181" s="171">
        <f t="shared" si="78"/>
        <v>0</v>
      </c>
      <c r="S181" s="171">
        <f t="shared" si="78"/>
        <v>0</v>
      </c>
      <c r="T181" s="171">
        <f t="shared" si="78"/>
        <v>0</v>
      </c>
      <c r="U181" s="171">
        <f t="shared" si="78"/>
        <v>0</v>
      </c>
      <c r="V181" s="171">
        <f t="shared" si="78"/>
        <v>0</v>
      </c>
      <c r="W181" s="171">
        <f t="shared" si="78"/>
        <v>0</v>
      </c>
      <c r="X181" s="171">
        <f t="shared" si="78"/>
        <v>0</v>
      </c>
      <c r="Y181" s="171">
        <f t="shared" si="78"/>
        <v>0</v>
      </c>
      <c r="Z181" s="171">
        <f t="shared" si="79"/>
        <v>0</v>
      </c>
      <c r="AA181" s="171">
        <f t="shared" si="79"/>
        <v>0</v>
      </c>
      <c r="AB181" s="171">
        <f t="shared" si="79"/>
        <v>0</v>
      </c>
      <c r="AC181" s="171">
        <f t="shared" si="79"/>
        <v>0</v>
      </c>
      <c r="AD181" s="171">
        <f t="shared" si="79"/>
        <v>0</v>
      </c>
      <c r="AE181" s="171">
        <f t="shared" si="79"/>
        <v>0</v>
      </c>
      <c r="AF181" s="171">
        <f t="shared" si="79"/>
        <v>0</v>
      </c>
      <c r="AG181" s="171">
        <f t="shared" si="79"/>
        <v>0</v>
      </c>
      <c r="AH181" s="171">
        <f t="shared" si="79"/>
        <v>0</v>
      </c>
      <c r="AI181" s="171">
        <f t="shared" si="79"/>
        <v>0</v>
      </c>
      <c r="AJ181" s="171">
        <f t="shared" si="79"/>
        <v>0</v>
      </c>
      <c r="AK181" s="171">
        <f t="shared" si="79"/>
        <v>0</v>
      </c>
      <c r="AL181" s="171">
        <f t="shared" si="79"/>
        <v>0</v>
      </c>
      <c r="AM181" s="171">
        <f t="shared" si="79"/>
        <v>0</v>
      </c>
      <c r="AN181" s="171">
        <f t="shared" si="80"/>
        <v>0</v>
      </c>
      <c r="AO181" s="171">
        <f t="shared" si="80"/>
        <v>0</v>
      </c>
      <c r="AP181" s="171">
        <f t="shared" si="80"/>
        <v>0</v>
      </c>
      <c r="AQ181" s="171">
        <f t="shared" si="80"/>
        <v>0</v>
      </c>
      <c r="AR181" s="171">
        <f t="shared" si="80"/>
        <v>0</v>
      </c>
      <c r="AS181" s="171">
        <f t="shared" si="80"/>
        <v>0</v>
      </c>
      <c r="AT181" s="171">
        <f t="shared" si="80"/>
        <v>0</v>
      </c>
      <c r="AU181" s="171">
        <f t="shared" si="80"/>
        <v>0</v>
      </c>
      <c r="AV181" s="171">
        <f t="shared" si="80"/>
        <v>0</v>
      </c>
    </row>
    <row r="182" spans="1:48">
      <c r="A182" s="199" t="s">
        <v>16</v>
      </c>
      <c r="B182" s="95" t="str">
        <f t="shared" si="76"/>
        <v>CNO</v>
      </c>
      <c r="C182" s="95" t="str">
        <f t="shared" si="77"/>
        <v>Commercial - Other</v>
      </c>
      <c r="E182" s="114"/>
      <c r="F182" s="114"/>
      <c r="I182" s="169"/>
      <c r="J182" s="171">
        <f t="shared" si="78"/>
        <v>0</v>
      </c>
      <c r="K182" s="171">
        <f t="shared" si="78"/>
        <v>0</v>
      </c>
      <c r="L182" s="171">
        <f t="shared" si="78"/>
        <v>0</v>
      </c>
      <c r="M182" s="171">
        <f t="shared" si="78"/>
        <v>0</v>
      </c>
      <c r="N182" s="171">
        <f t="shared" si="78"/>
        <v>0</v>
      </c>
      <c r="O182" s="171">
        <f t="shared" si="78"/>
        <v>0</v>
      </c>
      <c r="P182" s="171">
        <f t="shared" si="78"/>
        <v>0</v>
      </c>
      <c r="Q182" s="171">
        <f t="shared" si="78"/>
        <v>0</v>
      </c>
      <c r="R182" s="171">
        <f t="shared" si="78"/>
        <v>0</v>
      </c>
      <c r="S182" s="171">
        <f t="shared" si="78"/>
        <v>0</v>
      </c>
      <c r="T182" s="171">
        <f t="shared" si="78"/>
        <v>0</v>
      </c>
      <c r="U182" s="171">
        <f t="shared" si="78"/>
        <v>0</v>
      </c>
      <c r="V182" s="171">
        <f t="shared" si="78"/>
        <v>0</v>
      </c>
      <c r="W182" s="171">
        <f t="shared" si="78"/>
        <v>0</v>
      </c>
      <c r="X182" s="171">
        <f t="shared" si="78"/>
        <v>0</v>
      </c>
      <c r="Y182" s="171">
        <f t="shared" si="78"/>
        <v>0</v>
      </c>
      <c r="Z182" s="171">
        <f t="shared" si="79"/>
        <v>0</v>
      </c>
      <c r="AA182" s="171">
        <f t="shared" si="79"/>
        <v>0</v>
      </c>
      <c r="AB182" s="171">
        <f t="shared" si="79"/>
        <v>0</v>
      </c>
      <c r="AC182" s="171">
        <f t="shared" si="79"/>
        <v>0</v>
      </c>
      <c r="AD182" s="171">
        <f t="shared" si="79"/>
        <v>0</v>
      </c>
      <c r="AE182" s="171">
        <f t="shared" si="79"/>
        <v>0</v>
      </c>
      <c r="AF182" s="171">
        <f t="shared" si="79"/>
        <v>0</v>
      </c>
      <c r="AG182" s="171">
        <f t="shared" si="79"/>
        <v>0</v>
      </c>
      <c r="AH182" s="171">
        <f t="shared" si="79"/>
        <v>0</v>
      </c>
      <c r="AI182" s="171">
        <f t="shared" si="79"/>
        <v>0</v>
      </c>
      <c r="AJ182" s="171">
        <f t="shared" si="79"/>
        <v>0</v>
      </c>
      <c r="AK182" s="171">
        <f t="shared" si="79"/>
        <v>0</v>
      </c>
      <c r="AL182" s="171">
        <f t="shared" si="79"/>
        <v>0</v>
      </c>
      <c r="AM182" s="171">
        <f t="shared" si="79"/>
        <v>0</v>
      </c>
      <c r="AN182" s="171">
        <f t="shared" si="80"/>
        <v>0</v>
      </c>
      <c r="AO182" s="171">
        <f t="shared" si="80"/>
        <v>0</v>
      </c>
      <c r="AP182" s="171">
        <f t="shared" si="80"/>
        <v>0</v>
      </c>
      <c r="AQ182" s="171">
        <f t="shared" si="80"/>
        <v>0</v>
      </c>
      <c r="AR182" s="171">
        <f t="shared" si="80"/>
        <v>0</v>
      </c>
      <c r="AS182" s="171">
        <f t="shared" si="80"/>
        <v>0</v>
      </c>
      <c r="AT182" s="171">
        <f t="shared" si="80"/>
        <v>0</v>
      </c>
      <c r="AU182" s="171">
        <f t="shared" si="80"/>
        <v>0</v>
      </c>
      <c r="AV182" s="171">
        <f t="shared" si="80"/>
        <v>0</v>
      </c>
    </row>
    <row r="183" spans="1:48">
      <c r="A183" s="199" t="s">
        <v>16</v>
      </c>
      <c r="E183" s="114"/>
      <c r="F183" s="114"/>
      <c r="I183" s="169"/>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row>
    <row r="184" spans="1:48">
      <c r="A184" s="199" t="s">
        <v>16</v>
      </c>
      <c r="E184" s="114"/>
      <c r="F184" s="114"/>
      <c r="I184" s="169"/>
      <c r="J184" s="171"/>
      <c r="K184" s="171"/>
      <c r="L184" s="171"/>
      <c r="M184" s="171"/>
      <c r="N184" s="171"/>
      <c r="O184" s="171"/>
      <c r="P184" s="171"/>
      <c r="Q184" s="171"/>
      <c r="R184" s="171"/>
      <c r="S184" s="171"/>
      <c r="T184" s="171"/>
      <c r="U184" s="171"/>
      <c r="V184" s="171"/>
      <c r="W184" s="171"/>
      <c r="X184" s="171"/>
      <c r="Y184" s="171"/>
      <c r="Z184" s="171"/>
      <c r="AA184" s="171"/>
      <c r="AB184" s="171"/>
      <c r="AC184" s="171"/>
      <c r="AD184" s="171"/>
      <c r="AE184" s="171"/>
      <c r="AF184" s="171"/>
      <c r="AG184" s="171"/>
      <c r="AH184" s="171"/>
      <c r="AI184" s="171"/>
      <c r="AJ184" s="171"/>
      <c r="AK184" s="171"/>
      <c r="AL184" s="171"/>
      <c r="AM184" s="171"/>
      <c r="AN184" s="171"/>
      <c r="AO184" s="171"/>
      <c r="AP184" s="171"/>
      <c r="AQ184" s="171"/>
      <c r="AR184" s="171"/>
      <c r="AS184" s="171"/>
      <c r="AT184" s="171"/>
      <c r="AU184" s="171"/>
      <c r="AV184" s="171"/>
    </row>
    <row r="185" spans="1:48" ht="15.75" thickBot="1">
      <c r="A185" s="199" t="s">
        <v>16</v>
      </c>
      <c r="B185" s="93" t="s">
        <v>484</v>
      </c>
      <c r="C185" s="93"/>
      <c r="D185" s="93"/>
      <c r="E185" s="93"/>
      <c r="F185" s="93"/>
      <c r="G185" s="93"/>
      <c r="H185" s="93"/>
      <c r="I185" s="169" t="s">
        <v>231</v>
      </c>
      <c r="J185" s="171"/>
      <c r="K185" s="171"/>
      <c r="L185" s="171"/>
      <c r="M185" s="171"/>
      <c r="N185" s="171"/>
      <c r="O185" s="171"/>
      <c r="P185" s="171"/>
      <c r="Q185" s="171"/>
      <c r="R185" s="171"/>
      <c r="S185" s="171"/>
      <c r="T185" s="171"/>
      <c r="U185" s="171"/>
      <c r="V185" s="171"/>
      <c r="W185" s="171"/>
      <c r="X185" s="171"/>
      <c r="Y185" s="171"/>
      <c r="Z185" s="171"/>
      <c r="AA185" s="171"/>
      <c r="AB185" s="171"/>
      <c r="AC185" s="171"/>
      <c r="AD185" s="171"/>
      <c r="AE185" s="171"/>
      <c r="AF185" s="171"/>
      <c r="AG185" s="171"/>
      <c r="AH185" s="171"/>
      <c r="AI185" s="171"/>
      <c r="AJ185" s="171"/>
      <c r="AK185" s="171"/>
      <c r="AL185" s="171"/>
      <c r="AM185" s="171"/>
      <c r="AN185" s="171"/>
      <c r="AO185" s="171"/>
      <c r="AP185" s="171"/>
      <c r="AQ185" s="171"/>
      <c r="AR185" s="171"/>
      <c r="AS185" s="171"/>
      <c r="AT185" s="171"/>
      <c r="AU185" s="171"/>
      <c r="AV185" s="171"/>
    </row>
    <row r="186" spans="1:48">
      <c r="A186" s="199" t="s">
        <v>16</v>
      </c>
      <c r="B186" s="95" t="str">
        <f t="shared" ref="B186:C194" si="81">B174</f>
        <v>CNC</v>
      </c>
      <c r="C186" s="95" t="str">
        <f t="shared" si="81"/>
        <v>Commercial - Cooling</v>
      </c>
      <c r="E186" s="114"/>
      <c r="F186" s="114"/>
      <c r="I186" s="169"/>
      <c r="J186" s="171">
        <f t="shared" ref="J186:Y194" si="82">INDEX(J$49:J$52,MATCH($I$185,$B$49:$B$52,0),1)*INDEX(J$81:J$89,MATCH($B186,$B$81:$B$89,0))*INDEX(J$116:J$124,MATCH($B186,$B$116:$B$124,0))/1000</f>
        <v>0</v>
      </c>
      <c r="K186" s="171">
        <f t="shared" si="82"/>
        <v>0</v>
      </c>
      <c r="L186" s="171">
        <f t="shared" si="82"/>
        <v>0</v>
      </c>
      <c r="M186" s="171">
        <f t="shared" si="82"/>
        <v>0</v>
      </c>
      <c r="N186" s="171">
        <f t="shared" si="82"/>
        <v>0</v>
      </c>
      <c r="O186" s="171">
        <f t="shared" si="82"/>
        <v>0</v>
      </c>
      <c r="P186" s="171">
        <f>INDEX(P$49:P$52,MATCH($I$185,$B$49:$B$52,0),1)*INDEX(P$81:P$89,MATCH($B186,$B$81:$B$89,0))*INDEX(P$116:P$124,MATCH($B186,$B$116:$B$124,0))/1000</f>
        <v>1.5826011087333609</v>
      </c>
      <c r="Q186" s="171">
        <f t="shared" si="82"/>
        <v>3.2727888378763019</v>
      </c>
      <c r="R186" s="171">
        <f t="shared" si="82"/>
        <v>4.2350555604682834</v>
      </c>
      <c r="S186" s="171">
        <f t="shared" si="82"/>
        <v>6.9865713245222709</v>
      </c>
      <c r="T186" s="171">
        <f t="shared" si="82"/>
        <v>9.5382195921774695</v>
      </c>
      <c r="U186" s="171">
        <f t="shared" si="82"/>
        <v>12.18816823106461</v>
      </c>
      <c r="V186" s="171">
        <f>INDEX(V$49:V$52,MATCH($I$185,$B$49:$B$52,0),1)*INDEX(V$81:V$89,MATCH($B186,$B$81:$B$89,0))*INDEX(V$116:V$124,MATCH($B186,$B$116:$B$124,0))/1000</f>
        <v>15.058014233357381</v>
      </c>
      <c r="W186" s="171">
        <f t="shared" si="82"/>
        <v>18.0587040628129</v>
      </c>
      <c r="X186" s="171">
        <f t="shared" si="82"/>
        <v>21.254882101581867</v>
      </c>
      <c r="Y186" s="171">
        <f t="shared" si="82"/>
        <v>24.574843752621046</v>
      </c>
      <c r="Z186" s="171">
        <f t="shared" ref="Z186:AO194" si="83">INDEX(Z$49:Z$52,MATCH($I$185,$B$49:$B$52,0),1)*INDEX(Z$81:Z$89,MATCH($B186,$B$81:$B$89,0))*INDEX(Z$116:Z$124,MATCH($B186,$B$116:$B$124,0))/1000</f>
        <v>28.029717456467147</v>
      </c>
      <c r="AA186" s="171">
        <f t="shared" si="83"/>
        <v>31.736854262008961</v>
      </c>
      <c r="AB186" s="171">
        <f t="shared" si="83"/>
        <v>35.540881304224548</v>
      </c>
      <c r="AC186" s="171">
        <f t="shared" si="83"/>
        <v>35.540881304224548</v>
      </c>
      <c r="AD186" s="171">
        <f t="shared" si="83"/>
        <v>35.540881304224548</v>
      </c>
      <c r="AE186" s="171">
        <f t="shared" si="83"/>
        <v>35.540881304224548</v>
      </c>
      <c r="AF186" s="171">
        <f t="shared" si="83"/>
        <v>35.540881304224548</v>
      </c>
      <c r="AG186" s="171">
        <f t="shared" si="83"/>
        <v>35.540881304224548</v>
      </c>
      <c r="AH186" s="171">
        <f t="shared" si="83"/>
        <v>35.540881304224548</v>
      </c>
      <c r="AI186" s="171">
        <f t="shared" si="83"/>
        <v>35.540881304224548</v>
      </c>
      <c r="AJ186" s="171">
        <f t="shared" si="83"/>
        <v>35.540881304224548</v>
      </c>
      <c r="AK186" s="171">
        <f t="shared" si="83"/>
        <v>35.540881304224548</v>
      </c>
      <c r="AL186" s="171">
        <f t="shared" si="83"/>
        <v>35.540881304224548</v>
      </c>
      <c r="AM186" s="171">
        <f t="shared" si="83"/>
        <v>35.540881304224548</v>
      </c>
      <c r="AN186" s="171">
        <f t="shared" si="83"/>
        <v>35.540881304224548</v>
      </c>
      <c r="AO186" s="171">
        <f t="shared" si="83"/>
        <v>35.540881304224548</v>
      </c>
      <c r="AP186" s="171">
        <f t="shared" ref="AN186:AV194" si="84">INDEX(AP$49:AP$52,MATCH($I$185,$B$49:$B$52,0),1)*INDEX(AP$81:AP$89,MATCH($B186,$B$81:$B$89,0))*INDEX(AP$116:AP$124,MATCH($B186,$B$116:$B$124,0))/1000</f>
        <v>35.540881304224548</v>
      </c>
      <c r="AQ186" s="171">
        <f t="shared" si="84"/>
        <v>35.540881304224548</v>
      </c>
      <c r="AR186" s="171">
        <f t="shared" si="84"/>
        <v>35.540881304224548</v>
      </c>
      <c r="AS186" s="171">
        <f t="shared" si="84"/>
        <v>35.540881304224548</v>
      </c>
      <c r="AT186" s="171">
        <f t="shared" si="84"/>
        <v>35.540881304224548</v>
      </c>
      <c r="AU186" s="171">
        <f t="shared" si="84"/>
        <v>35.540881304224548</v>
      </c>
      <c r="AV186" s="171">
        <f t="shared" si="84"/>
        <v>35.540881304224548</v>
      </c>
    </row>
    <row r="187" spans="1:48">
      <c r="A187" s="199" t="s">
        <v>16</v>
      </c>
      <c r="B187" s="95" t="str">
        <f t="shared" si="81"/>
        <v>CNH</v>
      </c>
      <c r="C187" s="95" t="str">
        <f t="shared" si="81"/>
        <v>Commercial - Space Heating</v>
      </c>
      <c r="E187" s="114"/>
      <c r="F187" s="114"/>
      <c r="I187" s="169"/>
      <c r="J187" s="171">
        <f t="shared" si="82"/>
        <v>0</v>
      </c>
      <c r="K187" s="171">
        <f t="shared" si="82"/>
        <v>0</v>
      </c>
      <c r="L187" s="171">
        <f t="shared" si="82"/>
        <v>0</v>
      </c>
      <c r="M187" s="171">
        <f t="shared" si="82"/>
        <v>0</v>
      </c>
      <c r="N187" s="171">
        <f t="shared" si="82"/>
        <v>0</v>
      </c>
      <c r="O187" s="171">
        <f t="shared" si="82"/>
        <v>0</v>
      </c>
      <c r="P187" s="171">
        <f t="shared" si="82"/>
        <v>0.15092687254753431</v>
      </c>
      <c r="Q187" s="171">
        <f t="shared" si="82"/>
        <v>0.31211388712123755</v>
      </c>
      <c r="R187" s="171">
        <f t="shared" si="82"/>
        <v>0.40388174081218448</v>
      </c>
      <c r="S187" s="171">
        <f t="shared" si="82"/>
        <v>0.66628372368851163</v>
      </c>
      <c r="T187" s="171">
        <f t="shared" si="82"/>
        <v>0.9096250753110684</v>
      </c>
      <c r="U187" s="171">
        <f t="shared" si="82"/>
        <v>1.1623409733802483</v>
      </c>
      <c r="V187" s="171">
        <f t="shared" si="82"/>
        <v>1.4360276777739756</v>
      </c>
      <c r="W187" s="171">
        <f t="shared" si="82"/>
        <v>1.722192478838334</v>
      </c>
      <c r="X187" s="171">
        <f t="shared" si="82"/>
        <v>2.0270002745832731</v>
      </c>
      <c r="Y187" s="171">
        <f t="shared" si="82"/>
        <v>2.3436128601577431</v>
      </c>
      <c r="Z187" s="171">
        <f t="shared" si="83"/>
        <v>2.6730915141854394</v>
      </c>
      <c r="AA187" s="171">
        <f t="shared" si="83"/>
        <v>3.0266275764810642</v>
      </c>
      <c r="AB187" s="171">
        <f t="shared" si="83"/>
        <v>3.3894037058541517</v>
      </c>
      <c r="AC187" s="171">
        <f t="shared" si="83"/>
        <v>3.3894037058541517</v>
      </c>
      <c r="AD187" s="171">
        <f t="shared" si="83"/>
        <v>3.3894037058541517</v>
      </c>
      <c r="AE187" s="171">
        <f t="shared" si="83"/>
        <v>3.3894037058541517</v>
      </c>
      <c r="AF187" s="171">
        <f t="shared" si="83"/>
        <v>3.3894037058541517</v>
      </c>
      <c r="AG187" s="171">
        <f t="shared" si="83"/>
        <v>3.3894037058541517</v>
      </c>
      <c r="AH187" s="171">
        <f t="shared" si="83"/>
        <v>3.3894037058541517</v>
      </c>
      <c r="AI187" s="171">
        <f t="shared" si="83"/>
        <v>3.3894037058541517</v>
      </c>
      <c r="AJ187" s="171">
        <f t="shared" si="83"/>
        <v>3.3894037058541517</v>
      </c>
      <c r="AK187" s="171">
        <f t="shared" si="83"/>
        <v>3.3894037058541517</v>
      </c>
      <c r="AL187" s="171">
        <f t="shared" si="83"/>
        <v>3.3894037058541517</v>
      </c>
      <c r="AM187" s="171">
        <f t="shared" si="83"/>
        <v>3.3894037058541517</v>
      </c>
      <c r="AN187" s="171">
        <f t="shared" si="84"/>
        <v>3.3894037058541517</v>
      </c>
      <c r="AO187" s="171">
        <f t="shared" si="84"/>
        <v>3.3894037058541517</v>
      </c>
      <c r="AP187" s="171">
        <f t="shared" si="84"/>
        <v>3.3894037058541517</v>
      </c>
      <c r="AQ187" s="171">
        <f t="shared" si="84"/>
        <v>3.3894037058541517</v>
      </c>
      <c r="AR187" s="171">
        <f t="shared" si="84"/>
        <v>3.3894037058541517</v>
      </c>
      <c r="AS187" s="171">
        <f t="shared" si="84"/>
        <v>3.3894037058541517</v>
      </c>
      <c r="AT187" s="171">
        <f t="shared" si="84"/>
        <v>3.3894037058541517</v>
      </c>
      <c r="AU187" s="171">
        <f t="shared" si="84"/>
        <v>3.3894037058541517</v>
      </c>
      <c r="AV187" s="171">
        <f t="shared" si="84"/>
        <v>3.3894037058541517</v>
      </c>
    </row>
    <row r="188" spans="1:48">
      <c r="A188" s="199" t="s">
        <v>16</v>
      </c>
      <c r="B188" s="95" t="str">
        <f t="shared" si="81"/>
        <v>CNK</v>
      </c>
      <c r="C188" s="95" t="str">
        <f t="shared" si="81"/>
        <v>Commercial - Cooking</v>
      </c>
      <c r="E188" s="114"/>
      <c r="F188" s="114"/>
      <c r="I188" s="169"/>
      <c r="J188" s="171">
        <f t="shared" si="82"/>
        <v>0</v>
      </c>
      <c r="K188" s="171">
        <f t="shared" si="82"/>
        <v>0</v>
      </c>
      <c r="L188" s="171">
        <f t="shared" si="82"/>
        <v>0</v>
      </c>
      <c r="M188" s="171">
        <f t="shared" si="82"/>
        <v>0</v>
      </c>
      <c r="N188" s="171">
        <f t="shared" si="82"/>
        <v>0</v>
      </c>
      <c r="O188" s="171">
        <f t="shared" si="82"/>
        <v>0</v>
      </c>
      <c r="P188" s="171">
        <f t="shared" si="82"/>
        <v>0.1128855701047503</v>
      </c>
      <c r="Q188" s="171">
        <f t="shared" si="82"/>
        <v>0.23344520091472726</v>
      </c>
      <c r="R188" s="171">
        <f t="shared" si="82"/>
        <v>0.30208285507355981</v>
      </c>
      <c r="S188" s="171">
        <f t="shared" si="82"/>
        <v>0.49834609788528561</v>
      </c>
      <c r="T188" s="171">
        <f t="shared" si="82"/>
        <v>0.68035296481563456</v>
      </c>
      <c r="U188" s="171">
        <f t="shared" si="82"/>
        <v>0.86937151231842269</v>
      </c>
      <c r="V188" s="171">
        <f t="shared" si="82"/>
        <v>1.074075148815268</v>
      </c>
      <c r="W188" s="171">
        <f t="shared" si="82"/>
        <v>1.2881117624864913</v>
      </c>
      <c r="X188" s="171">
        <f t="shared" si="82"/>
        <v>1.5160923812739298</v>
      </c>
      <c r="Y188" s="171">
        <f t="shared" si="82"/>
        <v>1.7529023782057647</v>
      </c>
      <c r="Z188" s="171">
        <f t="shared" si="83"/>
        <v>1.9993355353332225</v>
      </c>
      <c r="AA188" s="171">
        <f t="shared" si="83"/>
        <v>2.2637624016108679</v>
      </c>
      <c r="AB188" s="171">
        <f t="shared" si="83"/>
        <v>2.5351003647809307</v>
      </c>
      <c r="AC188" s="171">
        <f t="shared" si="83"/>
        <v>2.5351003647809307</v>
      </c>
      <c r="AD188" s="171">
        <f t="shared" si="83"/>
        <v>2.5351003647809307</v>
      </c>
      <c r="AE188" s="171">
        <f t="shared" si="83"/>
        <v>2.5351003647809307</v>
      </c>
      <c r="AF188" s="171">
        <f t="shared" si="83"/>
        <v>2.5351003647809307</v>
      </c>
      <c r="AG188" s="171">
        <f t="shared" si="83"/>
        <v>2.5351003647809307</v>
      </c>
      <c r="AH188" s="171">
        <f t="shared" si="83"/>
        <v>2.5351003647809307</v>
      </c>
      <c r="AI188" s="171">
        <f t="shared" si="83"/>
        <v>2.5351003647809307</v>
      </c>
      <c r="AJ188" s="171">
        <f t="shared" si="83"/>
        <v>2.5351003647809307</v>
      </c>
      <c r="AK188" s="171">
        <f t="shared" si="83"/>
        <v>2.5351003647809307</v>
      </c>
      <c r="AL188" s="171">
        <f t="shared" si="83"/>
        <v>2.5351003647809307</v>
      </c>
      <c r="AM188" s="171">
        <f t="shared" si="83"/>
        <v>2.5351003647809307</v>
      </c>
      <c r="AN188" s="171">
        <f t="shared" si="84"/>
        <v>2.5351003647809307</v>
      </c>
      <c r="AO188" s="171">
        <f t="shared" si="84"/>
        <v>2.5351003647809307</v>
      </c>
      <c r="AP188" s="171">
        <f t="shared" si="84"/>
        <v>2.5351003647809307</v>
      </c>
      <c r="AQ188" s="171">
        <f t="shared" si="84"/>
        <v>2.5351003647809307</v>
      </c>
      <c r="AR188" s="171">
        <f t="shared" si="84"/>
        <v>2.5351003647809307</v>
      </c>
      <c r="AS188" s="171">
        <f t="shared" si="84"/>
        <v>2.5351003647809307</v>
      </c>
      <c r="AT188" s="171">
        <f t="shared" si="84"/>
        <v>2.5351003647809307</v>
      </c>
      <c r="AU188" s="171">
        <f t="shared" si="84"/>
        <v>2.5351003647809307</v>
      </c>
      <c r="AV188" s="171">
        <f t="shared" si="84"/>
        <v>2.5351003647809307</v>
      </c>
    </row>
    <row r="189" spans="1:48">
      <c r="A189" s="199" t="s">
        <v>16</v>
      </c>
      <c r="B189" s="95" t="str">
        <f t="shared" si="81"/>
        <v>CNL</v>
      </c>
      <c r="C189" s="95" t="str">
        <f t="shared" si="81"/>
        <v>Commercial - Lighting</v>
      </c>
      <c r="E189" s="114"/>
      <c r="F189" s="114"/>
      <c r="I189" s="169"/>
      <c r="J189" s="171">
        <f t="shared" si="82"/>
        <v>0</v>
      </c>
      <c r="K189" s="171">
        <f t="shared" si="82"/>
        <v>0</v>
      </c>
      <c r="L189" s="171">
        <f t="shared" si="82"/>
        <v>0</v>
      </c>
      <c r="M189" s="171">
        <f t="shared" si="82"/>
        <v>0</v>
      </c>
      <c r="N189" s="171">
        <f t="shared" si="82"/>
        <v>0</v>
      </c>
      <c r="O189" s="171">
        <f t="shared" si="82"/>
        <v>0</v>
      </c>
      <c r="P189" s="171">
        <f t="shared" si="82"/>
        <v>1.3772283906971867</v>
      </c>
      <c r="Q189" s="171">
        <f t="shared" si="82"/>
        <v>2.848081983139509</v>
      </c>
      <c r="R189" s="171">
        <f t="shared" si="82"/>
        <v>3.6854762213107977</v>
      </c>
      <c r="S189" s="171">
        <f t="shared" si="82"/>
        <v>6.0799302671182867</v>
      </c>
      <c r="T189" s="171">
        <f t="shared" si="82"/>
        <v>8.300453441211495</v>
      </c>
      <c r="U189" s="171">
        <f t="shared" si="82"/>
        <v>10.606520636049803</v>
      </c>
      <c r="V189" s="171">
        <f t="shared" si="82"/>
        <v>13.103949311838974</v>
      </c>
      <c r="W189" s="171">
        <f t="shared" si="82"/>
        <v>15.715242329389051</v>
      </c>
      <c r="X189" s="171">
        <f t="shared" si="82"/>
        <v>18.496655227702085</v>
      </c>
      <c r="Y189" s="171">
        <f t="shared" si="82"/>
        <v>21.385788450600277</v>
      </c>
      <c r="Z189" s="171">
        <f t="shared" si="83"/>
        <v>24.392326310932113</v>
      </c>
      <c r="AA189" s="171">
        <f t="shared" si="83"/>
        <v>27.618391317847799</v>
      </c>
      <c r="AB189" s="171">
        <f t="shared" si="83"/>
        <v>30.928773202839785</v>
      </c>
      <c r="AC189" s="171">
        <f t="shared" si="83"/>
        <v>30.928773202839785</v>
      </c>
      <c r="AD189" s="171">
        <f t="shared" si="83"/>
        <v>30.928773202839785</v>
      </c>
      <c r="AE189" s="171">
        <f t="shared" si="83"/>
        <v>30.928773202839785</v>
      </c>
      <c r="AF189" s="171">
        <f t="shared" si="83"/>
        <v>30.928773202839785</v>
      </c>
      <c r="AG189" s="171">
        <f t="shared" si="83"/>
        <v>30.928773202839785</v>
      </c>
      <c r="AH189" s="171">
        <f t="shared" si="83"/>
        <v>30.928773202839785</v>
      </c>
      <c r="AI189" s="171">
        <f t="shared" si="83"/>
        <v>30.928773202839785</v>
      </c>
      <c r="AJ189" s="171">
        <f t="shared" si="83"/>
        <v>30.928773202839785</v>
      </c>
      <c r="AK189" s="171">
        <f t="shared" si="83"/>
        <v>30.928773202839785</v>
      </c>
      <c r="AL189" s="171">
        <f t="shared" si="83"/>
        <v>30.928773202839785</v>
      </c>
      <c r="AM189" s="171">
        <f t="shared" si="83"/>
        <v>30.928773202839785</v>
      </c>
      <c r="AN189" s="171">
        <f t="shared" si="84"/>
        <v>30.928773202839785</v>
      </c>
      <c r="AO189" s="171">
        <f t="shared" si="84"/>
        <v>30.928773202839785</v>
      </c>
      <c r="AP189" s="171">
        <f t="shared" si="84"/>
        <v>30.928773202839785</v>
      </c>
      <c r="AQ189" s="171">
        <f t="shared" si="84"/>
        <v>30.928773202839785</v>
      </c>
      <c r="AR189" s="171">
        <f t="shared" si="84"/>
        <v>30.928773202839785</v>
      </c>
      <c r="AS189" s="171">
        <f t="shared" si="84"/>
        <v>30.928773202839785</v>
      </c>
      <c r="AT189" s="171">
        <f t="shared" si="84"/>
        <v>30.928773202839785</v>
      </c>
      <c r="AU189" s="171">
        <f t="shared" si="84"/>
        <v>30.928773202839785</v>
      </c>
      <c r="AV189" s="171">
        <f t="shared" si="84"/>
        <v>30.928773202839785</v>
      </c>
    </row>
    <row r="190" spans="1:48">
      <c r="A190" s="199" t="s">
        <v>16</v>
      </c>
      <c r="B190" s="95" t="str">
        <f t="shared" si="81"/>
        <v>CNR</v>
      </c>
      <c r="C190" s="95" t="str">
        <f t="shared" si="81"/>
        <v>Commercial - Refrigeration</v>
      </c>
      <c r="E190" s="114"/>
      <c r="F190" s="114"/>
      <c r="I190" s="169"/>
      <c r="J190" s="171">
        <f t="shared" si="82"/>
        <v>0</v>
      </c>
      <c r="K190" s="171">
        <f t="shared" si="82"/>
        <v>0</v>
      </c>
      <c r="L190" s="171">
        <f t="shared" si="82"/>
        <v>0</v>
      </c>
      <c r="M190" s="171">
        <f t="shared" si="82"/>
        <v>0</v>
      </c>
      <c r="N190" s="171">
        <f t="shared" si="82"/>
        <v>0</v>
      </c>
      <c r="O190" s="171">
        <f t="shared" si="82"/>
        <v>0</v>
      </c>
      <c r="P190" s="171">
        <f t="shared" si="82"/>
        <v>0.3350302874487357</v>
      </c>
      <c r="Q190" s="171">
        <f t="shared" si="82"/>
        <v>0.69283622958553637</v>
      </c>
      <c r="R190" s="171">
        <f t="shared" si="82"/>
        <v>0.89654422327597971</v>
      </c>
      <c r="S190" s="171">
        <f t="shared" si="82"/>
        <v>1.4790290403683508</v>
      </c>
      <c r="T190" s="171">
        <f t="shared" si="82"/>
        <v>2.0192027125988692</v>
      </c>
      <c r="U190" s="171">
        <f t="shared" si="82"/>
        <v>2.5801861779278608</v>
      </c>
      <c r="V190" s="171">
        <f t="shared" si="82"/>
        <v>3.1877210303780017</v>
      </c>
      <c r="W190" s="171">
        <f t="shared" si="82"/>
        <v>3.8229549946152637</v>
      </c>
      <c r="X190" s="171">
        <f t="shared" si="82"/>
        <v>4.4995730262575746</v>
      </c>
      <c r="Y190" s="171">
        <f t="shared" si="82"/>
        <v>5.2023955505995785</v>
      </c>
      <c r="Z190" s="171">
        <f t="shared" si="83"/>
        <v>5.9337784137299057</v>
      </c>
      <c r="AA190" s="171">
        <f t="shared" si="83"/>
        <v>6.7185643605605021</v>
      </c>
      <c r="AB190" s="171">
        <f t="shared" si="83"/>
        <v>7.523861580676992</v>
      </c>
      <c r="AC190" s="171">
        <f t="shared" si="83"/>
        <v>7.523861580676992</v>
      </c>
      <c r="AD190" s="171">
        <f t="shared" si="83"/>
        <v>7.523861580676992</v>
      </c>
      <c r="AE190" s="171">
        <f t="shared" si="83"/>
        <v>7.523861580676992</v>
      </c>
      <c r="AF190" s="171">
        <f t="shared" si="83"/>
        <v>7.523861580676992</v>
      </c>
      <c r="AG190" s="171">
        <f t="shared" si="83"/>
        <v>7.523861580676992</v>
      </c>
      <c r="AH190" s="171">
        <f t="shared" si="83"/>
        <v>7.523861580676992</v>
      </c>
      <c r="AI190" s="171">
        <f t="shared" si="83"/>
        <v>7.523861580676992</v>
      </c>
      <c r="AJ190" s="171">
        <f t="shared" si="83"/>
        <v>7.523861580676992</v>
      </c>
      <c r="AK190" s="171">
        <f t="shared" si="83"/>
        <v>7.523861580676992</v>
      </c>
      <c r="AL190" s="171">
        <f t="shared" si="83"/>
        <v>7.523861580676992</v>
      </c>
      <c r="AM190" s="171">
        <f t="shared" si="83"/>
        <v>7.523861580676992</v>
      </c>
      <c r="AN190" s="171">
        <f t="shared" si="84"/>
        <v>7.523861580676992</v>
      </c>
      <c r="AO190" s="171">
        <f t="shared" si="84"/>
        <v>7.523861580676992</v>
      </c>
      <c r="AP190" s="171">
        <f t="shared" si="84"/>
        <v>7.523861580676992</v>
      </c>
      <c r="AQ190" s="171">
        <f t="shared" si="84"/>
        <v>7.523861580676992</v>
      </c>
      <c r="AR190" s="171">
        <f t="shared" si="84"/>
        <v>7.523861580676992</v>
      </c>
      <c r="AS190" s="171">
        <f t="shared" si="84"/>
        <v>7.523861580676992</v>
      </c>
      <c r="AT190" s="171">
        <f t="shared" si="84"/>
        <v>7.523861580676992</v>
      </c>
      <c r="AU190" s="171">
        <f t="shared" si="84"/>
        <v>7.523861580676992</v>
      </c>
      <c r="AV190" s="171">
        <f t="shared" si="84"/>
        <v>7.523861580676992</v>
      </c>
    </row>
    <row r="191" spans="1:48">
      <c r="A191" s="199" t="s">
        <v>16</v>
      </c>
      <c r="B191" s="95" t="str">
        <f t="shared" si="81"/>
        <v>CNW</v>
      </c>
      <c r="C191" s="95" t="str">
        <f t="shared" si="81"/>
        <v>Commercial - Water Heating</v>
      </c>
      <c r="E191" s="114"/>
      <c r="F191" s="114"/>
      <c r="I191" s="169"/>
      <c r="J191" s="171">
        <f t="shared" si="82"/>
        <v>0</v>
      </c>
      <c r="K191" s="171">
        <f t="shared" si="82"/>
        <v>0</v>
      </c>
      <c r="L191" s="171">
        <f t="shared" si="82"/>
        <v>0</v>
      </c>
      <c r="M191" s="171">
        <f t="shared" si="82"/>
        <v>0</v>
      </c>
      <c r="N191" s="171">
        <f t="shared" si="82"/>
        <v>0</v>
      </c>
      <c r="O191" s="171">
        <f t="shared" si="82"/>
        <v>0</v>
      </c>
      <c r="P191" s="171">
        <f t="shared" si="82"/>
        <v>0.17464786244388691</v>
      </c>
      <c r="Q191" s="171">
        <f t="shared" si="82"/>
        <v>0.36116844074675197</v>
      </c>
      <c r="R191" s="171">
        <f t="shared" si="82"/>
        <v>0.46735933450650663</v>
      </c>
      <c r="S191" s="171">
        <f t="shared" si="82"/>
        <v>0.77100271250040542</v>
      </c>
      <c r="T191" s="171">
        <f t="shared" si="82"/>
        <v>1.0525897234000101</v>
      </c>
      <c r="U191" s="171">
        <f t="shared" si="82"/>
        <v>1.3450246666170893</v>
      </c>
      <c r="V191" s="171">
        <f t="shared" si="82"/>
        <v>1.661726371852664</v>
      </c>
      <c r="W191" s="171">
        <f t="shared" si="82"/>
        <v>1.9928673407800481</v>
      </c>
      <c r="X191" s="171">
        <f t="shared" si="82"/>
        <v>2.345581400804849</v>
      </c>
      <c r="Y191" s="171">
        <f t="shared" si="82"/>
        <v>2.7119555948768692</v>
      </c>
      <c r="Z191" s="171">
        <f t="shared" si="83"/>
        <v>3.0932180014685322</v>
      </c>
      <c r="AA191" s="171">
        <f t="shared" si="83"/>
        <v>3.5023188894320954</v>
      </c>
      <c r="AB191" s="171">
        <f t="shared" si="83"/>
        <v>3.92211209438784</v>
      </c>
      <c r="AC191" s="171">
        <f t="shared" si="83"/>
        <v>3.92211209438784</v>
      </c>
      <c r="AD191" s="171">
        <f t="shared" si="83"/>
        <v>3.92211209438784</v>
      </c>
      <c r="AE191" s="171">
        <f t="shared" si="83"/>
        <v>3.92211209438784</v>
      </c>
      <c r="AF191" s="171">
        <f t="shared" si="83"/>
        <v>3.92211209438784</v>
      </c>
      <c r="AG191" s="171">
        <f t="shared" si="83"/>
        <v>3.92211209438784</v>
      </c>
      <c r="AH191" s="171">
        <f t="shared" si="83"/>
        <v>3.92211209438784</v>
      </c>
      <c r="AI191" s="171">
        <f t="shared" si="83"/>
        <v>3.92211209438784</v>
      </c>
      <c r="AJ191" s="171">
        <f t="shared" si="83"/>
        <v>3.92211209438784</v>
      </c>
      <c r="AK191" s="171">
        <f t="shared" si="83"/>
        <v>3.92211209438784</v>
      </c>
      <c r="AL191" s="171">
        <f t="shared" si="83"/>
        <v>3.92211209438784</v>
      </c>
      <c r="AM191" s="171">
        <f t="shared" si="83"/>
        <v>3.92211209438784</v>
      </c>
      <c r="AN191" s="171">
        <f t="shared" si="84"/>
        <v>3.92211209438784</v>
      </c>
      <c r="AO191" s="171">
        <f t="shared" si="84"/>
        <v>3.92211209438784</v>
      </c>
      <c r="AP191" s="171">
        <f t="shared" si="84"/>
        <v>3.92211209438784</v>
      </c>
      <c r="AQ191" s="171">
        <f t="shared" si="84"/>
        <v>3.92211209438784</v>
      </c>
      <c r="AR191" s="171">
        <f t="shared" si="84"/>
        <v>3.92211209438784</v>
      </c>
      <c r="AS191" s="171">
        <f t="shared" si="84"/>
        <v>3.92211209438784</v>
      </c>
      <c r="AT191" s="171">
        <f t="shared" si="84"/>
        <v>3.92211209438784</v>
      </c>
      <c r="AU191" s="171">
        <f t="shared" si="84"/>
        <v>3.92211209438784</v>
      </c>
      <c r="AV191" s="171">
        <f t="shared" si="84"/>
        <v>3.92211209438784</v>
      </c>
    </row>
    <row r="192" spans="1:48">
      <c r="A192" s="199" t="s">
        <v>16</v>
      </c>
      <c r="B192" s="95" t="str">
        <f t="shared" si="81"/>
        <v>CNG</v>
      </c>
      <c r="C192" s="95" t="str">
        <f t="shared" si="81"/>
        <v>Commercial - Public lights</v>
      </c>
      <c r="E192" s="114"/>
      <c r="F192" s="114"/>
      <c r="I192" s="169"/>
      <c r="J192" s="171">
        <f t="shared" si="82"/>
        <v>0</v>
      </c>
      <c r="K192" s="171">
        <f t="shared" si="82"/>
        <v>0</v>
      </c>
      <c r="L192" s="171">
        <f t="shared" si="82"/>
        <v>0</v>
      </c>
      <c r="M192" s="171">
        <f t="shared" si="82"/>
        <v>0</v>
      </c>
      <c r="N192" s="171">
        <f t="shared" si="82"/>
        <v>0</v>
      </c>
      <c r="O192" s="171">
        <f t="shared" si="82"/>
        <v>0</v>
      </c>
      <c r="P192" s="171">
        <f t="shared" si="82"/>
        <v>0</v>
      </c>
      <c r="Q192" s="171">
        <f t="shared" si="82"/>
        <v>0</v>
      </c>
      <c r="R192" s="171">
        <f t="shared" si="82"/>
        <v>0</v>
      </c>
      <c r="S192" s="171">
        <f t="shared" si="82"/>
        <v>0</v>
      </c>
      <c r="T192" s="171">
        <f t="shared" si="82"/>
        <v>0</v>
      </c>
      <c r="U192" s="171">
        <f t="shared" si="82"/>
        <v>0</v>
      </c>
      <c r="V192" s="171">
        <f t="shared" si="82"/>
        <v>0</v>
      </c>
      <c r="W192" s="171">
        <f t="shared" si="82"/>
        <v>0</v>
      </c>
      <c r="X192" s="171">
        <f t="shared" si="82"/>
        <v>0</v>
      </c>
      <c r="Y192" s="171">
        <f t="shared" si="82"/>
        <v>0</v>
      </c>
      <c r="Z192" s="171">
        <f t="shared" si="83"/>
        <v>0</v>
      </c>
      <c r="AA192" s="171">
        <f t="shared" si="83"/>
        <v>0</v>
      </c>
      <c r="AB192" s="171">
        <f t="shared" si="83"/>
        <v>0</v>
      </c>
      <c r="AC192" s="171">
        <f t="shared" si="83"/>
        <v>0</v>
      </c>
      <c r="AD192" s="171">
        <f t="shared" si="83"/>
        <v>0</v>
      </c>
      <c r="AE192" s="171">
        <f t="shared" si="83"/>
        <v>0</v>
      </c>
      <c r="AF192" s="171">
        <f t="shared" si="83"/>
        <v>0</v>
      </c>
      <c r="AG192" s="171">
        <f t="shared" si="83"/>
        <v>0</v>
      </c>
      <c r="AH192" s="171">
        <f t="shared" si="83"/>
        <v>0</v>
      </c>
      <c r="AI192" s="171">
        <f t="shared" si="83"/>
        <v>0</v>
      </c>
      <c r="AJ192" s="171">
        <f t="shared" si="83"/>
        <v>0</v>
      </c>
      <c r="AK192" s="171">
        <f t="shared" si="83"/>
        <v>0</v>
      </c>
      <c r="AL192" s="171">
        <f t="shared" si="83"/>
        <v>0</v>
      </c>
      <c r="AM192" s="171">
        <f t="shared" si="83"/>
        <v>0</v>
      </c>
      <c r="AN192" s="171">
        <f t="shared" si="84"/>
        <v>0</v>
      </c>
      <c r="AO192" s="171">
        <f t="shared" si="84"/>
        <v>0</v>
      </c>
      <c r="AP192" s="171">
        <f t="shared" si="84"/>
        <v>0</v>
      </c>
      <c r="AQ192" s="171">
        <f t="shared" si="84"/>
        <v>0</v>
      </c>
      <c r="AR192" s="171">
        <f t="shared" si="84"/>
        <v>0</v>
      </c>
      <c r="AS192" s="171">
        <f t="shared" si="84"/>
        <v>0</v>
      </c>
      <c r="AT192" s="171">
        <f t="shared" si="84"/>
        <v>0</v>
      </c>
      <c r="AU192" s="171">
        <f t="shared" si="84"/>
        <v>0</v>
      </c>
      <c r="AV192" s="171">
        <f t="shared" si="84"/>
        <v>0</v>
      </c>
    </row>
    <row r="193" spans="1:48">
      <c r="A193" s="199" t="s">
        <v>16</v>
      </c>
      <c r="B193" s="95" t="str">
        <f t="shared" si="81"/>
        <v>CNT</v>
      </c>
      <c r="C193" s="95" t="str">
        <f t="shared" si="81"/>
        <v>Commercial - Public Water</v>
      </c>
      <c r="E193" s="114"/>
      <c r="F193" s="114"/>
      <c r="I193" s="169"/>
      <c r="J193" s="171">
        <f t="shared" si="82"/>
        <v>0</v>
      </c>
      <c r="K193" s="171">
        <f t="shared" si="82"/>
        <v>0</v>
      </c>
      <c r="L193" s="171">
        <f t="shared" si="82"/>
        <v>0</v>
      </c>
      <c r="M193" s="171">
        <f t="shared" si="82"/>
        <v>0</v>
      </c>
      <c r="N193" s="171">
        <f t="shared" si="82"/>
        <v>0</v>
      </c>
      <c r="O193" s="171">
        <f t="shared" si="82"/>
        <v>0</v>
      </c>
      <c r="P193" s="171">
        <f t="shared" si="82"/>
        <v>0</v>
      </c>
      <c r="Q193" s="171">
        <f t="shared" si="82"/>
        <v>0</v>
      </c>
      <c r="R193" s="171">
        <f t="shared" si="82"/>
        <v>0</v>
      </c>
      <c r="S193" s="171">
        <f t="shared" si="82"/>
        <v>0</v>
      </c>
      <c r="T193" s="171">
        <f t="shared" si="82"/>
        <v>0</v>
      </c>
      <c r="U193" s="171">
        <f t="shared" si="82"/>
        <v>0</v>
      </c>
      <c r="V193" s="171">
        <f t="shared" si="82"/>
        <v>0</v>
      </c>
      <c r="W193" s="171">
        <f t="shared" si="82"/>
        <v>0</v>
      </c>
      <c r="X193" s="171">
        <f t="shared" si="82"/>
        <v>0</v>
      </c>
      <c r="Y193" s="171">
        <f t="shared" si="82"/>
        <v>0</v>
      </c>
      <c r="Z193" s="171">
        <f t="shared" si="83"/>
        <v>0</v>
      </c>
      <c r="AA193" s="171">
        <f t="shared" si="83"/>
        <v>0</v>
      </c>
      <c r="AB193" s="171">
        <f t="shared" si="83"/>
        <v>0</v>
      </c>
      <c r="AC193" s="171">
        <f t="shared" si="83"/>
        <v>0</v>
      </c>
      <c r="AD193" s="171">
        <f t="shared" si="83"/>
        <v>0</v>
      </c>
      <c r="AE193" s="171">
        <f t="shared" si="83"/>
        <v>0</v>
      </c>
      <c r="AF193" s="171">
        <f t="shared" si="83"/>
        <v>0</v>
      </c>
      <c r="AG193" s="171">
        <f t="shared" si="83"/>
        <v>0</v>
      </c>
      <c r="AH193" s="171">
        <f t="shared" si="83"/>
        <v>0</v>
      </c>
      <c r="AI193" s="171">
        <f t="shared" si="83"/>
        <v>0</v>
      </c>
      <c r="AJ193" s="171">
        <f t="shared" si="83"/>
        <v>0</v>
      </c>
      <c r="AK193" s="171">
        <f t="shared" si="83"/>
        <v>0</v>
      </c>
      <c r="AL193" s="171">
        <f t="shared" si="83"/>
        <v>0</v>
      </c>
      <c r="AM193" s="171">
        <f t="shared" si="83"/>
        <v>0</v>
      </c>
      <c r="AN193" s="171">
        <f t="shared" si="84"/>
        <v>0</v>
      </c>
      <c r="AO193" s="171">
        <f t="shared" si="84"/>
        <v>0</v>
      </c>
      <c r="AP193" s="171">
        <f t="shared" si="84"/>
        <v>0</v>
      </c>
      <c r="AQ193" s="171">
        <f t="shared" si="84"/>
        <v>0</v>
      </c>
      <c r="AR193" s="171">
        <f t="shared" si="84"/>
        <v>0</v>
      </c>
      <c r="AS193" s="171">
        <f t="shared" si="84"/>
        <v>0</v>
      </c>
      <c r="AT193" s="171">
        <f t="shared" si="84"/>
        <v>0</v>
      </c>
      <c r="AU193" s="171">
        <f t="shared" si="84"/>
        <v>0</v>
      </c>
      <c r="AV193" s="171">
        <f t="shared" si="84"/>
        <v>0</v>
      </c>
    </row>
    <row r="194" spans="1:48">
      <c r="A194" s="199" t="s">
        <v>16</v>
      </c>
      <c r="B194" s="95" t="str">
        <f t="shared" si="81"/>
        <v>CNO</v>
      </c>
      <c r="C194" s="95" t="str">
        <f t="shared" si="81"/>
        <v>Commercial - Other</v>
      </c>
      <c r="E194" s="114"/>
      <c r="F194" s="114"/>
      <c r="I194" s="169"/>
      <c r="J194" s="171">
        <f t="shared" si="82"/>
        <v>0</v>
      </c>
      <c r="K194" s="171">
        <f t="shared" si="82"/>
        <v>0</v>
      </c>
      <c r="L194" s="171">
        <f t="shared" si="82"/>
        <v>0</v>
      </c>
      <c r="M194" s="171">
        <f t="shared" si="82"/>
        <v>0</v>
      </c>
      <c r="N194" s="171">
        <f t="shared" si="82"/>
        <v>0</v>
      </c>
      <c r="O194" s="171">
        <f t="shared" si="82"/>
        <v>0</v>
      </c>
      <c r="P194" s="171">
        <f t="shared" si="82"/>
        <v>0.22366371570704255</v>
      </c>
      <c r="Q194" s="171">
        <f t="shared" si="82"/>
        <v>0.46253228824653669</v>
      </c>
      <c r="R194" s="171">
        <f t="shared" si="82"/>
        <v>0.59852622221288887</v>
      </c>
      <c r="S194" s="171">
        <f t="shared" si="82"/>
        <v>0.98738873230386537</v>
      </c>
      <c r="T194" s="171">
        <f t="shared" si="82"/>
        <v>1.3480046383409654</v>
      </c>
      <c r="U194" s="171">
        <f t="shared" si="82"/>
        <v>1.7225130067071954</v>
      </c>
      <c r="V194" s="171">
        <f t="shared" si="82"/>
        <v>2.1280987331657939</v>
      </c>
      <c r="W194" s="171">
        <f t="shared" si="82"/>
        <v>2.5521761796156484</v>
      </c>
      <c r="X194" s="171">
        <f t="shared" si="82"/>
        <v>3.0038813201386847</v>
      </c>
      <c r="Y194" s="171">
        <f t="shared" si="82"/>
        <v>3.4730803841217859</v>
      </c>
      <c r="Z194" s="171">
        <f t="shared" si="83"/>
        <v>3.9613461168048794</v>
      </c>
      <c r="AA194" s="171">
        <f t="shared" si="83"/>
        <v>4.4852633490033531</v>
      </c>
      <c r="AB194" s="171">
        <f t="shared" si="83"/>
        <v>5.0228737539353743</v>
      </c>
      <c r="AC194" s="171">
        <f t="shared" si="83"/>
        <v>5.0228737539353743</v>
      </c>
      <c r="AD194" s="171">
        <f t="shared" si="83"/>
        <v>5.0228737539353743</v>
      </c>
      <c r="AE194" s="171">
        <f t="shared" si="83"/>
        <v>5.0228737539353743</v>
      </c>
      <c r="AF194" s="171">
        <f t="shared" si="83"/>
        <v>5.0228737539353743</v>
      </c>
      <c r="AG194" s="171">
        <f t="shared" si="83"/>
        <v>5.0228737539353743</v>
      </c>
      <c r="AH194" s="171">
        <f t="shared" si="83"/>
        <v>5.0228737539353743</v>
      </c>
      <c r="AI194" s="171">
        <f t="shared" si="83"/>
        <v>5.0228737539353743</v>
      </c>
      <c r="AJ194" s="171">
        <f t="shared" si="83"/>
        <v>5.0228737539353743</v>
      </c>
      <c r="AK194" s="171">
        <f t="shared" si="83"/>
        <v>5.0228737539353743</v>
      </c>
      <c r="AL194" s="171">
        <f t="shared" si="83"/>
        <v>5.0228737539353743</v>
      </c>
      <c r="AM194" s="171">
        <f t="shared" si="83"/>
        <v>5.0228737539353743</v>
      </c>
      <c r="AN194" s="171">
        <f t="shared" si="84"/>
        <v>5.0228737539353743</v>
      </c>
      <c r="AO194" s="171">
        <f t="shared" si="84"/>
        <v>5.0228737539353743</v>
      </c>
      <c r="AP194" s="171">
        <f t="shared" si="84"/>
        <v>5.0228737539353743</v>
      </c>
      <c r="AQ194" s="171">
        <f t="shared" si="84"/>
        <v>5.0228737539353743</v>
      </c>
      <c r="AR194" s="171">
        <f t="shared" si="84"/>
        <v>5.0228737539353743</v>
      </c>
      <c r="AS194" s="171">
        <f t="shared" si="84"/>
        <v>5.0228737539353743</v>
      </c>
      <c r="AT194" s="171">
        <f t="shared" si="84"/>
        <v>5.0228737539353743</v>
      </c>
      <c r="AU194" s="171">
        <f t="shared" si="84"/>
        <v>5.0228737539353743</v>
      </c>
      <c r="AV194" s="171">
        <f t="shared" si="84"/>
        <v>5.0228737539353743</v>
      </c>
    </row>
    <row r="195" spans="1:48">
      <c r="A195" s="199" t="s">
        <v>16</v>
      </c>
      <c r="E195" s="114"/>
      <c r="F195" s="114"/>
      <c r="I195" s="169"/>
      <c r="J195" s="171"/>
      <c r="K195" s="171"/>
      <c r="L195" s="171"/>
      <c r="M195" s="171"/>
      <c r="N195" s="171"/>
      <c r="O195" s="171"/>
      <c r="P195" s="171"/>
      <c r="Q195" s="171"/>
      <c r="R195" s="171"/>
      <c r="S195" s="171"/>
      <c r="T195" s="171"/>
      <c r="U195" s="171"/>
      <c r="V195" s="171"/>
      <c r="W195" s="171"/>
      <c r="X195" s="171"/>
      <c r="Y195" s="171"/>
      <c r="Z195" s="171"/>
      <c r="AA195" s="171"/>
      <c r="AB195" s="171"/>
      <c r="AC195" s="171"/>
      <c r="AD195" s="171"/>
      <c r="AE195" s="171"/>
      <c r="AF195" s="171"/>
      <c r="AG195" s="171"/>
      <c r="AH195" s="171"/>
      <c r="AI195" s="171"/>
      <c r="AJ195" s="171"/>
      <c r="AK195" s="171"/>
      <c r="AL195" s="171"/>
      <c r="AM195" s="171"/>
      <c r="AN195" s="171"/>
      <c r="AO195" s="171"/>
      <c r="AP195" s="171"/>
      <c r="AQ195" s="171"/>
      <c r="AR195" s="171"/>
      <c r="AS195" s="171"/>
      <c r="AT195" s="171"/>
      <c r="AU195" s="171"/>
      <c r="AV195" s="171"/>
    </row>
    <row r="196" spans="1:48">
      <c r="A196" s="199" t="s">
        <v>16</v>
      </c>
      <c r="E196" s="114"/>
      <c r="F196" s="114"/>
      <c r="I196" s="169" t="s">
        <v>112</v>
      </c>
      <c r="J196" s="171"/>
      <c r="K196" s="171"/>
      <c r="L196" s="171"/>
      <c r="M196" s="171"/>
      <c r="N196" s="171"/>
      <c r="O196" s="171"/>
      <c r="P196" s="171"/>
      <c r="Q196" s="171"/>
      <c r="R196" s="171"/>
      <c r="S196" s="171"/>
      <c r="T196" s="171"/>
      <c r="U196" s="171"/>
      <c r="V196" s="171"/>
      <c r="W196" s="171"/>
      <c r="X196" s="171"/>
      <c r="Y196" s="171"/>
      <c r="Z196" s="171"/>
      <c r="AA196" s="171"/>
      <c r="AB196" s="171"/>
      <c r="AC196" s="171"/>
      <c r="AD196" s="171"/>
      <c r="AE196" s="171"/>
      <c r="AF196" s="171"/>
      <c r="AG196" s="171"/>
      <c r="AH196" s="171"/>
      <c r="AI196" s="171"/>
      <c r="AJ196" s="171"/>
      <c r="AK196" s="171"/>
      <c r="AL196" s="171"/>
      <c r="AM196" s="171"/>
      <c r="AN196" s="171"/>
      <c r="AO196" s="171"/>
      <c r="AP196" s="171"/>
      <c r="AQ196" s="171"/>
      <c r="AR196" s="171"/>
      <c r="AS196" s="171"/>
      <c r="AT196" s="171"/>
      <c r="AU196" s="171"/>
      <c r="AV196" s="171"/>
    </row>
    <row r="197" spans="1:48">
      <c r="A197" s="199" t="s">
        <v>16</v>
      </c>
      <c r="B197" s="95" t="str">
        <f t="shared" ref="B197:C205" si="85">B186</f>
        <v>CNC</v>
      </c>
      <c r="C197" s="95" t="str">
        <f t="shared" si="85"/>
        <v>Commercial - Cooling</v>
      </c>
      <c r="E197" s="114"/>
      <c r="F197" s="114"/>
      <c r="I197" s="169"/>
      <c r="J197" s="171">
        <f t="shared" ref="J197:Y205" si="86">INDEX(J$49:J$52,MATCH($I$196,$B$49:$B$52,0),1)*INDEX(J$81:J$89,MATCH($B197,$B$81:$B$89,0))*INDEX(J$127:J$135,MATCH($B197,$B$127:$B$135,0))/1000</f>
        <v>0</v>
      </c>
      <c r="K197" s="171">
        <f t="shared" si="86"/>
        <v>0</v>
      </c>
      <c r="L197" s="171">
        <f t="shared" si="86"/>
        <v>0</v>
      </c>
      <c r="M197" s="171">
        <f t="shared" si="86"/>
        <v>0</v>
      </c>
      <c r="N197" s="171">
        <f t="shared" si="86"/>
        <v>0</v>
      </c>
      <c r="O197" s="171">
        <f t="shared" si="86"/>
        <v>0</v>
      </c>
      <c r="P197" s="171">
        <f t="shared" si="86"/>
        <v>0</v>
      </c>
      <c r="Q197" s="171">
        <f t="shared" si="86"/>
        <v>0</v>
      </c>
      <c r="R197" s="171">
        <f t="shared" si="86"/>
        <v>0</v>
      </c>
      <c r="S197" s="171">
        <f t="shared" si="86"/>
        <v>0</v>
      </c>
      <c r="T197" s="171">
        <f t="shared" si="86"/>
        <v>0</v>
      </c>
      <c r="U197" s="171">
        <f t="shared" si="86"/>
        <v>0</v>
      </c>
      <c r="V197" s="171">
        <f t="shared" si="86"/>
        <v>0</v>
      </c>
      <c r="W197" s="171">
        <f t="shared" si="86"/>
        <v>0</v>
      </c>
      <c r="X197" s="171">
        <f t="shared" si="86"/>
        <v>0</v>
      </c>
      <c r="Y197" s="171">
        <f t="shared" si="86"/>
        <v>0</v>
      </c>
      <c r="Z197" s="171">
        <f t="shared" ref="Z197:AO205" si="87">INDEX(Z$49:Z$52,MATCH($I$196,$B$49:$B$52,0),1)*INDEX(Z$81:Z$89,MATCH($B197,$B$81:$B$89,0))*INDEX(Z$127:Z$135,MATCH($B197,$B$127:$B$135,0))/1000</f>
        <v>0</v>
      </c>
      <c r="AA197" s="171">
        <f t="shared" si="87"/>
        <v>0</v>
      </c>
      <c r="AB197" s="171">
        <f t="shared" si="87"/>
        <v>0</v>
      </c>
      <c r="AC197" s="171">
        <f t="shared" si="87"/>
        <v>3.7569929009134384</v>
      </c>
      <c r="AD197" s="171">
        <f t="shared" si="87"/>
        <v>7.6245719085691661</v>
      </c>
      <c r="AE197" s="171">
        <f t="shared" si="87"/>
        <v>11.575413373146525</v>
      </c>
      <c r="AF197" s="171">
        <f t="shared" si="87"/>
        <v>15.619285487360335</v>
      </c>
      <c r="AG197" s="171">
        <f t="shared" si="87"/>
        <v>19.567538270523393</v>
      </c>
      <c r="AH197" s="171">
        <f t="shared" si="87"/>
        <v>23.567872487412586</v>
      </c>
      <c r="AI197" s="171">
        <f t="shared" si="87"/>
        <v>27.828249513051212</v>
      </c>
      <c r="AJ197" s="171">
        <f t="shared" si="87"/>
        <v>32.231112656568015</v>
      </c>
      <c r="AK197" s="171">
        <f t="shared" si="87"/>
        <v>36.743746149029576</v>
      </c>
      <c r="AL197" s="171">
        <f t="shared" si="87"/>
        <v>41.325279836974566</v>
      </c>
      <c r="AM197" s="171">
        <f t="shared" si="87"/>
        <v>41.325279836974566</v>
      </c>
      <c r="AN197" s="171">
        <f t="shared" si="87"/>
        <v>41.325279836974566</v>
      </c>
      <c r="AO197" s="171">
        <f t="shared" si="87"/>
        <v>41.325279836974566</v>
      </c>
      <c r="AP197" s="171">
        <f t="shared" ref="AN197:AV205" si="88">INDEX(AP$49:AP$52,MATCH($I$196,$B$49:$B$52,0),1)*INDEX(AP$81:AP$89,MATCH($B197,$B$81:$B$89,0))*INDEX(AP$127:AP$135,MATCH($B197,$B$127:$B$135,0))/1000</f>
        <v>41.325279836974566</v>
      </c>
      <c r="AQ197" s="171">
        <f t="shared" si="88"/>
        <v>41.325279836974566</v>
      </c>
      <c r="AR197" s="171">
        <f t="shared" si="88"/>
        <v>41.325279836974566</v>
      </c>
      <c r="AS197" s="171">
        <f t="shared" si="88"/>
        <v>41.325279836974566</v>
      </c>
      <c r="AT197" s="171">
        <f t="shared" si="88"/>
        <v>41.325279836974566</v>
      </c>
      <c r="AU197" s="171">
        <f t="shared" si="88"/>
        <v>41.325279836974566</v>
      </c>
      <c r="AV197" s="171">
        <f t="shared" si="88"/>
        <v>41.325279836974566</v>
      </c>
    </row>
    <row r="198" spans="1:48">
      <c r="A198" s="199" t="s">
        <v>16</v>
      </c>
      <c r="B198" s="95" t="str">
        <f t="shared" si="85"/>
        <v>CNH</v>
      </c>
      <c r="C198" s="95" t="str">
        <f t="shared" si="85"/>
        <v>Commercial - Space Heating</v>
      </c>
      <c r="E198" s="114"/>
      <c r="F198" s="114"/>
      <c r="I198" s="169"/>
      <c r="J198" s="171">
        <f t="shared" si="86"/>
        <v>0</v>
      </c>
      <c r="K198" s="171">
        <f t="shared" si="86"/>
        <v>0</v>
      </c>
      <c r="L198" s="171">
        <f t="shared" si="86"/>
        <v>0</v>
      </c>
      <c r="M198" s="171">
        <f t="shared" si="86"/>
        <v>0</v>
      </c>
      <c r="N198" s="171">
        <f t="shared" si="86"/>
        <v>0</v>
      </c>
      <c r="O198" s="171">
        <f t="shared" si="86"/>
        <v>0</v>
      </c>
      <c r="P198" s="171">
        <f t="shared" si="86"/>
        <v>0</v>
      </c>
      <c r="Q198" s="171">
        <f t="shared" si="86"/>
        <v>0</v>
      </c>
      <c r="R198" s="171">
        <f t="shared" si="86"/>
        <v>0</v>
      </c>
      <c r="S198" s="171">
        <f t="shared" si="86"/>
        <v>0</v>
      </c>
      <c r="T198" s="171">
        <f t="shared" si="86"/>
        <v>0</v>
      </c>
      <c r="U198" s="171">
        <f t="shared" si="86"/>
        <v>0</v>
      </c>
      <c r="V198" s="171">
        <f t="shared" si="86"/>
        <v>0</v>
      </c>
      <c r="W198" s="171">
        <f t="shared" si="86"/>
        <v>0</v>
      </c>
      <c r="X198" s="171">
        <f t="shared" si="86"/>
        <v>0</v>
      </c>
      <c r="Y198" s="171">
        <f t="shared" si="86"/>
        <v>0</v>
      </c>
      <c r="Z198" s="171">
        <f t="shared" si="87"/>
        <v>0</v>
      </c>
      <c r="AA198" s="171">
        <f t="shared" si="87"/>
        <v>0</v>
      </c>
      <c r="AB198" s="171">
        <f t="shared" si="87"/>
        <v>0</v>
      </c>
      <c r="AC198" s="171">
        <f t="shared" si="87"/>
        <v>0.35829065554742268</v>
      </c>
      <c r="AD198" s="171">
        <f t="shared" si="87"/>
        <v>0.72712750314900076</v>
      </c>
      <c r="AE198" s="171">
        <f t="shared" si="87"/>
        <v>1.1039047863754872</v>
      </c>
      <c r="AF198" s="171">
        <f t="shared" si="87"/>
        <v>1.4895540619967802</v>
      </c>
      <c r="AG198" s="171">
        <f t="shared" si="87"/>
        <v>1.8660844721560572</v>
      </c>
      <c r="AH198" s="171">
        <f t="shared" si="87"/>
        <v>2.2475816979372238</v>
      </c>
      <c r="AI198" s="171">
        <f t="shared" si="87"/>
        <v>2.6538782541601846</v>
      </c>
      <c r="AJ198" s="171">
        <f t="shared" si="87"/>
        <v>3.0737631896873938</v>
      </c>
      <c r="AK198" s="171">
        <f t="shared" si="87"/>
        <v>3.5041165214347618</v>
      </c>
      <c r="AL198" s="171">
        <f t="shared" si="87"/>
        <v>3.9410406125256201</v>
      </c>
      <c r="AM198" s="171">
        <f t="shared" si="87"/>
        <v>3.9410406125256201</v>
      </c>
      <c r="AN198" s="171">
        <f t="shared" si="88"/>
        <v>3.9410406125256201</v>
      </c>
      <c r="AO198" s="171">
        <f t="shared" si="88"/>
        <v>3.9410406125256201</v>
      </c>
      <c r="AP198" s="171">
        <f t="shared" si="88"/>
        <v>3.9410406125256201</v>
      </c>
      <c r="AQ198" s="171">
        <f t="shared" si="88"/>
        <v>3.9410406125256201</v>
      </c>
      <c r="AR198" s="171">
        <f t="shared" si="88"/>
        <v>3.9410406125256201</v>
      </c>
      <c r="AS198" s="171">
        <f t="shared" si="88"/>
        <v>3.9410406125256201</v>
      </c>
      <c r="AT198" s="171">
        <f t="shared" si="88"/>
        <v>3.9410406125256201</v>
      </c>
      <c r="AU198" s="171">
        <f t="shared" si="88"/>
        <v>3.9410406125256201</v>
      </c>
      <c r="AV198" s="171">
        <f t="shared" si="88"/>
        <v>3.9410406125256201</v>
      </c>
    </row>
    <row r="199" spans="1:48">
      <c r="A199" s="199" t="s">
        <v>16</v>
      </c>
      <c r="B199" s="95" t="str">
        <f t="shared" si="85"/>
        <v>CNK</v>
      </c>
      <c r="C199" s="95" t="str">
        <f t="shared" si="85"/>
        <v>Commercial - Cooking</v>
      </c>
      <c r="E199" s="114"/>
      <c r="F199" s="114"/>
      <c r="I199" s="169"/>
      <c r="J199" s="171">
        <f t="shared" si="86"/>
        <v>0</v>
      </c>
      <c r="K199" s="171">
        <f t="shared" si="86"/>
        <v>0</v>
      </c>
      <c r="L199" s="171">
        <f t="shared" si="86"/>
        <v>0</v>
      </c>
      <c r="M199" s="171">
        <f t="shared" si="86"/>
        <v>0</v>
      </c>
      <c r="N199" s="171">
        <f t="shared" si="86"/>
        <v>0</v>
      </c>
      <c r="O199" s="171">
        <f t="shared" si="86"/>
        <v>0</v>
      </c>
      <c r="P199" s="171">
        <f t="shared" si="86"/>
        <v>0</v>
      </c>
      <c r="Q199" s="171">
        <f t="shared" si="86"/>
        <v>0</v>
      </c>
      <c r="R199" s="171">
        <f t="shared" si="86"/>
        <v>0</v>
      </c>
      <c r="S199" s="171">
        <f t="shared" si="86"/>
        <v>0</v>
      </c>
      <c r="T199" s="171">
        <f t="shared" si="86"/>
        <v>0</v>
      </c>
      <c r="U199" s="171">
        <f t="shared" si="86"/>
        <v>0</v>
      </c>
      <c r="V199" s="171">
        <f t="shared" si="86"/>
        <v>0</v>
      </c>
      <c r="W199" s="171">
        <f t="shared" si="86"/>
        <v>0</v>
      </c>
      <c r="X199" s="171">
        <f t="shared" si="86"/>
        <v>0</v>
      </c>
      <c r="Y199" s="171">
        <f t="shared" si="86"/>
        <v>0</v>
      </c>
      <c r="Z199" s="171">
        <f t="shared" si="87"/>
        <v>0</v>
      </c>
      <c r="AA199" s="171">
        <f t="shared" si="87"/>
        <v>0</v>
      </c>
      <c r="AB199" s="171">
        <f t="shared" si="87"/>
        <v>0</v>
      </c>
      <c r="AC199" s="171">
        <f t="shared" si="87"/>
        <v>0.26798305849700244</v>
      </c>
      <c r="AD199" s="171">
        <f t="shared" si="87"/>
        <v>0.54385412846851933</v>
      </c>
      <c r="AE199" s="171">
        <f t="shared" si="87"/>
        <v>0.82566423757380958</v>
      </c>
      <c r="AF199" s="171">
        <f t="shared" si="87"/>
        <v>1.1141101425618862</v>
      </c>
      <c r="AG199" s="171">
        <f t="shared" si="87"/>
        <v>1.3957356032578836</v>
      </c>
      <c r="AH199" s="171">
        <f t="shared" si="87"/>
        <v>1.6810759876359154</v>
      </c>
      <c r="AI199" s="171">
        <f t="shared" si="87"/>
        <v>1.984965000948508</v>
      </c>
      <c r="AJ199" s="171">
        <f t="shared" si="87"/>
        <v>2.2990174259761131</v>
      </c>
      <c r="AK199" s="171">
        <f t="shared" si="87"/>
        <v>2.6208996751791496</v>
      </c>
      <c r="AL199" s="171">
        <f t="shared" si="87"/>
        <v>2.9476965158130617</v>
      </c>
      <c r="AM199" s="171">
        <f t="shared" si="87"/>
        <v>2.9476965158130617</v>
      </c>
      <c r="AN199" s="171">
        <f t="shared" si="88"/>
        <v>2.9476965158130617</v>
      </c>
      <c r="AO199" s="171">
        <f t="shared" si="88"/>
        <v>2.9476965158130617</v>
      </c>
      <c r="AP199" s="171">
        <f t="shared" si="88"/>
        <v>2.9476965158130617</v>
      </c>
      <c r="AQ199" s="171">
        <f t="shared" si="88"/>
        <v>2.9476965158130617</v>
      </c>
      <c r="AR199" s="171">
        <f t="shared" si="88"/>
        <v>2.9476965158130617</v>
      </c>
      <c r="AS199" s="171">
        <f t="shared" si="88"/>
        <v>2.9476965158130617</v>
      </c>
      <c r="AT199" s="171">
        <f t="shared" si="88"/>
        <v>2.9476965158130617</v>
      </c>
      <c r="AU199" s="171">
        <f t="shared" si="88"/>
        <v>2.9476965158130617</v>
      </c>
      <c r="AV199" s="171">
        <f t="shared" si="88"/>
        <v>2.9476965158130617</v>
      </c>
    </row>
    <row r="200" spans="1:48">
      <c r="A200" s="199" t="s">
        <v>16</v>
      </c>
      <c r="B200" s="95" t="str">
        <f t="shared" si="85"/>
        <v>CNL</v>
      </c>
      <c r="C200" s="95" t="str">
        <f t="shared" si="85"/>
        <v>Commercial - Lighting</v>
      </c>
      <c r="E200" s="114"/>
      <c r="F200" s="114"/>
      <c r="I200" s="169"/>
      <c r="J200" s="171">
        <f t="shared" si="86"/>
        <v>0</v>
      </c>
      <c r="K200" s="171">
        <f t="shared" si="86"/>
        <v>0</v>
      </c>
      <c r="L200" s="171">
        <f t="shared" si="86"/>
        <v>0</v>
      </c>
      <c r="M200" s="171">
        <f t="shared" si="86"/>
        <v>0</v>
      </c>
      <c r="N200" s="171">
        <f t="shared" si="86"/>
        <v>0</v>
      </c>
      <c r="O200" s="171">
        <f t="shared" si="86"/>
        <v>0</v>
      </c>
      <c r="P200" s="171">
        <f t="shared" si="86"/>
        <v>0</v>
      </c>
      <c r="Q200" s="171">
        <f t="shared" si="86"/>
        <v>0</v>
      </c>
      <c r="R200" s="171">
        <f t="shared" si="86"/>
        <v>0</v>
      </c>
      <c r="S200" s="171">
        <f t="shared" si="86"/>
        <v>0</v>
      </c>
      <c r="T200" s="171">
        <f t="shared" si="86"/>
        <v>0</v>
      </c>
      <c r="U200" s="171">
        <f t="shared" si="86"/>
        <v>0</v>
      </c>
      <c r="V200" s="171">
        <f t="shared" si="86"/>
        <v>0</v>
      </c>
      <c r="W200" s="171">
        <f t="shared" si="86"/>
        <v>0</v>
      </c>
      <c r="X200" s="171">
        <f t="shared" si="86"/>
        <v>0</v>
      </c>
      <c r="Y200" s="171">
        <f t="shared" si="86"/>
        <v>0</v>
      </c>
      <c r="Z200" s="171">
        <f t="shared" si="87"/>
        <v>0</v>
      </c>
      <c r="AA200" s="171">
        <f t="shared" si="87"/>
        <v>0</v>
      </c>
      <c r="AB200" s="171">
        <f t="shared" si="87"/>
        <v>0</v>
      </c>
      <c r="AC200" s="171">
        <f t="shared" si="87"/>
        <v>3.26945132177178</v>
      </c>
      <c r="AD200" s="171">
        <f t="shared" si="87"/>
        <v>6.6351380909861843</v>
      </c>
      <c r="AE200" s="171">
        <f t="shared" si="87"/>
        <v>10.073282423208017</v>
      </c>
      <c r="AF200" s="171">
        <f t="shared" si="87"/>
        <v>13.592384901596489</v>
      </c>
      <c r="AG200" s="171">
        <f t="shared" si="87"/>
        <v>17.028276483255613</v>
      </c>
      <c r="AH200" s="171">
        <f t="shared" si="87"/>
        <v>20.509490937974807</v>
      </c>
      <c r="AI200" s="171">
        <f t="shared" si="87"/>
        <v>24.217002680766161</v>
      </c>
      <c r="AJ200" s="171">
        <f t="shared" si="87"/>
        <v>28.04851024647154</v>
      </c>
      <c r="AK200" s="171">
        <f t="shared" si="87"/>
        <v>31.975543361975422</v>
      </c>
      <c r="AL200" s="171">
        <f t="shared" si="87"/>
        <v>35.96253555675753</v>
      </c>
      <c r="AM200" s="171">
        <f t="shared" si="87"/>
        <v>35.96253555675753</v>
      </c>
      <c r="AN200" s="171">
        <f t="shared" si="88"/>
        <v>35.96253555675753</v>
      </c>
      <c r="AO200" s="171">
        <f t="shared" si="88"/>
        <v>35.96253555675753</v>
      </c>
      <c r="AP200" s="171">
        <f t="shared" si="88"/>
        <v>35.96253555675753</v>
      </c>
      <c r="AQ200" s="171">
        <f t="shared" si="88"/>
        <v>35.96253555675753</v>
      </c>
      <c r="AR200" s="171">
        <f t="shared" si="88"/>
        <v>35.96253555675753</v>
      </c>
      <c r="AS200" s="171">
        <f t="shared" si="88"/>
        <v>35.96253555675753</v>
      </c>
      <c r="AT200" s="171">
        <f t="shared" si="88"/>
        <v>35.96253555675753</v>
      </c>
      <c r="AU200" s="171">
        <f t="shared" si="88"/>
        <v>35.96253555675753</v>
      </c>
      <c r="AV200" s="171">
        <f t="shared" si="88"/>
        <v>35.96253555675753</v>
      </c>
    </row>
    <row r="201" spans="1:48">
      <c r="A201" s="199" t="s">
        <v>16</v>
      </c>
      <c r="B201" s="95" t="str">
        <f t="shared" si="85"/>
        <v>CNR</v>
      </c>
      <c r="C201" s="95" t="str">
        <f t="shared" si="85"/>
        <v>Commercial - Refrigeration</v>
      </c>
      <c r="E201" s="114"/>
      <c r="F201" s="114"/>
      <c r="I201" s="169"/>
      <c r="J201" s="171">
        <f t="shared" si="86"/>
        <v>0</v>
      </c>
      <c r="K201" s="171">
        <f t="shared" si="86"/>
        <v>0</v>
      </c>
      <c r="L201" s="171">
        <f t="shared" si="86"/>
        <v>0</v>
      </c>
      <c r="M201" s="171">
        <f t="shared" si="86"/>
        <v>0</v>
      </c>
      <c r="N201" s="171">
        <f t="shared" si="86"/>
        <v>0</v>
      </c>
      <c r="O201" s="171">
        <f t="shared" si="86"/>
        <v>0</v>
      </c>
      <c r="P201" s="171">
        <f t="shared" si="86"/>
        <v>0</v>
      </c>
      <c r="Q201" s="171">
        <f t="shared" si="86"/>
        <v>0</v>
      </c>
      <c r="R201" s="171">
        <f t="shared" si="86"/>
        <v>0</v>
      </c>
      <c r="S201" s="171">
        <f t="shared" si="86"/>
        <v>0</v>
      </c>
      <c r="T201" s="171">
        <f t="shared" si="86"/>
        <v>0</v>
      </c>
      <c r="U201" s="171">
        <f t="shared" si="86"/>
        <v>0</v>
      </c>
      <c r="V201" s="171">
        <f t="shared" si="86"/>
        <v>0</v>
      </c>
      <c r="W201" s="171">
        <f t="shared" si="86"/>
        <v>0</v>
      </c>
      <c r="X201" s="171">
        <f t="shared" si="86"/>
        <v>0</v>
      </c>
      <c r="Y201" s="171">
        <f t="shared" si="86"/>
        <v>0</v>
      </c>
      <c r="Z201" s="171">
        <f t="shared" si="87"/>
        <v>0</v>
      </c>
      <c r="AA201" s="171">
        <f t="shared" si="87"/>
        <v>0</v>
      </c>
      <c r="AB201" s="171">
        <f t="shared" si="87"/>
        <v>0</v>
      </c>
      <c r="AC201" s="171">
        <f t="shared" si="87"/>
        <v>0.79534028163502157</v>
      </c>
      <c r="AD201" s="171">
        <f t="shared" si="87"/>
        <v>1.6140911971469261</v>
      </c>
      <c r="AE201" s="171">
        <f t="shared" si="87"/>
        <v>2.4504684397997667</v>
      </c>
      <c r="AF201" s="171">
        <f t="shared" si="87"/>
        <v>3.3065398966909556</v>
      </c>
      <c r="AG201" s="171">
        <f t="shared" si="87"/>
        <v>4.142369125903417</v>
      </c>
      <c r="AH201" s="171">
        <f t="shared" si="87"/>
        <v>4.98922378509676</v>
      </c>
      <c r="AI201" s="171">
        <f t="shared" si="87"/>
        <v>5.8911284606735927</v>
      </c>
      <c r="AJ201" s="171">
        <f t="shared" si="87"/>
        <v>6.823196874141642</v>
      </c>
      <c r="AK201" s="171">
        <f t="shared" si="87"/>
        <v>7.7785032288428715</v>
      </c>
      <c r="AL201" s="171">
        <f t="shared" si="87"/>
        <v>8.7483954777221715</v>
      </c>
      <c r="AM201" s="171">
        <f t="shared" si="87"/>
        <v>8.7483954777221715</v>
      </c>
      <c r="AN201" s="171">
        <f t="shared" si="88"/>
        <v>8.7483954777221715</v>
      </c>
      <c r="AO201" s="171">
        <f t="shared" si="88"/>
        <v>8.7483954777221715</v>
      </c>
      <c r="AP201" s="171">
        <f t="shared" si="88"/>
        <v>8.7483954777221715</v>
      </c>
      <c r="AQ201" s="171">
        <f t="shared" si="88"/>
        <v>8.7483954777221715</v>
      </c>
      <c r="AR201" s="171">
        <f t="shared" si="88"/>
        <v>8.7483954777221715</v>
      </c>
      <c r="AS201" s="171">
        <f t="shared" si="88"/>
        <v>8.7483954777221715</v>
      </c>
      <c r="AT201" s="171">
        <f t="shared" si="88"/>
        <v>8.7483954777221715</v>
      </c>
      <c r="AU201" s="171">
        <f t="shared" si="88"/>
        <v>8.7483954777221715</v>
      </c>
      <c r="AV201" s="171">
        <f t="shared" si="88"/>
        <v>8.7483954777221715</v>
      </c>
    </row>
    <row r="202" spans="1:48">
      <c r="A202" s="199" t="s">
        <v>16</v>
      </c>
      <c r="B202" s="95" t="str">
        <f t="shared" si="85"/>
        <v>CNW</v>
      </c>
      <c r="C202" s="95" t="str">
        <f t="shared" si="85"/>
        <v>Commercial - Water Heating</v>
      </c>
      <c r="E202" s="114"/>
      <c r="F202" s="114"/>
      <c r="I202" s="169"/>
      <c r="J202" s="171">
        <f t="shared" si="86"/>
        <v>0</v>
      </c>
      <c r="K202" s="171">
        <f t="shared" si="86"/>
        <v>0</v>
      </c>
      <c r="L202" s="171">
        <f t="shared" si="86"/>
        <v>0</v>
      </c>
      <c r="M202" s="171">
        <f t="shared" si="86"/>
        <v>0</v>
      </c>
      <c r="N202" s="171">
        <f t="shared" si="86"/>
        <v>0</v>
      </c>
      <c r="O202" s="171">
        <f t="shared" si="86"/>
        <v>0</v>
      </c>
      <c r="P202" s="171">
        <f t="shared" si="86"/>
        <v>0</v>
      </c>
      <c r="Q202" s="171">
        <f t="shared" si="86"/>
        <v>0</v>
      </c>
      <c r="R202" s="171">
        <f t="shared" si="86"/>
        <v>0</v>
      </c>
      <c r="S202" s="171">
        <f t="shared" si="86"/>
        <v>0</v>
      </c>
      <c r="T202" s="171">
        <f t="shared" si="86"/>
        <v>0</v>
      </c>
      <c r="U202" s="171">
        <f t="shared" si="86"/>
        <v>0</v>
      </c>
      <c r="V202" s="171">
        <f t="shared" si="86"/>
        <v>0</v>
      </c>
      <c r="W202" s="171">
        <f t="shared" si="86"/>
        <v>0</v>
      </c>
      <c r="X202" s="171">
        <f t="shared" si="86"/>
        <v>0</v>
      </c>
      <c r="Y202" s="171">
        <f t="shared" si="86"/>
        <v>0</v>
      </c>
      <c r="Z202" s="171">
        <f t="shared" si="87"/>
        <v>0</v>
      </c>
      <c r="AA202" s="171">
        <f t="shared" si="87"/>
        <v>0</v>
      </c>
      <c r="AB202" s="171">
        <f t="shared" si="87"/>
        <v>0</v>
      </c>
      <c r="AC202" s="171">
        <f t="shared" si="87"/>
        <v>0.41460275475640351</v>
      </c>
      <c r="AD202" s="171">
        <f t="shared" si="87"/>
        <v>0.84140923352889219</v>
      </c>
      <c r="AE202" s="171">
        <f t="shared" si="87"/>
        <v>1.2774041363729571</v>
      </c>
      <c r="AF202" s="171">
        <f t="shared" si="87"/>
        <v>1.7236654316839</v>
      </c>
      <c r="AG202" s="171">
        <f t="shared" si="87"/>
        <v>2.1593746607261077</v>
      </c>
      <c r="AH202" s="171">
        <f t="shared" si="87"/>
        <v>2.600831333658685</v>
      </c>
      <c r="AI202" s="171">
        <f t="shared" si="87"/>
        <v>3.0709850171275059</v>
      </c>
      <c r="AJ202" s="171">
        <f t="shared" si="87"/>
        <v>3.556862748670115</v>
      </c>
      <c r="AK202" s="171">
        <f t="shared" si="87"/>
        <v>4.054854181319798</v>
      </c>
      <c r="AL202" s="171">
        <f t="shared" si="87"/>
        <v>4.5604490914324645</v>
      </c>
      <c r="AM202" s="171">
        <f t="shared" si="87"/>
        <v>4.5604490914324645</v>
      </c>
      <c r="AN202" s="171">
        <f t="shared" si="88"/>
        <v>4.5604490914324645</v>
      </c>
      <c r="AO202" s="171">
        <f t="shared" si="88"/>
        <v>4.5604490914324645</v>
      </c>
      <c r="AP202" s="171">
        <f t="shared" si="88"/>
        <v>4.5604490914324645</v>
      </c>
      <c r="AQ202" s="171">
        <f t="shared" si="88"/>
        <v>4.5604490914324645</v>
      </c>
      <c r="AR202" s="171">
        <f t="shared" si="88"/>
        <v>4.5604490914324645</v>
      </c>
      <c r="AS202" s="171">
        <f t="shared" si="88"/>
        <v>4.5604490914324645</v>
      </c>
      <c r="AT202" s="171">
        <f t="shared" si="88"/>
        <v>4.5604490914324645</v>
      </c>
      <c r="AU202" s="171">
        <f t="shared" si="88"/>
        <v>4.5604490914324645</v>
      </c>
      <c r="AV202" s="171">
        <f t="shared" si="88"/>
        <v>4.5604490914324645</v>
      </c>
    </row>
    <row r="203" spans="1:48">
      <c r="A203" s="199" t="s">
        <v>16</v>
      </c>
      <c r="B203" s="95" t="str">
        <f t="shared" si="85"/>
        <v>CNG</v>
      </c>
      <c r="C203" s="95" t="str">
        <f t="shared" si="85"/>
        <v>Commercial - Public lights</v>
      </c>
      <c r="E203" s="114"/>
      <c r="F203" s="114"/>
      <c r="I203" s="169"/>
      <c r="J203" s="171">
        <f t="shared" si="86"/>
        <v>0</v>
      </c>
      <c r="K203" s="171">
        <f t="shared" si="86"/>
        <v>0</v>
      </c>
      <c r="L203" s="171">
        <f t="shared" si="86"/>
        <v>0</v>
      </c>
      <c r="M203" s="171">
        <f t="shared" si="86"/>
        <v>0</v>
      </c>
      <c r="N203" s="171">
        <f t="shared" si="86"/>
        <v>0</v>
      </c>
      <c r="O203" s="171">
        <f t="shared" si="86"/>
        <v>0</v>
      </c>
      <c r="P203" s="171">
        <f t="shared" si="86"/>
        <v>0</v>
      </c>
      <c r="Q203" s="171">
        <f t="shared" si="86"/>
        <v>0</v>
      </c>
      <c r="R203" s="171">
        <f t="shared" si="86"/>
        <v>0</v>
      </c>
      <c r="S203" s="171">
        <f t="shared" si="86"/>
        <v>0</v>
      </c>
      <c r="T203" s="171">
        <f t="shared" si="86"/>
        <v>0</v>
      </c>
      <c r="U203" s="171">
        <f t="shared" si="86"/>
        <v>0</v>
      </c>
      <c r="V203" s="171">
        <f t="shared" si="86"/>
        <v>0</v>
      </c>
      <c r="W203" s="171">
        <f t="shared" si="86"/>
        <v>0</v>
      </c>
      <c r="X203" s="171">
        <f t="shared" si="86"/>
        <v>0</v>
      </c>
      <c r="Y203" s="171">
        <f t="shared" si="86"/>
        <v>0</v>
      </c>
      <c r="Z203" s="171">
        <f t="shared" si="87"/>
        <v>0</v>
      </c>
      <c r="AA203" s="171">
        <f t="shared" si="87"/>
        <v>0</v>
      </c>
      <c r="AB203" s="171">
        <f t="shared" si="87"/>
        <v>0</v>
      </c>
      <c r="AC203" s="171">
        <f t="shared" si="87"/>
        <v>0</v>
      </c>
      <c r="AD203" s="171">
        <f t="shared" si="87"/>
        <v>0</v>
      </c>
      <c r="AE203" s="171">
        <f t="shared" si="87"/>
        <v>0</v>
      </c>
      <c r="AF203" s="171">
        <f t="shared" si="87"/>
        <v>0</v>
      </c>
      <c r="AG203" s="171">
        <f t="shared" si="87"/>
        <v>0</v>
      </c>
      <c r="AH203" s="171">
        <f t="shared" si="87"/>
        <v>0</v>
      </c>
      <c r="AI203" s="171">
        <f t="shared" si="87"/>
        <v>0</v>
      </c>
      <c r="AJ203" s="171">
        <f t="shared" si="87"/>
        <v>0</v>
      </c>
      <c r="AK203" s="171">
        <f t="shared" si="87"/>
        <v>0</v>
      </c>
      <c r="AL203" s="171">
        <f t="shared" si="87"/>
        <v>0</v>
      </c>
      <c r="AM203" s="171">
        <f t="shared" si="87"/>
        <v>0</v>
      </c>
      <c r="AN203" s="171">
        <f t="shared" si="88"/>
        <v>0</v>
      </c>
      <c r="AO203" s="171">
        <f t="shared" si="88"/>
        <v>0</v>
      </c>
      <c r="AP203" s="171">
        <f t="shared" si="88"/>
        <v>0</v>
      </c>
      <c r="AQ203" s="171">
        <f t="shared" si="88"/>
        <v>0</v>
      </c>
      <c r="AR203" s="171">
        <f t="shared" si="88"/>
        <v>0</v>
      </c>
      <c r="AS203" s="171">
        <f t="shared" si="88"/>
        <v>0</v>
      </c>
      <c r="AT203" s="171">
        <f t="shared" si="88"/>
        <v>0</v>
      </c>
      <c r="AU203" s="171">
        <f t="shared" si="88"/>
        <v>0</v>
      </c>
      <c r="AV203" s="171">
        <f t="shared" si="88"/>
        <v>0</v>
      </c>
    </row>
    <row r="204" spans="1:48">
      <c r="A204" s="199" t="s">
        <v>16</v>
      </c>
      <c r="B204" s="95" t="str">
        <f t="shared" si="85"/>
        <v>CNT</v>
      </c>
      <c r="C204" s="95" t="str">
        <f t="shared" si="85"/>
        <v>Commercial - Public Water</v>
      </c>
      <c r="E204" s="114"/>
      <c r="F204" s="114"/>
      <c r="I204" s="169"/>
      <c r="J204" s="171">
        <f t="shared" si="86"/>
        <v>0</v>
      </c>
      <c r="K204" s="171">
        <f t="shared" si="86"/>
        <v>0</v>
      </c>
      <c r="L204" s="171">
        <f t="shared" si="86"/>
        <v>0</v>
      </c>
      <c r="M204" s="171">
        <f t="shared" si="86"/>
        <v>0</v>
      </c>
      <c r="N204" s="171">
        <f t="shared" si="86"/>
        <v>0</v>
      </c>
      <c r="O204" s="171">
        <f t="shared" si="86"/>
        <v>0</v>
      </c>
      <c r="P204" s="171">
        <f t="shared" si="86"/>
        <v>0</v>
      </c>
      <c r="Q204" s="171">
        <f t="shared" si="86"/>
        <v>0</v>
      </c>
      <c r="R204" s="171">
        <f t="shared" si="86"/>
        <v>0</v>
      </c>
      <c r="S204" s="171">
        <f t="shared" si="86"/>
        <v>0</v>
      </c>
      <c r="T204" s="171">
        <f t="shared" si="86"/>
        <v>0</v>
      </c>
      <c r="U204" s="171">
        <f t="shared" si="86"/>
        <v>0</v>
      </c>
      <c r="V204" s="171">
        <f t="shared" si="86"/>
        <v>0</v>
      </c>
      <c r="W204" s="171">
        <f t="shared" si="86"/>
        <v>0</v>
      </c>
      <c r="X204" s="171">
        <f t="shared" si="86"/>
        <v>0</v>
      </c>
      <c r="Y204" s="171">
        <f t="shared" si="86"/>
        <v>0</v>
      </c>
      <c r="Z204" s="171">
        <f t="shared" si="87"/>
        <v>0</v>
      </c>
      <c r="AA204" s="171">
        <f t="shared" si="87"/>
        <v>0</v>
      </c>
      <c r="AB204" s="171">
        <f t="shared" si="87"/>
        <v>0</v>
      </c>
      <c r="AC204" s="171">
        <f t="shared" si="87"/>
        <v>0</v>
      </c>
      <c r="AD204" s="171">
        <f t="shared" si="87"/>
        <v>0</v>
      </c>
      <c r="AE204" s="171">
        <f t="shared" si="87"/>
        <v>0</v>
      </c>
      <c r="AF204" s="171">
        <f t="shared" si="87"/>
        <v>0</v>
      </c>
      <c r="AG204" s="171">
        <f t="shared" si="87"/>
        <v>0</v>
      </c>
      <c r="AH204" s="171">
        <f t="shared" si="87"/>
        <v>0</v>
      </c>
      <c r="AI204" s="171">
        <f t="shared" si="87"/>
        <v>0</v>
      </c>
      <c r="AJ204" s="171">
        <f t="shared" si="87"/>
        <v>0</v>
      </c>
      <c r="AK204" s="171">
        <f t="shared" si="87"/>
        <v>0</v>
      </c>
      <c r="AL204" s="171">
        <f t="shared" si="87"/>
        <v>0</v>
      </c>
      <c r="AM204" s="171">
        <f t="shared" si="87"/>
        <v>0</v>
      </c>
      <c r="AN204" s="171">
        <f t="shared" si="88"/>
        <v>0</v>
      </c>
      <c r="AO204" s="171">
        <f t="shared" si="88"/>
        <v>0</v>
      </c>
      <c r="AP204" s="171">
        <f t="shared" si="88"/>
        <v>0</v>
      </c>
      <c r="AQ204" s="171">
        <f t="shared" si="88"/>
        <v>0</v>
      </c>
      <c r="AR204" s="171">
        <f t="shared" si="88"/>
        <v>0</v>
      </c>
      <c r="AS204" s="171">
        <f t="shared" si="88"/>
        <v>0</v>
      </c>
      <c r="AT204" s="171">
        <f t="shared" si="88"/>
        <v>0</v>
      </c>
      <c r="AU204" s="171">
        <f t="shared" si="88"/>
        <v>0</v>
      </c>
      <c r="AV204" s="171">
        <f t="shared" si="88"/>
        <v>0</v>
      </c>
    </row>
    <row r="205" spans="1:48">
      <c r="A205" s="199" t="s">
        <v>16</v>
      </c>
      <c r="B205" s="95" t="str">
        <f t="shared" si="85"/>
        <v>CNO</v>
      </c>
      <c r="C205" s="95" t="str">
        <f t="shared" si="85"/>
        <v>Commercial - Other</v>
      </c>
      <c r="E205" s="114"/>
      <c r="F205" s="114"/>
      <c r="I205" s="169"/>
      <c r="J205" s="171">
        <f t="shared" si="86"/>
        <v>0</v>
      </c>
      <c r="K205" s="171">
        <f t="shared" si="86"/>
        <v>0</v>
      </c>
      <c r="L205" s="171">
        <f t="shared" si="86"/>
        <v>0</v>
      </c>
      <c r="M205" s="171">
        <f t="shared" si="86"/>
        <v>0</v>
      </c>
      <c r="N205" s="171">
        <f t="shared" si="86"/>
        <v>0</v>
      </c>
      <c r="O205" s="171">
        <f t="shared" si="86"/>
        <v>0</v>
      </c>
      <c r="P205" s="171">
        <f t="shared" si="86"/>
        <v>0</v>
      </c>
      <c r="Q205" s="171">
        <f t="shared" si="86"/>
        <v>0</v>
      </c>
      <c r="R205" s="171">
        <f t="shared" si="86"/>
        <v>0</v>
      </c>
      <c r="S205" s="171">
        <f t="shared" si="86"/>
        <v>0</v>
      </c>
      <c r="T205" s="171">
        <f t="shared" si="86"/>
        <v>0</v>
      </c>
      <c r="U205" s="171">
        <f t="shared" si="86"/>
        <v>0</v>
      </c>
      <c r="V205" s="171">
        <f t="shared" si="86"/>
        <v>0</v>
      </c>
      <c r="W205" s="171">
        <f t="shared" si="86"/>
        <v>0</v>
      </c>
      <c r="X205" s="171">
        <f t="shared" si="86"/>
        <v>0</v>
      </c>
      <c r="Y205" s="171">
        <f t="shared" si="86"/>
        <v>0</v>
      </c>
      <c r="Z205" s="171">
        <f t="shared" si="87"/>
        <v>0</v>
      </c>
      <c r="AA205" s="171">
        <f t="shared" si="87"/>
        <v>0</v>
      </c>
      <c r="AB205" s="171">
        <f t="shared" si="87"/>
        <v>0</v>
      </c>
      <c r="AC205" s="171">
        <f t="shared" si="87"/>
        <v>0.53096322722522249</v>
      </c>
      <c r="AD205" s="171">
        <f t="shared" si="87"/>
        <v>1.0775552186431807</v>
      </c>
      <c r="AE205" s="171">
        <f t="shared" si="87"/>
        <v>1.6359144143119273</v>
      </c>
      <c r="AF205" s="171">
        <f t="shared" si="87"/>
        <v>2.2074213202012123</v>
      </c>
      <c r="AG205" s="171">
        <f t="shared" si="87"/>
        <v>2.7654146661933043</v>
      </c>
      <c r="AH205" s="171">
        <f t="shared" si="87"/>
        <v>3.3307685068307329</v>
      </c>
      <c r="AI205" s="171">
        <f t="shared" si="87"/>
        <v>3.9328733269328127</v>
      </c>
      <c r="AJ205" s="171">
        <f t="shared" si="87"/>
        <v>4.5551152329913238</v>
      </c>
      <c r="AK205" s="171">
        <f t="shared" si="87"/>
        <v>5.1928706149244288</v>
      </c>
      <c r="AL205" s="171">
        <f t="shared" si="87"/>
        <v>5.8403634307881225</v>
      </c>
      <c r="AM205" s="171">
        <f t="shared" si="87"/>
        <v>5.8403634307881225</v>
      </c>
      <c r="AN205" s="171">
        <f t="shared" si="88"/>
        <v>5.8403634307881225</v>
      </c>
      <c r="AO205" s="171">
        <f t="shared" si="88"/>
        <v>5.8403634307881225</v>
      </c>
      <c r="AP205" s="171">
        <f t="shared" si="88"/>
        <v>5.8403634307881225</v>
      </c>
      <c r="AQ205" s="171">
        <f t="shared" si="88"/>
        <v>5.8403634307881225</v>
      </c>
      <c r="AR205" s="171">
        <f t="shared" si="88"/>
        <v>5.8403634307881225</v>
      </c>
      <c r="AS205" s="171">
        <f t="shared" si="88"/>
        <v>5.8403634307881225</v>
      </c>
      <c r="AT205" s="171">
        <f t="shared" si="88"/>
        <v>5.8403634307881225</v>
      </c>
      <c r="AU205" s="171">
        <f t="shared" si="88"/>
        <v>5.8403634307881225</v>
      </c>
      <c r="AV205" s="171">
        <f t="shared" si="88"/>
        <v>5.8403634307881225</v>
      </c>
    </row>
    <row r="206" spans="1:48">
      <c r="A206" s="199" t="s">
        <v>16</v>
      </c>
      <c r="E206" s="114"/>
      <c r="F206" s="114"/>
      <c r="I206" s="169"/>
      <c r="J206" s="171"/>
      <c r="K206" s="171"/>
      <c r="L206" s="171"/>
      <c r="M206" s="171"/>
      <c r="N206" s="171"/>
      <c r="O206" s="171"/>
      <c r="P206" s="171"/>
      <c r="Q206" s="171"/>
      <c r="R206" s="171"/>
      <c r="S206" s="171"/>
      <c r="T206" s="171"/>
      <c r="U206" s="171"/>
      <c r="V206" s="171"/>
      <c r="W206" s="171"/>
      <c r="X206" s="171"/>
      <c r="Y206" s="171"/>
      <c r="Z206" s="171"/>
      <c r="AA206" s="171"/>
      <c r="AB206" s="171"/>
      <c r="AC206" s="171"/>
      <c r="AD206" s="171"/>
      <c r="AE206" s="171"/>
      <c r="AF206" s="171"/>
      <c r="AG206" s="171"/>
      <c r="AH206" s="171"/>
      <c r="AI206" s="171"/>
      <c r="AJ206" s="171"/>
      <c r="AK206" s="171"/>
      <c r="AL206" s="171"/>
      <c r="AM206" s="171"/>
      <c r="AN206" s="171"/>
      <c r="AO206" s="171"/>
      <c r="AP206" s="171"/>
      <c r="AQ206" s="171"/>
      <c r="AR206" s="171"/>
      <c r="AS206" s="171"/>
      <c r="AT206" s="171"/>
      <c r="AU206" s="171"/>
      <c r="AV206" s="171"/>
    </row>
    <row r="207" spans="1:48">
      <c r="A207" s="199" t="s">
        <v>16</v>
      </c>
      <c r="E207" s="114"/>
      <c r="F207" s="114"/>
      <c r="I207" s="169" t="s">
        <v>232</v>
      </c>
      <c r="J207" s="171"/>
      <c r="K207" s="171"/>
      <c r="L207" s="171"/>
      <c r="M207" s="171"/>
      <c r="N207" s="171"/>
      <c r="O207" s="171"/>
      <c r="P207" s="171"/>
      <c r="Q207" s="171"/>
      <c r="R207" s="171"/>
      <c r="S207" s="171"/>
      <c r="T207" s="171"/>
      <c r="U207" s="171"/>
      <c r="V207" s="171"/>
      <c r="W207" s="171"/>
      <c r="X207" s="171"/>
      <c r="Y207" s="171"/>
      <c r="Z207" s="171"/>
      <c r="AA207" s="171"/>
      <c r="AB207" s="171"/>
      <c r="AC207" s="171"/>
      <c r="AD207" s="171"/>
      <c r="AE207" s="171"/>
      <c r="AF207" s="171"/>
      <c r="AG207" s="171"/>
      <c r="AH207" s="171"/>
      <c r="AI207" s="171"/>
      <c r="AJ207" s="171"/>
      <c r="AK207" s="171"/>
      <c r="AL207" s="171"/>
      <c r="AM207" s="171"/>
      <c r="AN207" s="171"/>
      <c r="AO207" s="171"/>
      <c r="AP207" s="171"/>
      <c r="AQ207" s="171"/>
      <c r="AR207" s="171"/>
      <c r="AS207" s="171"/>
      <c r="AT207" s="171"/>
      <c r="AU207" s="171"/>
      <c r="AV207" s="171"/>
    </row>
    <row r="208" spans="1:48">
      <c r="A208" s="199" t="s">
        <v>16</v>
      </c>
      <c r="B208" s="95" t="str">
        <f t="shared" ref="B208:C216" si="89">B197</f>
        <v>CNC</v>
      </c>
      <c r="C208" s="95" t="str">
        <f t="shared" si="89"/>
        <v>Commercial - Cooling</v>
      </c>
      <c r="E208" s="97"/>
      <c r="F208" s="114"/>
      <c r="I208" s="169"/>
      <c r="J208" s="171">
        <f t="shared" ref="J208:Y216" si="90">INDEX(J$49:J$52,MATCH($I$207,$B$49:$B$52,0),1)*INDEX(J$81:J$89,MATCH($B208,$B$81:$B$89,0))*INDEX(J$138:J$146,MATCH($B208,$B$138:$B$146,0))/1000</f>
        <v>0</v>
      </c>
      <c r="K208" s="171">
        <f t="shared" si="90"/>
        <v>0</v>
      </c>
      <c r="L208" s="171">
        <f t="shared" si="90"/>
        <v>0</v>
      </c>
      <c r="M208" s="171">
        <f t="shared" si="90"/>
        <v>0</v>
      </c>
      <c r="N208" s="171">
        <f t="shared" si="90"/>
        <v>0</v>
      </c>
      <c r="O208" s="171">
        <f t="shared" si="90"/>
        <v>0</v>
      </c>
      <c r="P208" s="171">
        <f t="shared" si="90"/>
        <v>0</v>
      </c>
      <c r="Q208" s="171">
        <f t="shared" si="90"/>
        <v>0</v>
      </c>
      <c r="R208" s="171">
        <f t="shared" si="90"/>
        <v>0</v>
      </c>
      <c r="S208" s="171">
        <f t="shared" si="90"/>
        <v>0</v>
      </c>
      <c r="T208" s="171">
        <f t="shared" si="90"/>
        <v>0</v>
      </c>
      <c r="U208" s="171">
        <f t="shared" si="90"/>
        <v>0</v>
      </c>
      <c r="V208" s="171">
        <f t="shared" si="90"/>
        <v>0</v>
      </c>
      <c r="W208" s="171">
        <f t="shared" si="90"/>
        <v>0</v>
      </c>
      <c r="X208" s="171">
        <f t="shared" si="90"/>
        <v>0</v>
      </c>
      <c r="Y208" s="171">
        <f t="shared" si="90"/>
        <v>0</v>
      </c>
      <c r="Z208" s="171">
        <f t="shared" ref="Z208:AO216" si="91">INDEX(Z$49:Z$52,MATCH($I$207,$B$49:$B$52,0),1)*INDEX(Z$81:Z$89,MATCH($B208,$B$81:$B$89,0))*INDEX(Z$138:Z$146,MATCH($B208,$B$138:$B$146,0))/1000</f>
        <v>0</v>
      </c>
      <c r="AA208" s="171">
        <f t="shared" si="91"/>
        <v>0</v>
      </c>
      <c r="AB208" s="171">
        <f t="shared" si="91"/>
        <v>0</v>
      </c>
      <c r="AC208" s="171">
        <f t="shared" si="91"/>
        <v>0</v>
      </c>
      <c r="AD208" s="171">
        <f t="shared" si="91"/>
        <v>0</v>
      </c>
      <c r="AE208" s="171">
        <f t="shared" si="91"/>
        <v>0</v>
      </c>
      <c r="AF208" s="171">
        <f t="shared" si="91"/>
        <v>0</v>
      </c>
      <c r="AG208" s="171">
        <f t="shared" si="91"/>
        <v>0</v>
      </c>
      <c r="AH208" s="171">
        <f t="shared" si="91"/>
        <v>0</v>
      </c>
      <c r="AI208" s="171">
        <f t="shared" si="91"/>
        <v>0</v>
      </c>
      <c r="AJ208" s="171">
        <f t="shared" si="91"/>
        <v>0</v>
      </c>
      <c r="AK208" s="171">
        <f t="shared" si="91"/>
        <v>0</v>
      </c>
      <c r="AL208" s="171">
        <f t="shared" si="91"/>
        <v>0</v>
      </c>
      <c r="AM208" s="171">
        <f t="shared" si="91"/>
        <v>5.0053472731659241</v>
      </c>
      <c r="AN208" s="171">
        <f t="shared" si="91"/>
        <v>9.8772136198836087</v>
      </c>
      <c r="AO208" s="171">
        <f t="shared" si="91"/>
        <v>14.627153153405708</v>
      </c>
      <c r="AP208" s="171">
        <f t="shared" ref="AN208:AV216" si="92">INDEX(AP$49:AP$52,MATCH($I$207,$B$49:$B$52,0),1)*INDEX(AP$81:AP$89,MATCH($B208,$B$81:$B$89,0))*INDEX(AP$138:AP$146,MATCH($B208,$B$138:$B$146,0))/1000</f>
        <v>19.265163962943664</v>
      </c>
      <c r="AQ208" s="171">
        <f t="shared" si="92"/>
        <v>23.79996504029322</v>
      </c>
      <c r="AR208" s="171">
        <f t="shared" si="92"/>
        <v>29.164541649069797</v>
      </c>
      <c r="AS208" s="171">
        <f t="shared" si="92"/>
        <v>34.388957247022603</v>
      </c>
      <c r="AT208" s="171">
        <f t="shared" si="92"/>
        <v>39.484941403729735</v>
      </c>
      <c r="AU208" s="171">
        <f t="shared" si="92"/>
        <v>44.462693802016162</v>
      </c>
      <c r="AV208" s="171">
        <f t="shared" si="92"/>
        <v>49.75418352325034</v>
      </c>
    </row>
    <row r="209" spans="1:48">
      <c r="A209" s="199" t="s">
        <v>16</v>
      </c>
      <c r="B209" s="95" t="str">
        <f t="shared" si="89"/>
        <v>CNH</v>
      </c>
      <c r="C209" s="95" t="str">
        <f t="shared" si="89"/>
        <v>Commercial - Space Heating</v>
      </c>
      <c r="E209" s="114"/>
      <c r="F209" s="114"/>
      <c r="I209" s="169"/>
      <c r="J209" s="171">
        <f t="shared" si="90"/>
        <v>0</v>
      </c>
      <c r="K209" s="171">
        <f t="shared" si="90"/>
        <v>0</v>
      </c>
      <c r="L209" s="171">
        <f t="shared" si="90"/>
        <v>0</v>
      </c>
      <c r="M209" s="171">
        <f t="shared" si="90"/>
        <v>0</v>
      </c>
      <c r="N209" s="171">
        <f t="shared" si="90"/>
        <v>0</v>
      </c>
      <c r="O209" s="171">
        <f t="shared" si="90"/>
        <v>0</v>
      </c>
      <c r="P209" s="171">
        <f t="shared" si="90"/>
        <v>0</v>
      </c>
      <c r="Q209" s="171">
        <f t="shared" si="90"/>
        <v>0</v>
      </c>
      <c r="R209" s="171">
        <f t="shared" si="90"/>
        <v>0</v>
      </c>
      <c r="S209" s="171">
        <f t="shared" si="90"/>
        <v>0</v>
      </c>
      <c r="T209" s="171">
        <f t="shared" si="90"/>
        <v>0</v>
      </c>
      <c r="U209" s="171">
        <f t="shared" si="90"/>
        <v>0</v>
      </c>
      <c r="V209" s="171">
        <f t="shared" si="90"/>
        <v>0</v>
      </c>
      <c r="W209" s="171">
        <f t="shared" si="90"/>
        <v>0</v>
      </c>
      <c r="X209" s="171">
        <f t="shared" si="90"/>
        <v>0</v>
      </c>
      <c r="Y209" s="171">
        <f t="shared" si="90"/>
        <v>0</v>
      </c>
      <c r="Z209" s="171">
        <f t="shared" si="91"/>
        <v>0</v>
      </c>
      <c r="AA209" s="171">
        <f t="shared" si="91"/>
        <v>0</v>
      </c>
      <c r="AB209" s="171">
        <f t="shared" si="91"/>
        <v>0</v>
      </c>
      <c r="AC209" s="171">
        <f t="shared" si="91"/>
        <v>0</v>
      </c>
      <c r="AD209" s="171">
        <f t="shared" si="91"/>
        <v>0</v>
      </c>
      <c r="AE209" s="171">
        <f t="shared" si="91"/>
        <v>0</v>
      </c>
      <c r="AF209" s="171">
        <f t="shared" si="91"/>
        <v>0</v>
      </c>
      <c r="AG209" s="171">
        <f t="shared" si="91"/>
        <v>0</v>
      </c>
      <c r="AH209" s="171">
        <f t="shared" si="91"/>
        <v>0</v>
      </c>
      <c r="AI209" s="171">
        <f t="shared" si="91"/>
        <v>0</v>
      </c>
      <c r="AJ209" s="171">
        <f t="shared" si="91"/>
        <v>0</v>
      </c>
      <c r="AK209" s="171">
        <f t="shared" si="91"/>
        <v>0</v>
      </c>
      <c r="AL209" s="171">
        <f t="shared" si="91"/>
        <v>0</v>
      </c>
      <c r="AM209" s="171">
        <f t="shared" si="91"/>
        <v>0.4773416407864654</v>
      </c>
      <c r="AN209" s="171">
        <f t="shared" si="92"/>
        <v>0.94195369440001142</v>
      </c>
      <c r="AO209" s="171">
        <f t="shared" si="92"/>
        <v>1.3949380343125193</v>
      </c>
      <c r="AP209" s="171">
        <f t="shared" si="92"/>
        <v>1.8372481416809316</v>
      </c>
      <c r="AQ209" s="171">
        <f t="shared" si="92"/>
        <v>2.2697155148254748</v>
      </c>
      <c r="AR209" s="171">
        <f t="shared" si="92"/>
        <v>2.7813155419177837</v>
      </c>
      <c r="AS209" s="171">
        <f t="shared" si="92"/>
        <v>3.2795489266515125</v>
      </c>
      <c r="AT209" s="171">
        <f t="shared" si="92"/>
        <v>3.7655342751258085</v>
      </c>
      <c r="AU209" s="171">
        <f t="shared" si="92"/>
        <v>4.2402442937423421</v>
      </c>
      <c r="AV209" s="171">
        <f t="shared" si="92"/>
        <v>4.7448742920003886</v>
      </c>
    </row>
    <row r="210" spans="1:48">
      <c r="A210" s="199" t="s">
        <v>16</v>
      </c>
      <c r="B210" s="95" t="str">
        <f t="shared" si="89"/>
        <v>CNK</v>
      </c>
      <c r="C210" s="95" t="str">
        <f t="shared" si="89"/>
        <v>Commercial - Cooking</v>
      </c>
      <c r="E210" s="114"/>
      <c r="F210" s="114"/>
      <c r="I210" s="169"/>
      <c r="J210" s="171">
        <f t="shared" si="90"/>
        <v>0</v>
      </c>
      <c r="K210" s="171">
        <f t="shared" si="90"/>
        <v>0</v>
      </c>
      <c r="L210" s="171">
        <f t="shared" si="90"/>
        <v>0</v>
      </c>
      <c r="M210" s="171">
        <f t="shared" si="90"/>
        <v>0</v>
      </c>
      <c r="N210" s="171">
        <f t="shared" si="90"/>
        <v>0</v>
      </c>
      <c r="O210" s="171">
        <f t="shared" si="90"/>
        <v>0</v>
      </c>
      <c r="P210" s="171">
        <f t="shared" si="90"/>
        <v>0</v>
      </c>
      <c r="Q210" s="171">
        <f t="shared" si="90"/>
        <v>0</v>
      </c>
      <c r="R210" s="171">
        <f t="shared" si="90"/>
        <v>0</v>
      </c>
      <c r="S210" s="171">
        <f t="shared" si="90"/>
        <v>0</v>
      </c>
      <c r="T210" s="171">
        <f t="shared" si="90"/>
        <v>0</v>
      </c>
      <c r="U210" s="171">
        <f t="shared" si="90"/>
        <v>0</v>
      </c>
      <c r="V210" s="171">
        <f t="shared" si="90"/>
        <v>0</v>
      </c>
      <c r="W210" s="171">
        <f t="shared" si="90"/>
        <v>0</v>
      </c>
      <c r="X210" s="171">
        <f t="shared" si="90"/>
        <v>0</v>
      </c>
      <c r="Y210" s="171">
        <f t="shared" si="90"/>
        <v>0</v>
      </c>
      <c r="Z210" s="171">
        <f t="shared" si="91"/>
        <v>0</v>
      </c>
      <c r="AA210" s="171">
        <f t="shared" si="91"/>
        <v>0</v>
      </c>
      <c r="AB210" s="171">
        <f t="shared" si="91"/>
        <v>0</v>
      </c>
      <c r="AC210" s="171">
        <f t="shared" si="91"/>
        <v>0</v>
      </c>
      <c r="AD210" s="171">
        <f t="shared" si="91"/>
        <v>0</v>
      </c>
      <c r="AE210" s="171">
        <f t="shared" si="91"/>
        <v>0</v>
      </c>
      <c r="AF210" s="171">
        <f t="shared" si="91"/>
        <v>0</v>
      </c>
      <c r="AG210" s="171">
        <f t="shared" si="91"/>
        <v>0</v>
      </c>
      <c r="AH210" s="171">
        <f t="shared" si="91"/>
        <v>0</v>
      </c>
      <c r="AI210" s="171">
        <f t="shared" si="91"/>
        <v>0</v>
      </c>
      <c r="AJ210" s="171">
        <f t="shared" si="91"/>
        <v>0</v>
      </c>
      <c r="AK210" s="171">
        <f t="shared" si="91"/>
        <v>0</v>
      </c>
      <c r="AL210" s="171">
        <f t="shared" si="91"/>
        <v>0</v>
      </c>
      <c r="AM210" s="171">
        <f t="shared" si="91"/>
        <v>0.35702709759619539</v>
      </c>
      <c r="AN210" s="171">
        <f t="shared" si="92"/>
        <v>0.70453311600378854</v>
      </c>
      <c r="AO210" s="171">
        <f t="shared" si="92"/>
        <v>1.043342200141157</v>
      </c>
      <c r="AP210" s="171">
        <f t="shared" si="92"/>
        <v>1.3741675050758433</v>
      </c>
      <c r="AQ210" s="171">
        <f t="shared" si="92"/>
        <v>1.6976309489615562</v>
      </c>
      <c r="AR210" s="171">
        <f t="shared" si="92"/>
        <v>2.0802815647803663</v>
      </c>
      <c r="AS210" s="171">
        <f t="shared" si="92"/>
        <v>2.4529346167620312</v>
      </c>
      <c r="AT210" s="171">
        <f t="shared" si="92"/>
        <v>2.8164267649730679</v>
      </c>
      <c r="AU210" s="171">
        <f t="shared" si="92"/>
        <v>3.1714855439793483</v>
      </c>
      <c r="AV210" s="171">
        <f t="shared" si="92"/>
        <v>3.5489229352389962</v>
      </c>
    </row>
    <row r="211" spans="1:48">
      <c r="A211" s="199" t="s">
        <v>16</v>
      </c>
      <c r="B211" s="95" t="str">
        <f t="shared" si="89"/>
        <v>CNL</v>
      </c>
      <c r="C211" s="95" t="str">
        <f t="shared" si="89"/>
        <v>Commercial - Lighting</v>
      </c>
      <c r="E211" s="114"/>
      <c r="F211" s="114"/>
      <c r="I211" s="169"/>
      <c r="J211" s="171">
        <f t="shared" si="90"/>
        <v>0</v>
      </c>
      <c r="K211" s="171">
        <f t="shared" si="90"/>
        <v>0</v>
      </c>
      <c r="L211" s="171">
        <f t="shared" si="90"/>
        <v>0</v>
      </c>
      <c r="M211" s="171">
        <f t="shared" si="90"/>
        <v>0</v>
      </c>
      <c r="N211" s="171">
        <f t="shared" si="90"/>
        <v>0</v>
      </c>
      <c r="O211" s="171">
        <f t="shared" si="90"/>
        <v>0</v>
      </c>
      <c r="P211" s="171">
        <f t="shared" si="90"/>
        <v>0</v>
      </c>
      <c r="Q211" s="171">
        <f t="shared" si="90"/>
        <v>0</v>
      </c>
      <c r="R211" s="171">
        <f t="shared" si="90"/>
        <v>0</v>
      </c>
      <c r="S211" s="171">
        <f t="shared" si="90"/>
        <v>0</v>
      </c>
      <c r="T211" s="171">
        <f t="shared" si="90"/>
        <v>0</v>
      </c>
      <c r="U211" s="171">
        <f t="shared" si="90"/>
        <v>0</v>
      </c>
      <c r="V211" s="171">
        <f t="shared" si="90"/>
        <v>0</v>
      </c>
      <c r="W211" s="171">
        <f t="shared" si="90"/>
        <v>0</v>
      </c>
      <c r="X211" s="171">
        <f t="shared" si="90"/>
        <v>0</v>
      </c>
      <c r="Y211" s="171">
        <f t="shared" si="90"/>
        <v>0</v>
      </c>
      <c r="Z211" s="171">
        <f t="shared" si="91"/>
        <v>0</v>
      </c>
      <c r="AA211" s="171">
        <f t="shared" si="91"/>
        <v>0</v>
      </c>
      <c r="AB211" s="171">
        <f t="shared" si="91"/>
        <v>0</v>
      </c>
      <c r="AC211" s="171">
        <f t="shared" si="91"/>
        <v>0</v>
      </c>
      <c r="AD211" s="171">
        <f t="shared" si="91"/>
        <v>0</v>
      </c>
      <c r="AE211" s="171">
        <f t="shared" si="91"/>
        <v>0</v>
      </c>
      <c r="AF211" s="171">
        <f t="shared" si="91"/>
        <v>0</v>
      </c>
      <c r="AG211" s="171">
        <f t="shared" si="91"/>
        <v>0</v>
      </c>
      <c r="AH211" s="171">
        <f t="shared" si="91"/>
        <v>0</v>
      </c>
      <c r="AI211" s="171">
        <f t="shared" si="91"/>
        <v>0</v>
      </c>
      <c r="AJ211" s="171">
        <f t="shared" si="91"/>
        <v>0</v>
      </c>
      <c r="AK211" s="171">
        <f t="shared" si="91"/>
        <v>0</v>
      </c>
      <c r="AL211" s="171">
        <f t="shared" si="91"/>
        <v>0</v>
      </c>
      <c r="AM211" s="171">
        <f t="shared" si="91"/>
        <v>4.3558078734192822</v>
      </c>
      <c r="AN211" s="171">
        <f t="shared" si="92"/>
        <v>8.595456519787211</v>
      </c>
      <c r="AO211" s="171">
        <f t="shared" si="92"/>
        <v>12.729000685503925</v>
      </c>
      <c r="AP211" s="171">
        <f t="shared" si="92"/>
        <v>16.765141016764307</v>
      </c>
      <c r="AQ211" s="171">
        <f t="shared" si="92"/>
        <v>20.711465049665161</v>
      </c>
      <c r="AR211" s="171">
        <f t="shared" si="92"/>
        <v>25.379885391914474</v>
      </c>
      <c r="AS211" s="171">
        <f t="shared" si="92"/>
        <v>29.926333291259457</v>
      </c>
      <c r="AT211" s="171">
        <f t="shared" si="92"/>
        <v>34.36101618161662</v>
      </c>
      <c r="AU211" s="171">
        <f t="shared" si="92"/>
        <v>38.692810142173052</v>
      </c>
      <c r="AV211" s="171">
        <f t="shared" si="92"/>
        <v>43.297628016336361</v>
      </c>
    </row>
    <row r="212" spans="1:48">
      <c r="A212" s="199" t="s">
        <v>16</v>
      </c>
      <c r="B212" s="95" t="str">
        <f t="shared" si="89"/>
        <v>CNR</v>
      </c>
      <c r="C212" s="95" t="str">
        <f t="shared" si="89"/>
        <v>Commercial - Refrigeration</v>
      </c>
      <c r="E212" s="114"/>
      <c r="F212" s="114"/>
      <c r="I212" s="169"/>
      <c r="J212" s="171">
        <f t="shared" si="90"/>
        <v>0</v>
      </c>
      <c r="K212" s="171">
        <f t="shared" si="90"/>
        <v>0</v>
      </c>
      <c r="L212" s="171">
        <f t="shared" si="90"/>
        <v>0</v>
      </c>
      <c r="M212" s="171">
        <f t="shared" si="90"/>
        <v>0</v>
      </c>
      <c r="N212" s="171">
        <f t="shared" si="90"/>
        <v>0</v>
      </c>
      <c r="O212" s="171">
        <f t="shared" si="90"/>
        <v>0</v>
      </c>
      <c r="P212" s="171">
        <f t="shared" si="90"/>
        <v>0</v>
      </c>
      <c r="Q212" s="171">
        <f t="shared" si="90"/>
        <v>0</v>
      </c>
      <c r="R212" s="171">
        <f t="shared" si="90"/>
        <v>0</v>
      </c>
      <c r="S212" s="171">
        <f t="shared" si="90"/>
        <v>0</v>
      </c>
      <c r="T212" s="171">
        <f t="shared" si="90"/>
        <v>0</v>
      </c>
      <c r="U212" s="171">
        <f t="shared" si="90"/>
        <v>0</v>
      </c>
      <c r="V212" s="171">
        <f t="shared" si="90"/>
        <v>0</v>
      </c>
      <c r="W212" s="171">
        <f t="shared" si="90"/>
        <v>0</v>
      </c>
      <c r="X212" s="171">
        <f t="shared" si="90"/>
        <v>0</v>
      </c>
      <c r="Y212" s="171">
        <f t="shared" si="90"/>
        <v>0</v>
      </c>
      <c r="Z212" s="171">
        <f t="shared" si="91"/>
        <v>0</v>
      </c>
      <c r="AA212" s="171">
        <f t="shared" si="91"/>
        <v>0</v>
      </c>
      <c r="AB212" s="171">
        <f t="shared" si="91"/>
        <v>0</v>
      </c>
      <c r="AC212" s="171">
        <f t="shared" si="91"/>
        <v>0</v>
      </c>
      <c r="AD212" s="171">
        <f t="shared" si="91"/>
        <v>0</v>
      </c>
      <c r="AE212" s="171">
        <f t="shared" si="91"/>
        <v>0</v>
      </c>
      <c r="AF212" s="171">
        <f t="shared" si="91"/>
        <v>0</v>
      </c>
      <c r="AG212" s="171">
        <f t="shared" si="91"/>
        <v>0</v>
      </c>
      <c r="AH212" s="171">
        <f t="shared" si="91"/>
        <v>0</v>
      </c>
      <c r="AI212" s="171">
        <f t="shared" si="91"/>
        <v>0</v>
      </c>
      <c r="AJ212" s="171">
        <f t="shared" si="91"/>
        <v>0</v>
      </c>
      <c r="AK212" s="171">
        <f t="shared" si="91"/>
        <v>0</v>
      </c>
      <c r="AL212" s="171">
        <f t="shared" si="91"/>
        <v>0</v>
      </c>
      <c r="AM212" s="171">
        <f t="shared" si="91"/>
        <v>1.0596118797437661</v>
      </c>
      <c r="AN212" s="171">
        <f t="shared" si="92"/>
        <v>2.0909663843914985</v>
      </c>
      <c r="AO212" s="171">
        <f t="shared" si="92"/>
        <v>3.0965094732331853</v>
      </c>
      <c r="AP212" s="171">
        <f t="shared" si="92"/>
        <v>4.0783577015296339</v>
      </c>
      <c r="AQ212" s="171">
        <f t="shared" si="92"/>
        <v>5.0383568447649312</v>
      </c>
      <c r="AR212" s="171">
        <f t="shared" si="92"/>
        <v>6.1740161295721121</v>
      </c>
      <c r="AS212" s="171">
        <f t="shared" si="92"/>
        <v>7.2800038922969073</v>
      </c>
      <c r="AT212" s="171">
        <f t="shared" si="92"/>
        <v>8.358803235627482</v>
      </c>
      <c r="AU212" s="171">
        <f t="shared" si="92"/>
        <v>9.4125733913815637</v>
      </c>
      <c r="AV212" s="171">
        <f t="shared" si="92"/>
        <v>10.532760476146082</v>
      </c>
    </row>
    <row r="213" spans="1:48">
      <c r="A213" s="199" t="s">
        <v>16</v>
      </c>
      <c r="B213" s="95" t="str">
        <f t="shared" si="89"/>
        <v>CNW</v>
      </c>
      <c r="C213" s="95" t="str">
        <f t="shared" si="89"/>
        <v>Commercial - Water Heating</v>
      </c>
      <c r="E213" s="114"/>
      <c r="F213" s="114"/>
      <c r="I213" s="165"/>
      <c r="J213" s="171">
        <f t="shared" si="90"/>
        <v>0</v>
      </c>
      <c r="K213" s="171">
        <f t="shared" si="90"/>
        <v>0</v>
      </c>
      <c r="L213" s="171">
        <f t="shared" si="90"/>
        <v>0</v>
      </c>
      <c r="M213" s="171">
        <f t="shared" si="90"/>
        <v>0</v>
      </c>
      <c r="N213" s="171">
        <f t="shared" si="90"/>
        <v>0</v>
      </c>
      <c r="O213" s="171">
        <f t="shared" si="90"/>
        <v>0</v>
      </c>
      <c r="P213" s="171">
        <f t="shared" si="90"/>
        <v>0</v>
      </c>
      <c r="Q213" s="171">
        <f t="shared" si="90"/>
        <v>0</v>
      </c>
      <c r="R213" s="171">
        <f t="shared" si="90"/>
        <v>0</v>
      </c>
      <c r="S213" s="171">
        <f t="shared" si="90"/>
        <v>0</v>
      </c>
      <c r="T213" s="171">
        <f t="shared" si="90"/>
        <v>0</v>
      </c>
      <c r="U213" s="171">
        <f t="shared" si="90"/>
        <v>0</v>
      </c>
      <c r="V213" s="171">
        <f t="shared" si="90"/>
        <v>0</v>
      </c>
      <c r="W213" s="171">
        <f t="shared" si="90"/>
        <v>0</v>
      </c>
      <c r="X213" s="171">
        <f t="shared" si="90"/>
        <v>0</v>
      </c>
      <c r="Y213" s="171">
        <f t="shared" si="90"/>
        <v>0</v>
      </c>
      <c r="Z213" s="171">
        <f t="shared" si="91"/>
        <v>0</v>
      </c>
      <c r="AA213" s="171">
        <f t="shared" si="91"/>
        <v>0</v>
      </c>
      <c r="AB213" s="171">
        <f t="shared" si="91"/>
        <v>0</v>
      </c>
      <c r="AC213" s="171">
        <f t="shared" si="91"/>
        <v>0</v>
      </c>
      <c r="AD213" s="171">
        <f t="shared" si="91"/>
        <v>0</v>
      </c>
      <c r="AE213" s="171">
        <f t="shared" si="91"/>
        <v>0</v>
      </c>
      <c r="AF213" s="171">
        <f t="shared" si="91"/>
        <v>0</v>
      </c>
      <c r="AG213" s="171">
        <f t="shared" si="91"/>
        <v>0</v>
      </c>
      <c r="AH213" s="171">
        <f t="shared" si="91"/>
        <v>0</v>
      </c>
      <c r="AI213" s="171">
        <f t="shared" si="91"/>
        <v>0</v>
      </c>
      <c r="AJ213" s="171">
        <f t="shared" si="91"/>
        <v>0</v>
      </c>
      <c r="AK213" s="171">
        <f t="shared" si="91"/>
        <v>0</v>
      </c>
      <c r="AL213" s="171">
        <f t="shared" si="91"/>
        <v>0</v>
      </c>
      <c r="AM213" s="171">
        <f t="shared" si="91"/>
        <v>0.55236483610668874</v>
      </c>
      <c r="AN213" s="171">
        <f t="shared" si="92"/>
        <v>1.0899993915680715</v>
      </c>
      <c r="AO213" s="171">
        <f t="shared" si="92"/>
        <v>1.6141787199468403</v>
      </c>
      <c r="AP213" s="171">
        <f t="shared" si="92"/>
        <v>2.1260061598541373</v>
      </c>
      <c r="AQ213" s="171">
        <f t="shared" si="92"/>
        <v>2.6264438951728044</v>
      </c>
      <c r="AR213" s="171">
        <f t="shared" si="92"/>
        <v>3.2184514657912562</v>
      </c>
      <c r="AS213" s="171">
        <f t="shared" si="92"/>
        <v>3.7949915754031012</v>
      </c>
      <c r="AT213" s="171">
        <f t="shared" si="92"/>
        <v>4.357358640044632</v>
      </c>
      <c r="AU213" s="171">
        <f t="shared" si="92"/>
        <v>4.9066782451796538</v>
      </c>
      <c r="AV213" s="171">
        <f t="shared" si="92"/>
        <v>5.49062031615229</v>
      </c>
    </row>
    <row r="214" spans="1:48">
      <c r="A214" s="199" t="s">
        <v>16</v>
      </c>
      <c r="B214" s="95" t="str">
        <f t="shared" si="89"/>
        <v>CNG</v>
      </c>
      <c r="C214" s="95" t="str">
        <f t="shared" si="89"/>
        <v>Commercial - Public lights</v>
      </c>
      <c r="E214" s="114"/>
      <c r="F214" s="114"/>
      <c r="I214" s="165"/>
      <c r="J214" s="171">
        <f t="shared" si="90"/>
        <v>0</v>
      </c>
      <c r="K214" s="171">
        <f t="shared" si="90"/>
        <v>0</v>
      </c>
      <c r="L214" s="171">
        <f t="shared" si="90"/>
        <v>0</v>
      </c>
      <c r="M214" s="171">
        <f t="shared" si="90"/>
        <v>0</v>
      </c>
      <c r="N214" s="171">
        <f t="shared" si="90"/>
        <v>0</v>
      </c>
      <c r="O214" s="171">
        <f t="shared" si="90"/>
        <v>0</v>
      </c>
      <c r="P214" s="171">
        <f t="shared" si="90"/>
        <v>0</v>
      </c>
      <c r="Q214" s="171">
        <f t="shared" si="90"/>
        <v>0</v>
      </c>
      <c r="R214" s="171">
        <f t="shared" si="90"/>
        <v>0</v>
      </c>
      <c r="S214" s="171">
        <f t="shared" si="90"/>
        <v>0</v>
      </c>
      <c r="T214" s="171">
        <f t="shared" si="90"/>
        <v>0</v>
      </c>
      <c r="U214" s="171">
        <f t="shared" si="90"/>
        <v>0</v>
      </c>
      <c r="V214" s="171">
        <f t="shared" si="90"/>
        <v>0</v>
      </c>
      <c r="W214" s="171">
        <f t="shared" si="90"/>
        <v>0</v>
      </c>
      <c r="X214" s="171">
        <f t="shared" si="90"/>
        <v>0</v>
      </c>
      <c r="Y214" s="171">
        <f t="shared" si="90"/>
        <v>0</v>
      </c>
      <c r="Z214" s="171">
        <f t="shared" si="91"/>
        <v>0</v>
      </c>
      <c r="AA214" s="171">
        <f t="shared" si="91"/>
        <v>0</v>
      </c>
      <c r="AB214" s="171">
        <f t="shared" si="91"/>
        <v>0</v>
      </c>
      <c r="AC214" s="171">
        <f t="shared" si="91"/>
        <v>0</v>
      </c>
      <c r="AD214" s="171">
        <f t="shared" si="91"/>
        <v>0</v>
      </c>
      <c r="AE214" s="171">
        <f t="shared" si="91"/>
        <v>0</v>
      </c>
      <c r="AF214" s="171">
        <f t="shared" si="91"/>
        <v>0</v>
      </c>
      <c r="AG214" s="171">
        <f t="shared" si="91"/>
        <v>0</v>
      </c>
      <c r="AH214" s="171">
        <f t="shared" si="91"/>
        <v>0</v>
      </c>
      <c r="AI214" s="171">
        <f t="shared" si="91"/>
        <v>0</v>
      </c>
      <c r="AJ214" s="171">
        <f t="shared" si="91"/>
        <v>0</v>
      </c>
      <c r="AK214" s="171">
        <f t="shared" si="91"/>
        <v>0</v>
      </c>
      <c r="AL214" s="171">
        <f t="shared" si="91"/>
        <v>0</v>
      </c>
      <c r="AM214" s="171">
        <f t="shared" si="91"/>
        <v>0</v>
      </c>
      <c r="AN214" s="171">
        <f t="shared" si="92"/>
        <v>0</v>
      </c>
      <c r="AO214" s="171">
        <f t="shared" si="92"/>
        <v>0</v>
      </c>
      <c r="AP214" s="171">
        <f t="shared" si="92"/>
        <v>0</v>
      </c>
      <c r="AQ214" s="171">
        <f t="shared" si="92"/>
        <v>0</v>
      </c>
      <c r="AR214" s="171">
        <f t="shared" si="92"/>
        <v>0</v>
      </c>
      <c r="AS214" s="171">
        <f t="shared" si="92"/>
        <v>0</v>
      </c>
      <c r="AT214" s="171">
        <f t="shared" si="92"/>
        <v>0</v>
      </c>
      <c r="AU214" s="171">
        <f t="shared" si="92"/>
        <v>0</v>
      </c>
      <c r="AV214" s="171">
        <f t="shared" si="92"/>
        <v>0</v>
      </c>
    </row>
    <row r="215" spans="1:48">
      <c r="A215" s="199" t="s">
        <v>16</v>
      </c>
      <c r="B215" s="95" t="str">
        <f t="shared" si="89"/>
        <v>CNT</v>
      </c>
      <c r="C215" s="95" t="str">
        <f t="shared" si="89"/>
        <v>Commercial - Public Water</v>
      </c>
      <c r="E215" s="114"/>
      <c r="F215" s="114"/>
      <c r="I215" s="165"/>
      <c r="J215" s="171">
        <f t="shared" si="90"/>
        <v>0</v>
      </c>
      <c r="K215" s="171">
        <f t="shared" si="90"/>
        <v>0</v>
      </c>
      <c r="L215" s="171">
        <f t="shared" si="90"/>
        <v>0</v>
      </c>
      <c r="M215" s="171">
        <f t="shared" si="90"/>
        <v>0</v>
      </c>
      <c r="N215" s="171">
        <f t="shared" si="90"/>
        <v>0</v>
      </c>
      <c r="O215" s="171">
        <f t="shared" si="90"/>
        <v>0</v>
      </c>
      <c r="P215" s="171">
        <f t="shared" si="90"/>
        <v>0</v>
      </c>
      <c r="Q215" s="171">
        <f t="shared" si="90"/>
        <v>0</v>
      </c>
      <c r="R215" s="171">
        <f t="shared" si="90"/>
        <v>0</v>
      </c>
      <c r="S215" s="171">
        <f t="shared" si="90"/>
        <v>0</v>
      </c>
      <c r="T215" s="171">
        <f t="shared" si="90"/>
        <v>0</v>
      </c>
      <c r="U215" s="171">
        <f t="shared" si="90"/>
        <v>0</v>
      </c>
      <c r="V215" s="171">
        <f t="shared" si="90"/>
        <v>0</v>
      </c>
      <c r="W215" s="171">
        <f t="shared" si="90"/>
        <v>0</v>
      </c>
      <c r="X215" s="171">
        <f t="shared" si="90"/>
        <v>0</v>
      </c>
      <c r="Y215" s="171">
        <f t="shared" si="90"/>
        <v>0</v>
      </c>
      <c r="Z215" s="171">
        <f t="shared" si="91"/>
        <v>0</v>
      </c>
      <c r="AA215" s="171">
        <f t="shared" si="91"/>
        <v>0</v>
      </c>
      <c r="AB215" s="171">
        <f t="shared" si="91"/>
        <v>0</v>
      </c>
      <c r="AC215" s="171">
        <f t="shared" si="91"/>
        <v>0</v>
      </c>
      <c r="AD215" s="171">
        <f t="shared" si="91"/>
        <v>0</v>
      </c>
      <c r="AE215" s="171">
        <f t="shared" si="91"/>
        <v>0</v>
      </c>
      <c r="AF215" s="171">
        <f t="shared" si="91"/>
        <v>0</v>
      </c>
      <c r="AG215" s="171">
        <f t="shared" si="91"/>
        <v>0</v>
      </c>
      <c r="AH215" s="171">
        <f t="shared" si="91"/>
        <v>0</v>
      </c>
      <c r="AI215" s="171">
        <f t="shared" si="91"/>
        <v>0</v>
      </c>
      <c r="AJ215" s="171">
        <f t="shared" si="91"/>
        <v>0</v>
      </c>
      <c r="AK215" s="171">
        <f t="shared" si="91"/>
        <v>0</v>
      </c>
      <c r="AL215" s="171">
        <f t="shared" si="91"/>
        <v>0</v>
      </c>
      <c r="AM215" s="171">
        <f t="shared" si="91"/>
        <v>0</v>
      </c>
      <c r="AN215" s="171">
        <f t="shared" si="92"/>
        <v>0</v>
      </c>
      <c r="AO215" s="171">
        <f t="shared" si="92"/>
        <v>0</v>
      </c>
      <c r="AP215" s="171">
        <f t="shared" si="92"/>
        <v>0</v>
      </c>
      <c r="AQ215" s="171">
        <f t="shared" si="92"/>
        <v>0</v>
      </c>
      <c r="AR215" s="171">
        <f t="shared" si="92"/>
        <v>0</v>
      </c>
      <c r="AS215" s="171">
        <f t="shared" si="92"/>
        <v>0</v>
      </c>
      <c r="AT215" s="171">
        <f t="shared" si="92"/>
        <v>0</v>
      </c>
      <c r="AU215" s="171">
        <f t="shared" si="92"/>
        <v>0</v>
      </c>
      <c r="AV215" s="171">
        <f t="shared" si="92"/>
        <v>0</v>
      </c>
    </row>
    <row r="216" spans="1:48">
      <c r="A216" s="199" t="s">
        <v>16</v>
      </c>
      <c r="B216" s="95" t="str">
        <f t="shared" si="89"/>
        <v>CNO</v>
      </c>
      <c r="C216" s="95" t="str">
        <f t="shared" si="89"/>
        <v>Commercial - Other</v>
      </c>
      <c r="E216" s="114"/>
      <c r="F216" s="114"/>
      <c r="I216" s="165"/>
      <c r="J216" s="171">
        <f t="shared" si="90"/>
        <v>0</v>
      </c>
      <c r="K216" s="171">
        <f t="shared" si="90"/>
        <v>0</v>
      </c>
      <c r="L216" s="171">
        <f t="shared" si="90"/>
        <v>0</v>
      </c>
      <c r="M216" s="171">
        <f t="shared" si="90"/>
        <v>0</v>
      </c>
      <c r="N216" s="171">
        <f t="shared" si="90"/>
        <v>0</v>
      </c>
      <c r="O216" s="171">
        <f t="shared" si="90"/>
        <v>0</v>
      </c>
      <c r="P216" s="171">
        <f t="shared" si="90"/>
        <v>0</v>
      </c>
      <c r="Q216" s="171">
        <f t="shared" si="90"/>
        <v>0</v>
      </c>
      <c r="R216" s="171">
        <f t="shared" si="90"/>
        <v>0</v>
      </c>
      <c r="S216" s="171">
        <f t="shared" si="90"/>
        <v>0</v>
      </c>
      <c r="T216" s="171">
        <f t="shared" si="90"/>
        <v>0</v>
      </c>
      <c r="U216" s="171">
        <f t="shared" si="90"/>
        <v>0</v>
      </c>
      <c r="V216" s="171">
        <f t="shared" si="90"/>
        <v>0</v>
      </c>
      <c r="W216" s="171">
        <f t="shared" si="90"/>
        <v>0</v>
      </c>
      <c r="X216" s="171">
        <f t="shared" si="90"/>
        <v>0</v>
      </c>
      <c r="Y216" s="171">
        <f t="shared" si="90"/>
        <v>0</v>
      </c>
      <c r="Z216" s="171">
        <f t="shared" si="91"/>
        <v>0</v>
      </c>
      <c r="AA216" s="171">
        <f t="shared" si="91"/>
        <v>0</v>
      </c>
      <c r="AB216" s="171">
        <f t="shared" si="91"/>
        <v>0</v>
      </c>
      <c r="AC216" s="171">
        <f t="shared" si="91"/>
        <v>0</v>
      </c>
      <c r="AD216" s="171">
        <f t="shared" si="91"/>
        <v>0</v>
      </c>
      <c r="AE216" s="171">
        <f t="shared" si="91"/>
        <v>0</v>
      </c>
      <c r="AF216" s="171">
        <f t="shared" si="91"/>
        <v>0</v>
      </c>
      <c r="AG216" s="171">
        <f t="shared" si="91"/>
        <v>0</v>
      </c>
      <c r="AH216" s="171">
        <f t="shared" si="91"/>
        <v>0</v>
      </c>
      <c r="AI216" s="171">
        <f t="shared" si="91"/>
        <v>0</v>
      </c>
      <c r="AJ216" s="171">
        <f t="shared" si="91"/>
        <v>0</v>
      </c>
      <c r="AK216" s="171">
        <f t="shared" si="91"/>
        <v>0</v>
      </c>
      <c r="AL216" s="171">
        <f t="shared" si="91"/>
        <v>0</v>
      </c>
      <c r="AM216" s="171">
        <f t="shared" si="91"/>
        <v>0.70738897081679064</v>
      </c>
      <c r="AN216" s="171">
        <f t="shared" si="92"/>
        <v>1.39591352923005</v>
      </c>
      <c r="AO216" s="171">
        <f t="shared" si="92"/>
        <v>2.0672065793793797</v>
      </c>
      <c r="AP216" s="171">
        <f t="shared" si="92"/>
        <v>2.7226811177366401</v>
      </c>
      <c r="AQ216" s="171">
        <f t="shared" si="92"/>
        <v>3.3635693702187046</v>
      </c>
      <c r="AR216" s="171">
        <f t="shared" si="92"/>
        <v>4.1217270202372669</v>
      </c>
      <c r="AS216" s="171">
        <f t="shared" si="92"/>
        <v>4.8600761838942903</v>
      </c>
      <c r="AT216" s="171">
        <f t="shared" si="92"/>
        <v>5.5802745619843748</v>
      </c>
      <c r="AU216" s="171">
        <f t="shared" si="92"/>
        <v>6.2837636415297897</v>
      </c>
      <c r="AV216" s="171">
        <f t="shared" si="92"/>
        <v>7.0315921664472834</v>
      </c>
    </row>
    <row r="217" spans="1:48">
      <c r="A217" s="199" t="s">
        <v>16</v>
      </c>
      <c r="E217" s="114"/>
      <c r="F217" s="114"/>
      <c r="I217" s="165"/>
      <c r="J217" s="171"/>
      <c r="K217" s="171"/>
      <c r="L217" s="171"/>
      <c r="M217" s="171"/>
      <c r="N217" s="171"/>
      <c r="O217" s="171"/>
      <c r="P217" s="171"/>
      <c r="Q217" s="171"/>
      <c r="R217" s="171"/>
      <c r="S217" s="171"/>
      <c r="T217" s="171"/>
      <c r="U217" s="171"/>
      <c r="V217" s="171"/>
      <c r="W217" s="171"/>
      <c r="X217" s="171"/>
      <c r="Y217" s="171"/>
      <c r="Z217" s="171"/>
      <c r="AA217" s="171"/>
      <c r="AB217" s="171"/>
      <c r="AC217" s="171"/>
      <c r="AD217" s="171"/>
      <c r="AE217" s="171"/>
      <c r="AF217" s="171"/>
      <c r="AG217" s="171"/>
      <c r="AH217" s="171"/>
      <c r="AI217" s="171"/>
      <c r="AJ217" s="171"/>
      <c r="AK217" s="171"/>
      <c r="AL217" s="171"/>
      <c r="AM217" s="171"/>
      <c r="AN217" s="171"/>
      <c r="AO217" s="171"/>
      <c r="AP217" s="171"/>
      <c r="AQ217" s="171"/>
      <c r="AR217" s="171"/>
      <c r="AS217" s="171"/>
      <c r="AT217" s="171"/>
      <c r="AU217" s="171"/>
      <c r="AV217" s="171"/>
    </row>
    <row r="218" spans="1:48" ht="15.75" thickBot="1">
      <c r="A218" s="199" t="s">
        <v>16</v>
      </c>
      <c r="B218" s="93" t="s">
        <v>482</v>
      </c>
      <c r="C218" s="93"/>
      <c r="D218" s="93"/>
      <c r="E218" s="93"/>
      <c r="F218" s="93"/>
      <c r="G218" s="93"/>
      <c r="H218" s="93"/>
      <c r="I218" s="166"/>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199" t="s">
        <v>16</v>
      </c>
      <c r="E219" s="114"/>
      <c r="F219" s="114"/>
      <c r="I219" s="165"/>
      <c r="J219" s="171"/>
      <c r="K219" s="171"/>
      <c r="L219" s="171"/>
      <c r="M219" s="171"/>
      <c r="N219" s="171"/>
      <c r="O219" s="171"/>
      <c r="P219" s="171"/>
      <c r="Q219" s="171"/>
      <c r="R219" s="171"/>
      <c r="S219" s="171"/>
      <c r="T219" s="171"/>
      <c r="U219" s="171"/>
      <c r="V219" s="171"/>
      <c r="W219" s="171"/>
      <c r="X219" s="171"/>
      <c r="Y219" s="171"/>
      <c r="Z219" s="171"/>
      <c r="AA219" s="171"/>
      <c r="AB219" s="171"/>
      <c r="AC219" s="171"/>
      <c r="AD219" s="171"/>
      <c r="AE219" s="171"/>
      <c r="AF219" s="171"/>
      <c r="AG219" s="171"/>
      <c r="AH219" s="171"/>
      <c r="AI219" s="171"/>
      <c r="AJ219" s="171"/>
      <c r="AK219" s="171"/>
      <c r="AL219" s="171"/>
      <c r="AM219" s="171"/>
      <c r="AN219" s="171"/>
      <c r="AO219" s="171"/>
      <c r="AP219" s="171"/>
      <c r="AQ219" s="171"/>
      <c r="AR219" s="171"/>
      <c r="AS219" s="171"/>
      <c r="AT219" s="171"/>
      <c r="AU219" s="171"/>
      <c r="AV219" s="171"/>
    </row>
    <row r="220" spans="1:48">
      <c r="A220" s="199" t="s">
        <v>16</v>
      </c>
      <c r="B220" s="95" t="str">
        <f t="shared" ref="B220:C228" si="93">B208</f>
        <v>CNC</v>
      </c>
      <c r="C220" s="95" t="str">
        <f t="shared" si="93"/>
        <v>Commercial - Cooling</v>
      </c>
      <c r="E220" s="114"/>
      <c r="F220" s="114"/>
      <c r="I220" s="165"/>
      <c r="J220" s="171">
        <f t="shared" ref="J220:AV226" si="94">J186+J197+J208</f>
        <v>0</v>
      </c>
      <c r="K220" s="171">
        <f t="shared" si="94"/>
        <v>0</v>
      </c>
      <c r="L220" s="171">
        <f t="shared" si="94"/>
        <v>0</v>
      </c>
      <c r="M220" s="171">
        <f t="shared" si="94"/>
        <v>0</v>
      </c>
      <c r="N220" s="171">
        <f t="shared" si="94"/>
        <v>0</v>
      </c>
      <c r="O220" s="171">
        <f t="shared" si="94"/>
        <v>0</v>
      </c>
      <c r="P220" s="171">
        <f t="shared" si="94"/>
        <v>1.5826011087333609</v>
      </c>
      <c r="Q220" s="171">
        <f t="shared" si="94"/>
        <v>3.2727888378763019</v>
      </c>
      <c r="R220" s="171">
        <f t="shared" si="94"/>
        <v>4.2350555604682834</v>
      </c>
      <c r="S220" s="171">
        <f t="shared" si="94"/>
        <v>6.9865713245222709</v>
      </c>
      <c r="T220" s="171">
        <f t="shared" si="94"/>
        <v>9.5382195921774695</v>
      </c>
      <c r="U220" s="171">
        <f t="shared" si="94"/>
        <v>12.18816823106461</v>
      </c>
      <c r="V220" s="171">
        <f t="shared" si="94"/>
        <v>15.058014233357381</v>
      </c>
      <c r="W220" s="171">
        <f t="shared" si="94"/>
        <v>18.0587040628129</v>
      </c>
      <c r="X220" s="171">
        <f t="shared" si="94"/>
        <v>21.254882101581867</v>
      </c>
      <c r="Y220" s="171">
        <f t="shared" si="94"/>
        <v>24.574843752621046</v>
      </c>
      <c r="Z220" s="171">
        <f t="shared" si="94"/>
        <v>28.029717456467147</v>
      </c>
      <c r="AA220" s="171">
        <f t="shared" si="94"/>
        <v>31.736854262008961</v>
      </c>
      <c r="AB220" s="171">
        <f t="shared" si="94"/>
        <v>35.540881304224548</v>
      </c>
      <c r="AC220" s="171">
        <f t="shared" si="94"/>
        <v>39.297874205137987</v>
      </c>
      <c r="AD220" s="171">
        <f t="shared" si="94"/>
        <v>43.165453212793714</v>
      </c>
      <c r="AE220" s="171">
        <f t="shared" si="94"/>
        <v>47.116294677371073</v>
      </c>
      <c r="AF220" s="171">
        <f t="shared" si="94"/>
        <v>51.160166791584885</v>
      </c>
      <c r="AG220" s="171">
        <f t="shared" si="94"/>
        <v>55.108419574747941</v>
      </c>
      <c r="AH220" s="171">
        <f t="shared" si="94"/>
        <v>59.108753791637135</v>
      </c>
      <c r="AI220" s="171">
        <f t="shared" si="94"/>
        <v>63.36913081727576</v>
      </c>
      <c r="AJ220" s="171">
        <f t="shared" si="94"/>
        <v>67.771993960792571</v>
      </c>
      <c r="AK220" s="171">
        <f t="shared" si="94"/>
        <v>72.284627453254132</v>
      </c>
      <c r="AL220" s="171">
        <f t="shared" si="94"/>
        <v>76.866161141199115</v>
      </c>
      <c r="AM220" s="171">
        <f t="shared" si="94"/>
        <v>81.871508414365039</v>
      </c>
      <c r="AN220" s="171">
        <f t="shared" si="94"/>
        <v>86.74337476108272</v>
      </c>
      <c r="AO220" s="171">
        <f t="shared" si="94"/>
        <v>91.493314294604829</v>
      </c>
      <c r="AP220" s="171">
        <f t="shared" si="94"/>
        <v>96.131325104142775</v>
      </c>
      <c r="AQ220" s="171">
        <f t="shared" si="94"/>
        <v>100.66612618149233</v>
      </c>
      <c r="AR220" s="171">
        <f t="shared" si="94"/>
        <v>106.03070279026892</v>
      </c>
      <c r="AS220" s="171">
        <f t="shared" si="94"/>
        <v>111.25511838822172</v>
      </c>
      <c r="AT220" s="171">
        <f t="shared" si="94"/>
        <v>116.35110254492885</v>
      </c>
      <c r="AU220" s="171">
        <f t="shared" si="94"/>
        <v>121.32885494321528</v>
      </c>
      <c r="AV220" s="171">
        <f t="shared" si="94"/>
        <v>126.62034466444945</v>
      </c>
    </row>
    <row r="221" spans="1:48">
      <c r="A221" s="199" t="s">
        <v>16</v>
      </c>
      <c r="B221" s="95" t="str">
        <f t="shared" si="93"/>
        <v>CNH</v>
      </c>
      <c r="C221" s="95" t="str">
        <f t="shared" si="93"/>
        <v>Commercial - Space Heating</v>
      </c>
      <c r="E221" s="114"/>
      <c r="F221" s="114"/>
      <c r="I221" s="165"/>
      <c r="J221" s="171">
        <f t="shared" si="94"/>
        <v>0</v>
      </c>
      <c r="K221" s="171">
        <f t="shared" si="94"/>
        <v>0</v>
      </c>
      <c r="L221" s="171">
        <f t="shared" si="94"/>
        <v>0</v>
      </c>
      <c r="M221" s="171">
        <f t="shared" si="94"/>
        <v>0</v>
      </c>
      <c r="N221" s="171">
        <f t="shared" si="94"/>
        <v>0</v>
      </c>
      <c r="O221" s="171">
        <f t="shared" si="94"/>
        <v>0</v>
      </c>
      <c r="P221" s="171">
        <f t="shared" si="94"/>
        <v>0.15092687254753431</v>
      </c>
      <c r="Q221" s="171">
        <f t="shared" si="94"/>
        <v>0.31211388712123755</v>
      </c>
      <c r="R221" s="171">
        <f t="shared" si="94"/>
        <v>0.40388174081218448</v>
      </c>
      <c r="S221" s="171">
        <f t="shared" si="94"/>
        <v>0.66628372368851163</v>
      </c>
      <c r="T221" s="171">
        <f t="shared" si="94"/>
        <v>0.9096250753110684</v>
      </c>
      <c r="U221" s="171">
        <f t="shared" si="94"/>
        <v>1.1623409733802483</v>
      </c>
      <c r="V221" s="171">
        <f t="shared" si="94"/>
        <v>1.4360276777739756</v>
      </c>
      <c r="W221" s="171">
        <f t="shared" si="94"/>
        <v>1.722192478838334</v>
      </c>
      <c r="X221" s="171">
        <f t="shared" si="94"/>
        <v>2.0270002745832731</v>
      </c>
      <c r="Y221" s="171">
        <f t="shared" si="94"/>
        <v>2.3436128601577431</v>
      </c>
      <c r="Z221" s="171">
        <f t="shared" si="94"/>
        <v>2.6730915141854394</v>
      </c>
      <c r="AA221" s="171">
        <f t="shared" si="94"/>
        <v>3.0266275764810642</v>
      </c>
      <c r="AB221" s="171">
        <f t="shared" si="94"/>
        <v>3.3894037058541517</v>
      </c>
      <c r="AC221" s="171">
        <f t="shared" si="94"/>
        <v>3.7476943614015745</v>
      </c>
      <c r="AD221" s="171">
        <f t="shared" si="94"/>
        <v>4.1165312090031527</v>
      </c>
      <c r="AE221" s="171">
        <f t="shared" si="94"/>
        <v>4.4933084922296391</v>
      </c>
      <c r="AF221" s="171">
        <f t="shared" si="94"/>
        <v>4.8789577678509319</v>
      </c>
      <c r="AG221" s="171">
        <f t="shared" si="94"/>
        <v>5.255488178010209</v>
      </c>
      <c r="AH221" s="171">
        <f t="shared" si="94"/>
        <v>5.6369854037913756</v>
      </c>
      <c r="AI221" s="171">
        <f t="shared" si="94"/>
        <v>6.0432819600143368</v>
      </c>
      <c r="AJ221" s="171">
        <f t="shared" si="94"/>
        <v>6.463166895541546</v>
      </c>
      <c r="AK221" s="171">
        <f t="shared" si="94"/>
        <v>6.8935202272889136</v>
      </c>
      <c r="AL221" s="171">
        <f t="shared" si="94"/>
        <v>7.3304443183797723</v>
      </c>
      <c r="AM221" s="171">
        <f t="shared" si="94"/>
        <v>7.807785959166238</v>
      </c>
      <c r="AN221" s="171">
        <f t="shared" si="94"/>
        <v>8.2723980127797834</v>
      </c>
      <c r="AO221" s="171">
        <f t="shared" si="94"/>
        <v>8.7253823526922911</v>
      </c>
      <c r="AP221" s="171">
        <f t="shared" si="94"/>
        <v>9.167692460060703</v>
      </c>
      <c r="AQ221" s="171">
        <f t="shared" si="94"/>
        <v>9.6001598332052467</v>
      </c>
      <c r="AR221" s="171">
        <f t="shared" si="94"/>
        <v>10.111759860297557</v>
      </c>
      <c r="AS221" s="171">
        <f t="shared" si="94"/>
        <v>10.609993245031285</v>
      </c>
      <c r="AT221" s="171">
        <f t="shared" si="94"/>
        <v>11.095978593505581</v>
      </c>
      <c r="AU221" s="171">
        <f t="shared" si="94"/>
        <v>11.570688612122115</v>
      </c>
      <c r="AV221" s="171">
        <f t="shared" si="94"/>
        <v>12.075318610380162</v>
      </c>
    </row>
    <row r="222" spans="1:48">
      <c r="A222" s="199" t="s">
        <v>16</v>
      </c>
      <c r="B222" s="95" t="str">
        <f t="shared" si="93"/>
        <v>CNK</v>
      </c>
      <c r="C222" s="95" t="str">
        <f t="shared" si="93"/>
        <v>Commercial - Cooking</v>
      </c>
      <c r="E222" s="114"/>
      <c r="F222" s="114"/>
      <c r="I222" s="165"/>
      <c r="J222" s="171">
        <f t="shared" si="94"/>
        <v>0</v>
      </c>
      <c r="K222" s="171">
        <f t="shared" si="94"/>
        <v>0</v>
      </c>
      <c r="L222" s="171">
        <f t="shared" si="94"/>
        <v>0</v>
      </c>
      <c r="M222" s="171">
        <f t="shared" si="94"/>
        <v>0</v>
      </c>
      <c r="N222" s="171">
        <f t="shared" si="94"/>
        <v>0</v>
      </c>
      <c r="O222" s="171">
        <f t="shared" si="94"/>
        <v>0</v>
      </c>
      <c r="P222" s="171">
        <f t="shared" si="94"/>
        <v>0.1128855701047503</v>
      </c>
      <c r="Q222" s="171">
        <f t="shared" si="94"/>
        <v>0.23344520091472726</v>
      </c>
      <c r="R222" s="171">
        <f t="shared" si="94"/>
        <v>0.30208285507355981</v>
      </c>
      <c r="S222" s="171">
        <f t="shared" si="94"/>
        <v>0.49834609788528561</v>
      </c>
      <c r="T222" s="171">
        <f t="shared" si="94"/>
        <v>0.68035296481563456</v>
      </c>
      <c r="U222" s="171">
        <f t="shared" si="94"/>
        <v>0.86937151231842269</v>
      </c>
      <c r="V222" s="171">
        <f t="shared" si="94"/>
        <v>1.074075148815268</v>
      </c>
      <c r="W222" s="171">
        <f t="shared" si="94"/>
        <v>1.2881117624864913</v>
      </c>
      <c r="X222" s="171">
        <f t="shared" si="94"/>
        <v>1.5160923812739298</v>
      </c>
      <c r="Y222" s="171">
        <f t="shared" si="94"/>
        <v>1.7529023782057647</v>
      </c>
      <c r="Z222" s="171">
        <f t="shared" si="94"/>
        <v>1.9993355353332225</v>
      </c>
      <c r="AA222" s="171">
        <f t="shared" si="94"/>
        <v>2.2637624016108679</v>
      </c>
      <c r="AB222" s="171">
        <f t="shared" si="94"/>
        <v>2.5351003647809307</v>
      </c>
      <c r="AC222" s="171">
        <f t="shared" si="94"/>
        <v>2.8030834232779331</v>
      </c>
      <c r="AD222" s="171">
        <f t="shared" si="94"/>
        <v>3.0789544932494501</v>
      </c>
      <c r="AE222" s="171">
        <f t="shared" si="94"/>
        <v>3.3607646023547404</v>
      </c>
      <c r="AF222" s="171">
        <f t="shared" si="94"/>
        <v>3.6492105073428167</v>
      </c>
      <c r="AG222" s="171">
        <f t="shared" si="94"/>
        <v>3.9308359680388145</v>
      </c>
      <c r="AH222" s="171">
        <f t="shared" si="94"/>
        <v>4.2161763524168459</v>
      </c>
      <c r="AI222" s="171">
        <f t="shared" si="94"/>
        <v>4.5200653657294385</v>
      </c>
      <c r="AJ222" s="171">
        <f t="shared" si="94"/>
        <v>4.8341177907570438</v>
      </c>
      <c r="AK222" s="171">
        <f t="shared" si="94"/>
        <v>5.1560000399600803</v>
      </c>
      <c r="AL222" s="171">
        <f t="shared" si="94"/>
        <v>5.4827968805939928</v>
      </c>
      <c r="AM222" s="171">
        <f t="shared" si="94"/>
        <v>5.8398239781901884</v>
      </c>
      <c r="AN222" s="171">
        <f t="shared" si="94"/>
        <v>6.1873299965977813</v>
      </c>
      <c r="AO222" s="171">
        <f t="shared" si="94"/>
        <v>6.5261390807351498</v>
      </c>
      <c r="AP222" s="171">
        <f t="shared" si="94"/>
        <v>6.8569643856698361</v>
      </c>
      <c r="AQ222" s="171">
        <f t="shared" si="94"/>
        <v>7.1804278295555495</v>
      </c>
      <c r="AR222" s="171">
        <f t="shared" si="94"/>
        <v>7.5630784453743587</v>
      </c>
      <c r="AS222" s="171">
        <f t="shared" si="94"/>
        <v>7.9357314973560236</v>
      </c>
      <c r="AT222" s="171">
        <f t="shared" si="94"/>
        <v>8.2992236455670607</v>
      </c>
      <c r="AU222" s="171">
        <f t="shared" si="94"/>
        <v>8.6542824245733421</v>
      </c>
      <c r="AV222" s="171">
        <f t="shared" si="94"/>
        <v>9.0317198158329894</v>
      </c>
    </row>
    <row r="223" spans="1:48">
      <c r="A223" s="199" t="s">
        <v>16</v>
      </c>
      <c r="B223" s="95" t="str">
        <f t="shared" si="93"/>
        <v>CNL</v>
      </c>
      <c r="C223" s="95" t="str">
        <f t="shared" si="93"/>
        <v>Commercial - Lighting</v>
      </c>
      <c r="E223" s="114"/>
      <c r="F223" s="114"/>
      <c r="I223" s="165"/>
      <c r="J223" s="171">
        <f t="shared" si="94"/>
        <v>0</v>
      </c>
      <c r="K223" s="171">
        <f t="shared" si="94"/>
        <v>0</v>
      </c>
      <c r="L223" s="171">
        <f t="shared" si="94"/>
        <v>0</v>
      </c>
      <c r="M223" s="171">
        <f t="shared" si="94"/>
        <v>0</v>
      </c>
      <c r="N223" s="171">
        <f t="shared" si="94"/>
        <v>0</v>
      </c>
      <c r="O223" s="171">
        <f t="shared" si="94"/>
        <v>0</v>
      </c>
      <c r="P223" s="171">
        <f t="shared" si="94"/>
        <v>1.3772283906971867</v>
      </c>
      <c r="Q223" s="171">
        <f t="shared" si="94"/>
        <v>2.848081983139509</v>
      </c>
      <c r="R223" s="171">
        <f t="shared" si="94"/>
        <v>3.6854762213107977</v>
      </c>
      <c r="S223" s="171">
        <f t="shared" si="94"/>
        <v>6.0799302671182867</v>
      </c>
      <c r="T223" s="171">
        <f t="shared" si="94"/>
        <v>8.300453441211495</v>
      </c>
      <c r="U223" s="171">
        <f t="shared" si="94"/>
        <v>10.606520636049803</v>
      </c>
      <c r="V223" s="171">
        <f t="shared" si="94"/>
        <v>13.103949311838974</v>
      </c>
      <c r="W223" s="171">
        <f t="shared" si="94"/>
        <v>15.715242329389051</v>
      </c>
      <c r="X223" s="171">
        <f t="shared" si="94"/>
        <v>18.496655227702085</v>
      </c>
      <c r="Y223" s="171">
        <f t="shared" si="94"/>
        <v>21.385788450600277</v>
      </c>
      <c r="Z223" s="171">
        <f t="shared" si="94"/>
        <v>24.392326310932113</v>
      </c>
      <c r="AA223" s="171">
        <f t="shared" si="94"/>
        <v>27.618391317847799</v>
      </c>
      <c r="AB223" s="171">
        <f t="shared" si="94"/>
        <v>30.928773202839785</v>
      </c>
      <c r="AC223" s="171">
        <f t="shared" si="94"/>
        <v>34.198224524611568</v>
      </c>
      <c r="AD223" s="171">
        <f t="shared" si="94"/>
        <v>37.563911293825967</v>
      </c>
      <c r="AE223" s="171">
        <f t="shared" si="94"/>
        <v>41.002055626047806</v>
      </c>
      <c r="AF223" s="171">
        <f t="shared" si="94"/>
        <v>44.521158104436275</v>
      </c>
      <c r="AG223" s="171">
        <f t="shared" si="94"/>
        <v>47.957049686095402</v>
      </c>
      <c r="AH223" s="171">
        <f t="shared" si="94"/>
        <v>51.438264140814596</v>
      </c>
      <c r="AI223" s="171">
        <f t="shared" si="94"/>
        <v>55.14577588360595</v>
      </c>
      <c r="AJ223" s="171">
        <f t="shared" si="94"/>
        <v>58.977283449311329</v>
      </c>
      <c r="AK223" s="171">
        <f t="shared" si="94"/>
        <v>62.904316564815204</v>
      </c>
      <c r="AL223" s="171">
        <f t="shared" si="94"/>
        <v>66.891308759597308</v>
      </c>
      <c r="AM223" s="171">
        <f t="shared" si="94"/>
        <v>71.247116633016589</v>
      </c>
      <c r="AN223" s="171">
        <f t="shared" si="94"/>
        <v>75.486765279384514</v>
      </c>
      <c r="AO223" s="171">
        <f t="shared" si="94"/>
        <v>79.620309445101228</v>
      </c>
      <c r="AP223" s="171">
        <f t="shared" si="94"/>
        <v>83.656449776361612</v>
      </c>
      <c r="AQ223" s="171">
        <f t="shared" si="94"/>
        <v>87.602773809262473</v>
      </c>
      <c r="AR223" s="171">
        <f t="shared" si="94"/>
        <v>92.271194151511779</v>
      </c>
      <c r="AS223" s="171">
        <f t="shared" si="94"/>
        <v>96.817642050856762</v>
      </c>
      <c r="AT223" s="171">
        <f t="shared" si="94"/>
        <v>101.25232494121393</v>
      </c>
      <c r="AU223" s="171">
        <f t="shared" si="94"/>
        <v>105.58411890177035</v>
      </c>
      <c r="AV223" s="171">
        <f t="shared" si="94"/>
        <v>110.18893677593367</v>
      </c>
    </row>
    <row r="224" spans="1:48">
      <c r="A224" s="199" t="s">
        <v>16</v>
      </c>
      <c r="B224" s="95" t="str">
        <f t="shared" si="93"/>
        <v>CNR</v>
      </c>
      <c r="C224" s="95" t="str">
        <f t="shared" si="93"/>
        <v>Commercial - Refrigeration</v>
      </c>
      <c r="E224" s="114"/>
      <c r="F224" s="114"/>
      <c r="I224" s="165"/>
      <c r="J224" s="171">
        <f t="shared" si="94"/>
        <v>0</v>
      </c>
      <c r="K224" s="171">
        <f t="shared" si="94"/>
        <v>0</v>
      </c>
      <c r="L224" s="171">
        <f t="shared" si="94"/>
        <v>0</v>
      </c>
      <c r="M224" s="171">
        <f t="shared" si="94"/>
        <v>0</v>
      </c>
      <c r="N224" s="171">
        <f t="shared" si="94"/>
        <v>0</v>
      </c>
      <c r="O224" s="171">
        <f t="shared" si="94"/>
        <v>0</v>
      </c>
      <c r="P224" s="171">
        <f t="shared" si="94"/>
        <v>0.3350302874487357</v>
      </c>
      <c r="Q224" s="171">
        <f t="shared" si="94"/>
        <v>0.69283622958553637</v>
      </c>
      <c r="R224" s="171">
        <f t="shared" si="94"/>
        <v>0.89654422327597971</v>
      </c>
      <c r="S224" s="171">
        <f t="shared" si="94"/>
        <v>1.4790290403683508</v>
      </c>
      <c r="T224" s="171">
        <f t="shared" si="94"/>
        <v>2.0192027125988692</v>
      </c>
      <c r="U224" s="171">
        <f t="shared" si="94"/>
        <v>2.5801861779278608</v>
      </c>
      <c r="V224" s="171">
        <f t="shared" si="94"/>
        <v>3.1877210303780017</v>
      </c>
      <c r="W224" s="171">
        <f t="shared" si="94"/>
        <v>3.8229549946152637</v>
      </c>
      <c r="X224" s="171">
        <f t="shared" si="94"/>
        <v>4.4995730262575746</v>
      </c>
      <c r="Y224" s="171">
        <f t="shared" si="94"/>
        <v>5.2023955505995785</v>
      </c>
      <c r="Z224" s="171">
        <f t="shared" si="94"/>
        <v>5.9337784137299057</v>
      </c>
      <c r="AA224" s="171">
        <f t="shared" si="94"/>
        <v>6.7185643605605021</v>
      </c>
      <c r="AB224" s="171">
        <f t="shared" si="94"/>
        <v>7.523861580676992</v>
      </c>
      <c r="AC224" s="171">
        <f t="shared" si="94"/>
        <v>8.3192018623120134</v>
      </c>
      <c r="AD224" s="171">
        <f t="shared" si="94"/>
        <v>9.1379527778239176</v>
      </c>
      <c r="AE224" s="171">
        <f t="shared" si="94"/>
        <v>9.9743300204767582</v>
      </c>
      <c r="AF224" s="171">
        <f t="shared" si="94"/>
        <v>10.830401477367948</v>
      </c>
      <c r="AG224" s="171">
        <f t="shared" si="94"/>
        <v>11.666230706580409</v>
      </c>
      <c r="AH224" s="171">
        <f t="shared" si="94"/>
        <v>12.513085365773751</v>
      </c>
      <c r="AI224" s="171">
        <f t="shared" si="94"/>
        <v>13.414990041350585</v>
      </c>
      <c r="AJ224" s="171">
        <f t="shared" si="94"/>
        <v>14.347058454818633</v>
      </c>
      <c r="AK224" s="171">
        <f t="shared" si="94"/>
        <v>15.302364809519863</v>
      </c>
      <c r="AL224" s="171">
        <f t="shared" si="94"/>
        <v>16.272257058399163</v>
      </c>
      <c r="AM224" s="171">
        <f t="shared" si="94"/>
        <v>17.331868938142929</v>
      </c>
      <c r="AN224" s="171">
        <f t="shared" si="94"/>
        <v>18.363223442790662</v>
      </c>
      <c r="AO224" s="171">
        <f t="shared" si="94"/>
        <v>19.368766531632346</v>
      </c>
      <c r="AP224" s="171">
        <f t="shared" si="94"/>
        <v>20.350614759928796</v>
      </c>
      <c r="AQ224" s="171">
        <f t="shared" si="94"/>
        <v>21.310613903164093</v>
      </c>
      <c r="AR224" s="171">
        <f t="shared" si="94"/>
        <v>22.446273187971276</v>
      </c>
      <c r="AS224" s="171">
        <f t="shared" si="94"/>
        <v>23.55226095069607</v>
      </c>
      <c r="AT224" s="171">
        <f t="shared" si="94"/>
        <v>24.631060294026646</v>
      </c>
      <c r="AU224" s="171">
        <f t="shared" si="94"/>
        <v>25.684830449780726</v>
      </c>
      <c r="AV224" s="171">
        <f t="shared" si="94"/>
        <v>26.805017534545243</v>
      </c>
    </row>
    <row r="225" spans="1:48">
      <c r="A225" s="199" t="s">
        <v>16</v>
      </c>
      <c r="B225" s="95" t="str">
        <f t="shared" si="93"/>
        <v>CNW</v>
      </c>
      <c r="C225" s="95" t="str">
        <f t="shared" si="93"/>
        <v>Commercial - Water Heating</v>
      </c>
      <c r="E225" s="114"/>
      <c r="F225" s="114"/>
      <c r="I225" s="165"/>
      <c r="J225" s="171">
        <f t="shared" si="94"/>
        <v>0</v>
      </c>
      <c r="K225" s="171">
        <f t="shared" si="94"/>
        <v>0</v>
      </c>
      <c r="L225" s="171">
        <f t="shared" si="94"/>
        <v>0</v>
      </c>
      <c r="M225" s="171">
        <f t="shared" si="94"/>
        <v>0</v>
      </c>
      <c r="N225" s="171">
        <f t="shared" si="94"/>
        <v>0</v>
      </c>
      <c r="O225" s="171">
        <f t="shared" si="94"/>
        <v>0</v>
      </c>
      <c r="P225" s="171">
        <f t="shared" si="94"/>
        <v>0.17464786244388691</v>
      </c>
      <c r="Q225" s="171">
        <f t="shared" si="94"/>
        <v>0.36116844074675197</v>
      </c>
      <c r="R225" s="171">
        <f t="shared" si="94"/>
        <v>0.46735933450650663</v>
      </c>
      <c r="S225" s="171">
        <f t="shared" si="94"/>
        <v>0.77100271250040542</v>
      </c>
      <c r="T225" s="171">
        <f t="shared" si="94"/>
        <v>1.0525897234000101</v>
      </c>
      <c r="U225" s="171">
        <f t="shared" si="94"/>
        <v>1.3450246666170893</v>
      </c>
      <c r="V225" s="171">
        <f t="shared" si="94"/>
        <v>1.661726371852664</v>
      </c>
      <c r="W225" s="171">
        <f t="shared" si="94"/>
        <v>1.9928673407800481</v>
      </c>
      <c r="X225" s="171">
        <f t="shared" si="94"/>
        <v>2.345581400804849</v>
      </c>
      <c r="Y225" s="171">
        <f t="shared" si="94"/>
        <v>2.7119555948768692</v>
      </c>
      <c r="Z225" s="171">
        <f t="shared" si="94"/>
        <v>3.0932180014685322</v>
      </c>
      <c r="AA225" s="171">
        <f t="shared" si="94"/>
        <v>3.5023188894320954</v>
      </c>
      <c r="AB225" s="171">
        <f t="shared" si="94"/>
        <v>3.92211209438784</v>
      </c>
      <c r="AC225" s="171">
        <f t="shared" si="94"/>
        <v>4.3367148491442435</v>
      </c>
      <c r="AD225" s="171">
        <f t="shared" si="94"/>
        <v>4.7635213279167319</v>
      </c>
      <c r="AE225" s="171">
        <f t="shared" si="94"/>
        <v>5.1995162307607972</v>
      </c>
      <c r="AF225" s="171">
        <f t="shared" si="94"/>
        <v>5.6457775260717398</v>
      </c>
      <c r="AG225" s="171">
        <f t="shared" si="94"/>
        <v>6.0814867551139482</v>
      </c>
      <c r="AH225" s="171">
        <f t="shared" si="94"/>
        <v>6.522943428046525</v>
      </c>
      <c r="AI225" s="171">
        <f t="shared" si="94"/>
        <v>6.993097111515346</v>
      </c>
      <c r="AJ225" s="171">
        <f t="shared" si="94"/>
        <v>7.478974843057955</v>
      </c>
      <c r="AK225" s="171">
        <f t="shared" si="94"/>
        <v>7.9769662757076381</v>
      </c>
      <c r="AL225" s="171">
        <f t="shared" si="94"/>
        <v>8.4825611858203054</v>
      </c>
      <c r="AM225" s="171">
        <f t="shared" si="94"/>
        <v>9.034926021926994</v>
      </c>
      <c r="AN225" s="171">
        <f t="shared" si="94"/>
        <v>9.5725605773883764</v>
      </c>
      <c r="AO225" s="171">
        <f t="shared" si="94"/>
        <v>10.096739905767146</v>
      </c>
      <c r="AP225" s="171">
        <f t="shared" si="94"/>
        <v>10.608567345674443</v>
      </c>
      <c r="AQ225" s="171">
        <f t="shared" si="94"/>
        <v>11.109005080993111</v>
      </c>
      <c r="AR225" s="171">
        <f t="shared" si="94"/>
        <v>11.701012651611562</v>
      </c>
      <c r="AS225" s="171">
        <f t="shared" si="94"/>
        <v>12.277552761223406</v>
      </c>
      <c r="AT225" s="171">
        <f t="shared" si="94"/>
        <v>12.839919825864937</v>
      </c>
      <c r="AU225" s="171">
        <f t="shared" si="94"/>
        <v>13.389239430999959</v>
      </c>
      <c r="AV225" s="171">
        <f t="shared" si="94"/>
        <v>13.973181501972595</v>
      </c>
    </row>
    <row r="226" spans="1:48">
      <c r="A226" s="199" t="s">
        <v>16</v>
      </c>
      <c r="B226" s="95" t="str">
        <f t="shared" si="93"/>
        <v>CNG</v>
      </c>
      <c r="C226" s="95" t="str">
        <f t="shared" si="93"/>
        <v>Commercial - Public lights</v>
      </c>
      <c r="E226" s="114"/>
      <c r="F226" s="114"/>
      <c r="I226" s="165"/>
      <c r="J226" s="171">
        <f t="shared" si="94"/>
        <v>0</v>
      </c>
      <c r="K226" s="171">
        <f t="shared" si="94"/>
        <v>0</v>
      </c>
      <c r="L226" s="171">
        <f t="shared" si="94"/>
        <v>0</v>
      </c>
      <c r="M226" s="171">
        <f t="shared" si="94"/>
        <v>0</v>
      </c>
      <c r="N226" s="171">
        <f t="shared" si="94"/>
        <v>0</v>
      </c>
      <c r="O226" s="171">
        <f t="shared" si="94"/>
        <v>0</v>
      </c>
      <c r="P226" s="171">
        <f t="shared" si="94"/>
        <v>0</v>
      </c>
      <c r="Q226" s="171">
        <f t="shared" si="94"/>
        <v>0</v>
      </c>
      <c r="R226" s="171">
        <f t="shared" si="94"/>
        <v>0</v>
      </c>
      <c r="S226" s="171">
        <f t="shared" si="94"/>
        <v>0</v>
      </c>
      <c r="T226" s="171">
        <f t="shared" si="94"/>
        <v>0</v>
      </c>
      <c r="U226" s="171">
        <f t="shared" si="94"/>
        <v>0</v>
      </c>
      <c r="V226" s="171">
        <f t="shared" si="94"/>
        <v>0</v>
      </c>
      <c r="W226" s="171">
        <f t="shared" si="94"/>
        <v>0</v>
      </c>
      <c r="X226" s="171">
        <f t="shared" si="94"/>
        <v>0</v>
      </c>
      <c r="Y226" s="171">
        <f t="shared" si="94"/>
        <v>0</v>
      </c>
      <c r="Z226" s="171">
        <f t="shared" si="94"/>
        <v>0</v>
      </c>
      <c r="AA226" s="171">
        <f t="shared" si="94"/>
        <v>0</v>
      </c>
      <c r="AB226" s="171">
        <f t="shared" si="94"/>
        <v>0</v>
      </c>
      <c r="AC226" s="171">
        <f t="shared" si="94"/>
        <v>0</v>
      </c>
      <c r="AD226" s="171">
        <f t="shared" si="94"/>
        <v>0</v>
      </c>
      <c r="AE226" s="171">
        <f t="shared" ref="AE226:AV228" si="95">AE192+AE203+AE214</f>
        <v>0</v>
      </c>
      <c r="AF226" s="171">
        <f t="shared" si="95"/>
        <v>0</v>
      </c>
      <c r="AG226" s="171">
        <f t="shared" si="95"/>
        <v>0</v>
      </c>
      <c r="AH226" s="171">
        <f t="shared" si="95"/>
        <v>0</v>
      </c>
      <c r="AI226" s="171">
        <f t="shared" si="95"/>
        <v>0</v>
      </c>
      <c r="AJ226" s="171">
        <f t="shared" si="95"/>
        <v>0</v>
      </c>
      <c r="AK226" s="171">
        <f t="shared" si="95"/>
        <v>0</v>
      </c>
      <c r="AL226" s="171">
        <f t="shared" si="95"/>
        <v>0</v>
      </c>
      <c r="AM226" s="171">
        <f t="shared" si="95"/>
        <v>0</v>
      </c>
      <c r="AN226" s="171">
        <f t="shared" si="95"/>
        <v>0</v>
      </c>
      <c r="AO226" s="171">
        <f t="shared" si="95"/>
        <v>0</v>
      </c>
      <c r="AP226" s="171">
        <f t="shared" si="95"/>
        <v>0</v>
      </c>
      <c r="AQ226" s="171">
        <f t="shared" si="95"/>
        <v>0</v>
      </c>
      <c r="AR226" s="171">
        <f t="shared" si="95"/>
        <v>0</v>
      </c>
      <c r="AS226" s="171">
        <f t="shared" si="95"/>
        <v>0</v>
      </c>
      <c r="AT226" s="171">
        <f t="shared" si="95"/>
        <v>0</v>
      </c>
      <c r="AU226" s="171">
        <f t="shared" si="95"/>
        <v>0</v>
      </c>
      <c r="AV226" s="171">
        <f t="shared" si="95"/>
        <v>0</v>
      </c>
    </row>
    <row r="227" spans="1:48">
      <c r="A227" s="199" t="s">
        <v>16</v>
      </c>
      <c r="B227" s="95" t="str">
        <f t="shared" si="93"/>
        <v>CNT</v>
      </c>
      <c r="C227" s="95" t="str">
        <f t="shared" si="93"/>
        <v>Commercial - Public Water</v>
      </c>
      <c r="E227" s="114"/>
      <c r="F227" s="114"/>
      <c r="I227" s="165"/>
      <c r="J227" s="171">
        <f t="shared" ref="J227:AV228" si="96">J193+J204+J215</f>
        <v>0</v>
      </c>
      <c r="K227" s="171">
        <f t="shared" si="96"/>
        <v>0</v>
      </c>
      <c r="L227" s="171">
        <f t="shared" si="96"/>
        <v>0</v>
      </c>
      <c r="M227" s="171">
        <f t="shared" si="96"/>
        <v>0</v>
      </c>
      <c r="N227" s="171">
        <f t="shared" si="96"/>
        <v>0</v>
      </c>
      <c r="O227" s="171">
        <f t="shared" si="96"/>
        <v>0</v>
      </c>
      <c r="P227" s="171">
        <f t="shared" si="96"/>
        <v>0</v>
      </c>
      <c r="Q227" s="171">
        <f t="shared" si="96"/>
        <v>0</v>
      </c>
      <c r="R227" s="171">
        <f t="shared" si="96"/>
        <v>0</v>
      </c>
      <c r="S227" s="171">
        <f t="shared" si="96"/>
        <v>0</v>
      </c>
      <c r="T227" s="171">
        <f t="shared" si="96"/>
        <v>0</v>
      </c>
      <c r="U227" s="171">
        <f t="shared" si="96"/>
        <v>0</v>
      </c>
      <c r="V227" s="171">
        <f t="shared" si="96"/>
        <v>0</v>
      </c>
      <c r="W227" s="171">
        <f t="shared" si="96"/>
        <v>0</v>
      </c>
      <c r="X227" s="171">
        <f t="shared" si="96"/>
        <v>0</v>
      </c>
      <c r="Y227" s="171">
        <f t="shared" si="96"/>
        <v>0</v>
      </c>
      <c r="Z227" s="171">
        <f t="shared" si="96"/>
        <v>0</v>
      </c>
      <c r="AA227" s="171">
        <f t="shared" si="96"/>
        <v>0</v>
      </c>
      <c r="AB227" s="171">
        <f t="shared" si="96"/>
        <v>0</v>
      </c>
      <c r="AC227" s="171">
        <f t="shared" si="96"/>
        <v>0</v>
      </c>
      <c r="AD227" s="171">
        <f t="shared" si="96"/>
        <v>0</v>
      </c>
      <c r="AE227" s="171">
        <f t="shared" si="96"/>
        <v>0</v>
      </c>
      <c r="AF227" s="171">
        <f t="shared" si="96"/>
        <v>0</v>
      </c>
      <c r="AG227" s="171">
        <f t="shared" si="96"/>
        <v>0</v>
      </c>
      <c r="AH227" s="171">
        <f t="shared" si="96"/>
        <v>0</v>
      </c>
      <c r="AI227" s="171">
        <f t="shared" si="95"/>
        <v>0</v>
      </c>
      <c r="AJ227" s="171">
        <f t="shared" si="95"/>
        <v>0</v>
      </c>
      <c r="AK227" s="171">
        <f t="shared" si="95"/>
        <v>0</v>
      </c>
      <c r="AL227" s="171">
        <f t="shared" si="95"/>
        <v>0</v>
      </c>
      <c r="AM227" s="171">
        <f t="shared" si="95"/>
        <v>0</v>
      </c>
      <c r="AN227" s="171">
        <f t="shared" si="95"/>
        <v>0</v>
      </c>
      <c r="AO227" s="171">
        <f t="shared" si="95"/>
        <v>0</v>
      </c>
      <c r="AP227" s="171">
        <f t="shared" si="95"/>
        <v>0</v>
      </c>
      <c r="AQ227" s="171">
        <f t="shared" si="95"/>
        <v>0</v>
      </c>
      <c r="AR227" s="171">
        <f t="shared" si="95"/>
        <v>0</v>
      </c>
      <c r="AS227" s="171">
        <f t="shared" si="96"/>
        <v>0</v>
      </c>
      <c r="AT227" s="171">
        <f t="shared" si="96"/>
        <v>0</v>
      </c>
      <c r="AU227" s="171">
        <f t="shared" si="96"/>
        <v>0</v>
      </c>
      <c r="AV227" s="171">
        <f t="shared" si="96"/>
        <v>0</v>
      </c>
    </row>
    <row r="228" spans="1:48">
      <c r="A228" s="199" t="s">
        <v>16</v>
      </c>
      <c r="B228" s="95" t="str">
        <f t="shared" si="93"/>
        <v>CNO</v>
      </c>
      <c r="C228" s="95" t="str">
        <f t="shared" si="93"/>
        <v>Commercial - Other</v>
      </c>
      <c r="E228" s="114"/>
      <c r="F228" s="114"/>
      <c r="I228" s="165"/>
      <c r="J228" s="171">
        <f t="shared" si="96"/>
        <v>0</v>
      </c>
      <c r="K228" s="171">
        <f t="shared" si="96"/>
        <v>0</v>
      </c>
      <c r="L228" s="171">
        <f t="shared" si="96"/>
        <v>0</v>
      </c>
      <c r="M228" s="171">
        <f t="shared" si="96"/>
        <v>0</v>
      </c>
      <c r="N228" s="171">
        <f t="shared" si="96"/>
        <v>0</v>
      </c>
      <c r="O228" s="171">
        <f t="shared" si="96"/>
        <v>0</v>
      </c>
      <c r="P228" s="171">
        <f t="shared" si="96"/>
        <v>0.22366371570704255</v>
      </c>
      <c r="Q228" s="171">
        <f t="shared" si="96"/>
        <v>0.46253228824653669</v>
      </c>
      <c r="R228" s="171">
        <f t="shared" si="96"/>
        <v>0.59852622221288887</v>
      </c>
      <c r="S228" s="171">
        <f t="shared" si="96"/>
        <v>0.98738873230386537</v>
      </c>
      <c r="T228" s="171">
        <f t="shared" si="96"/>
        <v>1.3480046383409654</v>
      </c>
      <c r="U228" s="171">
        <f t="shared" si="96"/>
        <v>1.7225130067071954</v>
      </c>
      <c r="V228" s="171">
        <f t="shared" si="96"/>
        <v>2.1280987331657939</v>
      </c>
      <c r="W228" s="171">
        <f t="shared" si="96"/>
        <v>2.5521761796156484</v>
      </c>
      <c r="X228" s="171">
        <f t="shared" si="96"/>
        <v>3.0038813201386847</v>
      </c>
      <c r="Y228" s="171">
        <f t="shared" si="96"/>
        <v>3.4730803841217859</v>
      </c>
      <c r="Z228" s="171">
        <f t="shared" si="96"/>
        <v>3.9613461168048794</v>
      </c>
      <c r="AA228" s="171">
        <f t="shared" si="96"/>
        <v>4.4852633490033531</v>
      </c>
      <c r="AB228" s="171">
        <f t="shared" si="96"/>
        <v>5.0228737539353743</v>
      </c>
      <c r="AC228" s="171">
        <f t="shared" si="96"/>
        <v>5.5538369811605968</v>
      </c>
      <c r="AD228" s="171">
        <f t="shared" si="96"/>
        <v>6.1004289725785554</v>
      </c>
      <c r="AE228" s="171">
        <f t="shared" si="96"/>
        <v>6.6587881682473018</v>
      </c>
      <c r="AF228" s="171">
        <f t="shared" si="96"/>
        <v>7.2302950741365866</v>
      </c>
      <c r="AG228" s="171">
        <f t="shared" si="96"/>
        <v>7.7882884201286782</v>
      </c>
      <c r="AH228" s="171">
        <f t="shared" si="96"/>
        <v>8.3536422607661081</v>
      </c>
      <c r="AI228" s="171">
        <f t="shared" si="95"/>
        <v>8.9557470808681874</v>
      </c>
      <c r="AJ228" s="171">
        <f t="shared" si="95"/>
        <v>9.5779889869266981</v>
      </c>
      <c r="AK228" s="171">
        <f t="shared" si="95"/>
        <v>10.215744368859802</v>
      </c>
      <c r="AL228" s="171">
        <f t="shared" si="95"/>
        <v>10.863237184723497</v>
      </c>
      <c r="AM228" s="171">
        <f t="shared" si="95"/>
        <v>11.570626155540287</v>
      </c>
      <c r="AN228" s="171">
        <f t="shared" si="95"/>
        <v>12.259150713953547</v>
      </c>
      <c r="AO228" s="171">
        <f t="shared" si="95"/>
        <v>12.930443764102876</v>
      </c>
      <c r="AP228" s="171">
        <f t="shared" si="95"/>
        <v>13.585918302460136</v>
      </c>
      <c r="AQ228" s="171">
        <f t="shared" si="95"/>
        <v>14.2268065549422</v>
      </c>
      <c r="AR228" s="171">
        <f t="shared" si="95"/>
        <v>14.984964204960765</v>
      </c>
      <c r="AS228" s="171">
        <f t="shared" si="96"/>
        <v>15.723313368617788</v>
      </c>
      <c r="AT228" s="171">
        <f t="shared" si="96"/>
        <v>16.44351174670787</v>
      </c>
      <c r="AU228" s="171">
        <f t="shared" si="96"/>
        <v>17.147000826253286</v>
      </c>
      <c r="AV228" s="171">
        <f t="shared" si="96"/>
        <v>17.894829351170781</v>
      </c>
    </row>
    <row r="229" spans="1:48" ht="15.75" thickBot="1">
      <c r="A229" s="199" t="s">
        <v>16</v>
      </c>
      <c r="B229" s="93"/>
      <c r="C229" s="93"/>
      <c r="D229" s="93"/>
      <c r="E229" s="93"/>
      <c r="F229" s="93"/>
      <c r="G229" s="93"/>
      <c r="H229" s="93"/>
      <c r="I229" s="166"/>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199" t="s">
        <v>16</v>
      </c>
      <c r="E230" s="114"/>
      <c r="F230" s="114"/>
      <c r="I230" s="165"/>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row>
    <row r="231" spans="1:48" ht="15.75" thickBot="1">
      <c r="A231" s="199" t="s">
        <v>16</v>
      </c>
      <c r="B231" s="93" t="s">
        <v>500</v>
      </c>
      <c r="C231" s="93"/>
      <c r="E231" s="114"/>
      <c r="F231" s="114"/>
      <c r="I231" s="165"/>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row>
    <row r="232" spans="1:48">
      <c r="A232" s="199" t="s">
        <v>16</v>
      </c>
      <c r="E232" s="114"/>
      <c r="F232" s="114"/>
      <c r="I232" s="165"/>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row>
    <row r="233" spans="1:48">
      <c r="A233" s="199" t="s">
        <v>16</v>
      </c>
      <c r="B233" s="95" t="str">
        <f t="shared" ref="B233:C241" si="97">B162</f>
        <v>CEC</v>
      </c>
      <c r="C233" s="95" t="str">
        <f t="shared" si="97"/>
        <v>Commercial - Cooling</v>
      </c>
      <c r="E233" s="114"/>
      <c r="F233" s="114"/>
      <c r="I233" s="165"/>
      <c r="J233" s="102">
        <f t="shared" ref="J233:AV239" si="98">J162+J174+J151</f>
        <v>139.66439435388435</v>
      </c>
      <c r="K233" s="102">
        <f t="shared" si="98"/>
        <v>135.91206875329351</v>
      </c>
      <c r="L233" s="102">
        <f t="shared" si="98"/>
        <v>132.46001856592557</v>
      </c>
      <c r="M233" s="102">
        <f t="shared" si="98"/>
        <v>128.70532315183087</v>
      </c>
      <c r="N233" s="102">
        <f t="shared" si="98"/>
        <v>124.79103145901988</v>
      </c>
      <c r="O233" s="102">
        <f t="shared" si="98"/>
        <v>120.28334032399778</v>
      </c>
      <c r="P233" s="102">
        <f t="shared" si="98"/>
        <v>119.47615719794113</v>
      </c>
      <c r="Q233" s="102">
        <f t="shared" si="98"/>
        <v>118.6958707269869</v>
      </c>
      <c r="R233" s="102">
        <f t="shared" si="98"/>
        <v>117.73360400439491</v>
      </c>
      <c r="S233" s="102">
        <f t="shared" si="98"/>
        <v>116.59762343783498</v>
      </c>
      <c r="T233" s="102">
        <f t="shared" si="98"/>
        <v>115.39180872786204</v>
      </c>
      <c r="U233" s="102">
        <f t="shared" si="98"/>
        <v>114.18885870942323</v>
      </c>
      <c r="V233" s="102">
        <f t="shared" si="98"/>
        <v>113.01428957379696</v>
      </c>
      <c r="W233" s="102">
        <f t="shared" si="98"/>
        <v>111.84449778436631</v>
      </c>
      <c r="X233" s="102">
        <f t="shared" si="98"/>
        <v>110.69076695057898</v>
      </c>
      <c r="Y233" s="102">
        <f t="shared" si="98"/>
        <v>109.53464259537016</v>
      </c>
      <c r="Z233" s="102">
        <f t="shared" si="98"/>
        <v>108.37602946411712</v>
      </c>
      <c r="AA233" s="102">
        <f t="shared" si="98"/>
        <v>107.23513472155196</v>
      </c>
      <c r="AB233" s="102">
        <f t="shared" si="98"/>
        <v>106.07809602232625</v>
      </c>
      <c r="AC233" s="102">
        <f t="shared" si="98"/>
        <v>105.64695597502735</v>
      </c>
      <c r="AD233" s="102">
        <f t="shared" si="98"/>
        <v>105.23676026612658</v>
      </c>
      <c r="AE233" s="102">
        <f t="shared" si="98"/>
        <v>104.84233396194583</v>
      </c>
      <c r="AF233" s="102">
        <f t="shared" si="98"/>
        <v>104.46552709898408</v>
      </c>
      <c r="AG233" s="102">
        <f t="shared" si="98"/>
        <v>104.07061051423246</v>
      </c>
      <c r="AH233" s="102">
        <f t="shared" si="98"/>
        <v>103.68555783738347</v>
      </c>
      <c r="AI233" s="102">
        <f t="shared" si="98"/>
        <v>103.34975569249464</v>
      </c>
      <c r="AJ233" s="102">
        <f t="shared" si="98"/>
        <v>103.0409395547797</v>
      </c>
      <c r="AK233" s="102">
        <f t="shared" si="98"/>
        <v>102.75291325588003</v>
      </c>
      <c r="AL233" s="102">
        <f t="shared" si="98"/>
        <v>102.47793623642799</v>
      </c>
      <c r="AM233" s="102">
        <f t="shared" si="98"/>
        <v>102.30257352181901</v>
      </c>
      <c r="AN233" s="102">
        <f t="shared" si="98"/>
        <v>102.10141440058349</v>
      </c>
      <c r="AO233" s="102">
        <f t="shared" si="98"/>
        <v>101.87669181050221</v>
      </c>
      <c r="AP233" s="102">
        <f t="shared" si="98"/>
        <v>101.63033797351613</v>
      </c>
      <c r="AQ233" s="102">
        <f t="shared" si="98"/>
        <v>101.36403791432295</v>
      </c>
      <c r="AR233" s="102">
        <f t="shared" si="98"/>
        <v>101.25809954564988</v>
      </c>
      <c r="AS233" s="102">
        <f t="shared" si="98"/>
        <v>101.12507378311008</v>
      </c>
      <c r="AT233" s="102">
        <f t="shared" si="98"/>
        <v>100.96722747301972</v>
      </c>
      <c r="AU233" s="102">
        <f t="shared" si="98"/>
        <v>100.78653179712447</v>
      </c>
      <c r="AV233" s="102">
        <f t="shared" si="98"/>
        <v>100.66646872074762</v>
      </c>
    </row>
    <row r="234" spans="1:48">
      <c r="A234" s="199" t="s">
        <v>16</v>
      </c>
      <c r="B234" s="95" t="str">
        <f t="shared" si="97"/>
        <v>CEH</v>
      </c>
      <c r="C234" s="95" t="str">
        <f t="shared" si="97"/>
        <v>Commercial - Space Heating</v>
      </c>
      <c r="E234" s="114"/>
      <c r="F234" s="114"/>
      <c r="I234" s="165"/>
      <c r="J234" s="102">
        <f t="shared" si="98"/>
        <v>7.8517549075018991</v>
      </c>
      <c r="K234" s="102">
        <f t="shared" si="98"/>
        <v>8.5481458503642624</v>
      </c>
      <c r="L234" s="102">
        <f t="shared" si="98"/>
        <v>9.282962289600075</v>
      </c>
      <c r="M234" s="102">
        <f t="shared" si="98"/>
        <v>10.018335457385795</v>
      </c>
      <c r="N234" s="102">
        <f t="shared" si="98"/>
        <v>10.761970407471427</v>
      </c>
      <c r="O234" s="102">
        <f t="shared" si="98"/>
        <v>11.470981711368385</v>
      </c>
      <c r="P234" s="102">
        <f t="shared" si="98"/>
        <v>11.394003612391582</v>
      </c>
      <c r="Q234" s="102">
        <f t="shared" si="98"/>
        <v>11.319590548921324</v>
      </c>
      <c r="R234" s="102">
        <f t="shared" si="98"/>
        <v>11.227822695230378</v>
      </c>
      <c r="S234" s="102">
        <f t="shared" si="98"/>
        <v>11.119488388348152</v>
      </c>
      <c r="T234" s="102">
        <f t="shared" si="98"/>
        <v>11.004494254928341</v>
      </c>
      <c r="U234" s="102">
        <f t="shared" si="98"/>
        <v>10.889773316650167</v>
      </c>
      <c r="V234" s="102">
        <f t="shared" si="98"/>
        <v>10.777758959240288</v>
      </c>
      <c r="W234" s="102">
        <f t="shared" si="98"/>
        <v>10.666200199843324</v>
      </c>
      <c r="X234" s="102">
        <f t="shared" si="98"/>
        <v>10.556173114973815</v>
      </c>
      <c r="Y234" s="102">
        <f t="shared" si="98"/>
        <v>10.445917768730974</v>
      </c>
      <c r="Z234" s="102">
        <f t="shared" si="98"/>
        <v>10.335425077030234</v>
      </c>
      <c r="AA234" s="102">
        <f t="shared" si="98"/>
        <v>10.226622123177195</v>
      </c>
      <c r="AB234" s="102">
        <f t="shared" si="98"/>
        <v>10.11627957929362</v>
      </c>
      <c r="AC234" s="102">
        <f t="shared" si="98"/>
        <v>10.075163331737784</v>
      </c>
      <c r="AD234" s="102">
        <f t="shared" si="98"/>
        <v>10.036044469040689</v>
      </c>
      <c r="AE234" s="102">
        <f t="shared" si="98"/>
        <v>9.9984294767271003</v>
      </c>
      <c r="AF234" s="102">
        <f t="shared" si="98"/>
        <v>9.9624947860034361</v>
      </c>
      <c r="AG234" s="102">
        <f t="shared" si="98"/>
        <v>9.924833037427117</v>
      </c>
      <c r="AH234" s="102">
        <f t="shared" si="98"/>
        <v>9.8881119736276712</v>
      </c>
      <c r="AI234" s="102">
        <f t="shared" si="98"/>
        <v>9.8560877527149309</v>
      </c>
      <c r="AJ234" s="102">
        <f t="shared" si="98"/>
        <v>9.8266370884885976</v>
      </c>
      <c r="AK234" s="102">
        <f t="shared" si="98"/>
        <v>9.7991690750615383</v>
      </c>
      <c r="AL234" s="102">
        <f t="shared" si="98"/>
        <v>9.7729455236313534</v>
      </c>
      <c r="AM234" s="102">
        <f t="shared" si="98"/>
        <v>9.7562218236848999</v>
      </c>
      <c r="AN234" s="102">
        <f t="shared" si="98"/>
        <v>9.7370380149001434</v>
      </c>
      <c r="AO234" s="102">
        <f t="shared" si="98"/>
        <v>9.7156070443766254</v>
      </c>
      <c r="AP234" s="102">
        <f t="shared" si="98"/>
        <v>9.6921131810454231</v>
      </c>
      <c r="AQ234" s="102">
        <f t="shared" si="98"/>
        <v>9.6667171195417012</v>
      </c>
      <c r="AR234" s="102">
        <f t="shared" si="98"/>
        <v>9.6566141652480493</v>
      </c>
      <c r="AS234" s="102">
        <f t="shared" si="98"/>
        <v>9.6439279853903521</v>
      </c>
      <c r="AT234" s="102">
        <f t="shared" si="98"/>
        <v>9.6288747608010077</v>
      </c>
      <c r="AU234" s="102">
        <f t="shared" si="98"/>
        <v>9.6116424758650041</v>
      </c>
      <c r="AV234" s="102">
        <f t="shared" si="98"/>
        <v>9.6001924999197072</v>
      </c>
    </row>
    <row r="235" spans="1:48">
      <c r="A235" s="199" t="s">
        <v>16</v>
      </c>
      <c r="B235" s="95" t="str">
        <f t="shared" si="97"/>
        <v>CEK</v>
      </c>
      <c r="C235" s="95" t="str">
        <f t="shared" si="97"/>
        <v>Commercial - Cooking</v>
      </c>
      <c r="E235" s="114"/>
      <c r="F235" s="114"/>
      <c r="I235" s="165"/>
      <c r="J235" s="102">
        <f t="shared" si="98"/>
        <v>9.8944997565297612</v>
      </c>
      <c r="K235" s="102">
        <f t="shared" si="98"/>
        <v>9.639891973427412</v>
      </c>
      <c r="L235" s="102">
        <f t="shared" si="98"/>
        <v>9.4068236837096606</v>
      </c>
      <c r="M235" s="102">
        <f t="shared" si="98"/>
        <v>9.1525319237345215</v>
      </c>
      <c r="N235" s="102">
        <f t="shared" si="98"/>
        <v>8.8871468025102622</v>
      </c>
      <c r="O235" s="102">
        <f t="shared" si="98"/>
        <v>8.579706769854079</v>
      </c>
      <c r="P235" s="102">
        <f t="shared" si="98"/>
        <v>8.5221310946817272</v>
      </c>
      <c r="Q235" s="102">
        <f t="shared" si="98"/>
        <v>8.4664739346856805</v>
      </c>
      <c r="R235" s="102">
        <f t="shared" si="98"/>
        <v>8.3978362805268461</v>
      </c>
      <c r="S235" s="102">
        <f t="shared" si="98"/>
        <v>8.3168077679241552</v>
      </c>
      <c r="T235" s="102">
        <f t="shared" si="98"/>
        <v>8.2307980461914756</v>
      </c>
      <c r="U235" s="102">
        <f t="shared" si="98"/>
        <v>8.1449926604315284</v>
      </c>
      <c r="V235" s="102">
        <f t="shared" si="98"/>
        <v>8.0612116585284426</v>
      </c>
      <c r="W235" s="102">
        <f t="shared" si="98"/>
        <v>7.9777714206030286</v>
      </c>
      <c r="X235" s="102">
        <f t="shared" si="98"/>
        <v>7.8954767967709056</v>
      </c>
      <c r="Y235" s="102">
        <f t="shared" si="98"/>
        <v>7.813011445123208</v>
      </c>
      <c r="Z235" s="102">
        <f t="shared" si="98"/>
        <v>7.7303685712299695</v>
      </c>
      <c r="AA235" s="102">
        <f t="shared" si="98"/>
        <v>7.648989534697475</v>
      </c>
      <c r="AB235" s="102">
        <f t="shared" si="98"/>
        <v>7.5664589636808213</v>
      </c>
      <c r="AC235" s="102">
        <f t="shared" si="98"/>
        <v>7.5357061165067911</v>
      </c>
      <c r="AD235" s="102">
        <f t="shared" si="98"/>
        <v>7.5064472108999034</v>
      </c>
      <c r="AE235" s="102">
        <f t="shared" si="98"/>
        <v>7.4783131233107758</v>
      </c>
      <c r="AF235" s="102">
        <f t="shared" si="98"/>
        <v>7.4514358152449036</v>
      </c>
      <c r="AG235" s="102">
        <f t="shared" si="98"/>
        <v>7.4232667563661385</v>
      </c>
      <c r="AH235" s="102">
        <f t="shared" si="98"/>
        <v>7.3958012815180609</v>
      </c>
      <c r="AI235" s="102">
        <f t="shared" si="98"/>
        <v>7.371848804574257</v>
      </c>
      <c r="AJ235" s="102">
        <f t="shared" si="98"/>
        <v>7.34982121621284</v>
      </c>
      <c r="AK235" s="102">
        <f t="shared" si="98"/>
        <v>7.3292765490967717</v>
      </c>
      <c r="AL235" s="102">
        <f t="shared" si="98"/>
        <v>7.3096626758123087</v>
      </c>
      <c r="AM235" s="102">
        <f t="shared" si="98"/>
        <v>7.2971542048498437</v>
      </c>
      <c r="AN235" s="102">
        <f t="shared" si="98"/>
        <v>7.2828056984845144</v>
      </c>
      <c r="AO235" s="102">
        <f t="shared" si="98"/>
        <v>7.2667764302395002</v>
      </c>
      <c r="AP235" s="102">
        <f t="shared" si="98"/>
        <v>7.2492042238368875</v>
      </c>
      <c r="AQ235" s="102">
        <f t="shared" si="98"/>
        <v>7.230209270632912</v>
      </c>
      <c r="AR235" s="102">
        <f t="shared" si="98"/>
        <v>7.2226527783003629</v>
      </c>
      <c r="AS235" s="102">
        <f t="shared" si="98"/>
        <v>7.2131641655601992</v>
      </c>
      <c r="AT235" s="102">
        <f t="shared" si="98"/>
        <v>7.2019051246021499</v>
      </c>
      <c r="AU235" s="102">
        <f t="shared" si="98"/>
        <v>7.1890162581175172</v>
      </c>
      <c r="AV235" s="102">
        <f t="shared" si="98"/>
        <v>7.1804522625847573</v>
      </c>
    </row>
    <row r="236" spans="1:48">
      <c r="A236" s="199" t="s">
        <v>16</v>
      </c>
      <c r="B236" s="95" t="str">
        <f t="shared" si="97"/>
        <v>CEL</v>
      </c>
      <c r="C236" s="95" t="str">
        <f t="shared" si="97"/>
        <v>Commercial - Lighting</v>
      </c>
      <c r="E236" s="114"/>
      <c r="F236" s="114"/>
      <c r="I236" s="165"/>
      <c r="J236" s="102">
        <f t="shared" si="98"/>
        <v>121.54027190568891</v>
      </c>
      <c r="K236" s="102">
        <f t="shared" si="98"/>
        <v>118.27488221288776</v>
      </c>
      <c r="L236" s="102">
        <f t="shared" si="98"/>
        <v>115.2708014638481</v>
      </c>
      <c r="M236" s="102">
        <f t="shared" si="98"/>
        <v>112.00334948610346</v>
      </c>
      <c r="N236" s="102">
        <f t="shared" si="98"/>
        <v>108.59701189474154</v>
      </c>
      <c r="O236" s="102">
        <f t="shared" si="98"/>
        <v>104.67427977141128</v>
      </c>
      <c r="P236" s="102">
        <f t="shared" si="98"/>
        <v>103.97184407137146</v>
      </c>
      <c r="Q236" s="102">
        <f t="shared" si="98"/>
        <v>103.29281467176793</v>
      </c>
      <c r="R236" s="102">
        <f t="shared" si="98"/>
        <v>102.45542043359663</v>
      </c>
      <c r="S236" s="102">
        <f t="shared" si="98"/>
        <v>101.46685504026212</v>
      </c>
      <c r="T236" s="102">
        <f t="shared" si="98"/>
        <v>100.41751781730002</v>
      </c>
      <c r="U236" s="102">
        <f t="shared" si="98"/>
        <v>99.370673537436204</v>
      </c>
      <c r="V236" s="102">
        <f t="shared" si="98"/>
        <v>98.348527178827993</v>
      </c>
      <c r="W236" s="102">
        <f t="shared" si="98"/>
        <v>97.330538214509758</v>
      </c>
      <c r="X236" s="102">
        <f t="shared" si="98"/>
        <v>96.326525990111421</v>
      </c>
      <c r="Y236" s="102">
        <f t="shared" si="98"/>
        <v>95.320430849407003</v>
      </c>
      <c r="Z236" s="102">
        <f t="shared" si="98"/>
        <v>94.312169898880214</v>
      </c>
      <c r="AA236" s="102">
        <f t="shared" si="98"/>
        <v>93.319328037727061</v>
      </c>
      <c r="AB236" s="102">
        <f t="shared" si="98"/>
        <v>92.312437206603875</v>
      </c>
      <c r="AC236" s="102">
        <f t="shared" si="98"/>
        <v>91.937245814262553</v>
      </c>
      <c r="AD236" s="102">
        <f t="shared" si="98"/>
        <v>91.580280832421707</v>
      </c>
      <c r="AE236" s="102">
        <f t="shared" si="98"/>
        <v>91.237038873877736</v>
      </c>
      <c r="AF236" s="102">
        <f t="shared" si="98"/>
        <v>90.909129897562309</v>
      </c>
      <c r="AG236" s="102">
        <f t="shared" si="98"/>
        <v>90.565461281714803</v>
      </c>
      <c r="AH236" s="102">
        <f t="shared" si="98"/>
        <v>90.230376543340768</v>
      </c>
      <c r="AI236" s="102">
        <f t="shared" si="98"/>
        <v>89.938151139828904</v>
      </c>
      <c r="AJ236" s="102">
        <f t="shared" si="98"/>
        <v>89.669409793687123</v>
      </c>
      <c r="AK236" s="102">
        <f t="shared" si="98"/>
        <v>89.418760407734453</v>
      </c>
      <c r="AL236" s="102">
        <f t="shared" si="98"/>
        <v>89.17946690800872</v>
      </c>
      <c r="AM236" s="102">
        <f t="shared" si="98"/>
        <v>89.026860854659915</v>
      </c>
      <c r="AN236" s="102">
        <f t="shared" si="98"/>
        <v>88.851805971098656</v>
      </c>
      <c r="AO236" s="102">
        <f t="shared" si="98"/>
        <v>88.656245428784459</v>
      </c>
      <c r="AP236" s="102">
        <f t="shared" si="98"/>
        <v>88.441860706960284</v>
      </c>
      <c r="AQ236" s="102">
        <f t="shared" si="98"/>
        <v>88.210118166189091</v>
      </c>
      <c r="AR236" s="102">
        <f t="shared" si="98"/>
        <v>88.117927324039684</v>
      </c>
      <c r="AS236" s="102">
        <f t="shared" si="98"/>
        <v>88.002164194687026</v>
      </c>
      <c r="AT236" s="102">
        <f t="shared" si="98"/>
        <v>87.864801457846013</v>
      </c>
      <c r="AU236" s="102">
        <f t="shared" si="98"/>
        <v>87.707554496785633</v>
      </c>
      <c r="AV236" s="102">
        <f t="shared" si="98"/>
        <v>87.603071897507647</v>
      </c>
    </row>
    <row r="237" spans="1:48">
      <c r="A237" s="199" t="s">
        <v>16</v>
      </c>
      <c r="B237" s="95" t="str">
        <f t="shared" si="97"/>
        <v>CER</v>
      </c>
      <c r="C237" s="95" t="str">
        <f t="shared" si="97"/>
        <v>Commercial - Refrigeration</v>
      </c>
      <c r="E237" s="114"/>
      <c r="F237" s="114"/>
      <c r="I237" s="165"/>
      <c r="J237" s="102">
        <f t="shared" si="98"/>
        <v>29.566390373747055</v>
      </c>
      <c r="K237" s="102">
        <f t="shared" si="98"/>
        <v>28.772038140812398</v>
      </c>
      <c r="L237" s="102">
        <f t="shared" si="98"/>
        <v>28.041253004760659</v>
      </c>
      <c r="M237" s="102">
        <f t="shared" si="98"/>
        <v>27.246399091841703</v>
      </c>
      <c r="N237" s="102">
        <f t="shared" si="98"/>
        <v>26.417759288821308</v>
      </c>
      <c r="O237" s="102">
        <f t="shared" si="98"/>
        <v>25.463499211305457</v>
      </c>
      <c r="P237" s="102">
        <f t="shared" si="98"/>
        <v>25.292621791054586</v>
      </c>
      <c r="Q237" s="102">
        <f t="shared" si="98"/>
        <v>25.12743828447573</v>
      </c>
      <c r="R237" s="102">
        <f t="shared" si="98"/>
        <v>24.923730290785286</v>
      </c>
      <c r="S237" s="102">
        <f t="shared" si="98"/>
        <v>24.683247775228757</v>
      </c>
      <c r="T237" s="102">
        <f t="shared" si="98"/>
        <v>24.427981652475008</v>
      </c>
      <c r="U237" s="102">
        <f t="shared" si="98"/>
        <v>24.173321973393541</v>
      </c>
      <c r="V237" s="102">
        <f t="shared" si="98"/>
        <v>23.924670413018841</v>
      </c>
      <c r="W237" s="102">
        <f t="shared" si="98"/>
        <v>23.677030197613082</v>
      </c>
      <c r="X237" s="102">
        <f t="shared" si="98"/>
        <v>23.432790021899059</v>
      </c>
      <c r="Y237" s="102">
        <f t="shared" si="98"/>
        <v>23.188043147329957</v>
      </c>
      <c r="Z237" s="102">
        <f t="shared" si="98"/>
        <v>22.942769408885368</v>
      </c>
      <c r="AA237" s="102">
        <f t="shared" si="98"/>
        <v>22.701246582039705</v>
      </c>
      <c r="AB237" s="102">
        <f t="shared" si="98"/>
        <v>22.456306144520894</v>
      </c>
      <c r="AC237" s="102">
        <f t="shared" si="98"/>
        <v>22.365035531111033</v>
      </c>
      <c r="AD237" s="102">
        <f t="shared" si="98"/>
        <v>22.278198749874825</v>
      </c>
      <c r="AE237" s="102">
        <f t="shared" si="98"/>
        <v>22.194700288172889</v>
      </c>
      <c r="AF237" s="102">
        <f t="shared" si="98"/>
        <v>22.114931791288814</v>
      </c>
      <c r="AG237" s="102">
        <f t="shared" si="98"/>
        <v>22.031329539162559</v>
      </c>
      <c r="AH237" s="102">
        <f t="shared" si="98"/>
        <v>21.9498154366539</v>
      </c>
      <c r="AI237" s="102">
        <f t="shared" si="98"/>
        <v>21.878727473611804</v>
      </c>
      <c r="AJ237" s="102">
        <f t="shared" si="98"/>
        <v>21.81335233971577</v>
      </c>
      <c r="AK237" s="102">
        <f t="shared" si="98"/>
        <v>21.752378331053304</v>
      </c>
      <c r="AL237" s="102">
        <f t="shared" si="98"/>
        <v>21.6941668023488</v>
      </c>
      <c r="AM237" s="102">
        <f t="shared" si="98"/>
        <v>21.657043221201896</v>
      </c>
      <c r="AN237" s="102">
        <f t="shared" si="98"/>
        <v>21.614458644558695</v>
      </c>
      <c r="AO237" s="102">
        <f t="shared" si="98"/>
        <v>21.56688577636362</v>
      </c>
      <c r="AP237" s="102">
        <f t="shared" si="98"/>
        <v>21.51473366022767</v>
      </c>
      <c r="AQ237" s="102">
        <f t="shared" si="98"/>
        <v>21.4583590091</v>
      </c>
      <c r="AR237" s="102">
        <f t="shared" si="98"/>
        <v>21.43593228267315</v>
      </c>
      <c r="AS237" s="102">
        <f t="shared" si="98"/>
        <v>21.407771263945275</v>
      </c>
      <c r="AT237" s="102">
        <f t="shared" si="98"/>
        <v>21.374355835161314</v>
      </c>
      <c r="AU237" s="102">
        <f t="shared" si="98"/>
        <v>21.336103287566189</v>
      </c>
      <c r="AV237" s="102">
        <f t="shared" si="98"/>
        <v>21.3106864173463</v>
      </c>
    </row>
    <row r="238" spans="1:48">
      <c r="A238" s="199" t="s">
        <v>16</v>
      </c>
      <c r="B238" s="95" t="str">
        <f t="shared" si="97"/>
        <v>CEW</v>
      </c>
      <c r="C238" s="95" t="str">
        <f t="shared" si="97"/>
        <v>Commercial - Water Heating</v>
      </c>
      <c r="E238" s="114"/>
      <c r="F238" s="114"/>
      <c r="I238" s="165"/>
      <c r="J238" s="102">
        <f t="shared" si="98"/>
        <v>9.6831090230750316</v>
      </c>
      <c r="K238" s="102">
        <f t="shared" si="98"/>
        <v>10.373780123530006</v>
      </c>
      <c r="L238" s="102">
        <f t="shared" si="98"/>
        <v>11.107846566457823</v>
      </c>
      <c r="M238" s="102">
        <f t="shared" si="98"/>
        <v>11.839343352056451</v>
      </c>
      <c r="N238" s="102">
        <f t="shared" si="98"/>
        <v>12.577835119303142</v>
      </c>
      <c r="O238" s="102">
        <f t="shared" si="98"/>
        <v>13.273861719969343</v>
      </c>
      <c r="P238" s="102">
        <f t="shared" si="98"/>
        <v>13.184785068380622</v>
      </c>
      <c r="Q238" s="102">
        <f t="shared" si="98"/>
        <v>13.098676595756643</v>
      </c>
      <c r="R238" s="102">
        <f t="shared" si="98"/>
        <v>12.992485701996889</v>
      </c>
      <c r="S238" s="102">
        <f t="shared" si="98"/>
        <v>12.867124626086689</v>
      </c>
      <c r="T238" s="102">
        <f t="shared" si="98"/>
        <v>12.734057006938666</v>
      </c>
      <c r="U238" s="102">
        <f t="shared" si="98"/>
        <v>12.601305520674817</v>
      </c>
      <c r="V238" s="102">
        <f t="shared" si="98"/>
        <v>12.471686005246905</v>
      </c>
      <c r="W238" s="102">
        <f t="shared" si="98"/>
        <v>12.342593693608134</v>
      </c>
      <c r="X238" s="102">
        <f t="shared" si="98"/>
        <v>12.215273787887968</v>
      </c>
      <c r="Y238" s="102">
        <f t="shared" si="98"/>
        <v>12.087689745236727</v>
      </c>
      <c r="Z238" s="102">
        <f t="shared" si="98"/>
        <v>11.959831053835511</v>
      </c>
      <c r="AA238" s="102">
        <f t="shared" si="98"/>
        <v>11.833927674289702</v>
      </c>
      <c r="AB238" s="102">
        <f t="shared" si="98"/>
        <v>11.706242729252381</v>
      </c>
      <c r="AC238" s="102">
        <f t="shared" si="98"/>
        <v>11.658664291919568</v>
      </c>
      <c r="AD238" s="102">
        <f t="shared" si="98"/>
        <v>11.613397165953437</v>
      </c>
      <c r="AE238" s="102">
        <f t="shared" si="98"/>
        <v>11.56987027181904</v>
      </c>
      <c r="AF238" s="102">
        <f t="shared" si="98"/>
        <v>11.528287770197313</v>
      </c>
      <c r="AG238" s="102">
        <f t="shared" si="98"/>
        <v>11.484706771176207</v>
      </c>
      <c r="AH238" s="102">
        <f t="shared" si="98"/>
        <v>11.442214303194937</v>
      </c>
      <c r="AI238" s="102">
        <f t="shared" si="98"/>
        <v>11.405156875087961</v>
      </c>
      <c r="AJ238" s="102">
        <f t="shared" si="98"/>
        <v>11.371077486388897</v>
      </c>
      <c r="AK238" s="102">
        <f t="shared" si="98"/>
        <v>11.339292359263144</v>
      </c>
      <c r="AL238" s="102">
        <f t="shared" si="98"/>
        <v>11.308947284687198</v>
      </c>
      <c r="AM238" s="102">
        <f t="shared" si="98"/>
        <v>11.289595141503543</v>
      </c>
      <c r="AN238" s="102">
        <f t="shared" si="98"/>
        <v>11.26739623721806</v>
      </c>
      <c r="AO238" s="102">
        <f t="shared" si="98"/>
        <v>11.242596987562559</v>
      </c>
      <c r="AP238" s="102">
        <f t="shared" si="98"/>
        <v>11.215410622788113</v>
      </c>
      <c r="AQ238" s="102">
        <f t="shared" si="98"/>
        <v>11.186023093706959</v>
      </c>
      <c r="AR238" s="102">
        <f t="shared" si="98"/>
        <v>11.174332270582012</v>
      </c>
      <c r="AS238" s="102">
        <f t="shared" si="98"/>
        <v>11.159652219525977</v>
      </c>
      <c r="AT238" s="102">
        <f t="shared" si="98"/>
        <v>11.142233098245313</v>
      </c>
      <c r="AU238" s="102">
        <f t="shared" si="98"/>
        <v>11.122292436398304</v>
      </c>
      <c r="AV238" s="102">
        <f t="shared" si="98"/>
        <v>11.10904288189468</v>
      </c>
    </row>
    <row r="239" spans="1:48">
      <c r="A239" s="199" t="s">
        <v>16</v>
      </c>
      <c r="B239" s="95" t="str">
        <f t="shared" si="97"/>
        <v>CEG</v>
      </c>
      <c r="C239" s="95" t="str">
        <f t="shared" si="97"/>
        <v>Commercial - Public lights</v>
      </c>
      <c r="E239" s="114"/>
      <c r="F239" s="114"/>
      <c r="I239" s="165"/>
      <c r="J239" s="102">
        <f t="shared" si="98"/>
        <v>10.30055287377321</v>
      </c>
      <c r="K239" s="102">
        <f t="shared" si="98"/>
        <v>10.023810698880988</v>
      </c>
      <c r="L239" s="102">
        <f t="shared" si="98"/>
        <v>9.7692144888562282</v>
      </c>
      <c r="M239" s="102">
        <f t="shared" si="98"/>
        <v>9.4922975350634147</v>
      </c>
      <c r="N239" s="102">
        <f t="shared" si="98"/>
        <v>9.2036100085703758</v>
      </c>
      <c r="O239" s="102">
        <f t="shared" si="98"/>
        <v>8.8711579824850144</v>
      </c>
      <c r="P239" s="102">
        <f t="shared" si="98"/>
        <v>8.9283467453532221</v>
      </c>
      <c r="Q239" s="102">
        <f t="shared" si="98"/>
        <v>8.995453942310931</v>
      </c>
      <c r="R239" s="102">
        <f t="shared" si="98"/>
        <v>8.995453942310931</v>
      </c>
      <c r="S239" s="102">
        <f t="shared" si="98"/>
        <v>8.9771970991004117</v>
      </c>
      <c r="T239" s="102">
        <f t="shared" si="98"/>
        <v>8.9346534103357751</v>
      </c>
      <c r="U239" s="102">
        <f t="shared" si="98"/>
        <v>8.8947672970471228</v>
      </c>
      <c r="V239" s="102">
        <f t="shared" si="98"/>
        <v>8.8673082683331117</v>
      </c>
      <c r="W239" s="102">
        <f t="shared" si="98"/>
        <v>8.8436711025268195</v>
      </c>
      <c r="X239" s="102">
        <f t="shared" si="98"/>
        <v>8.8283764785378427</v>
      </c>
      <c r="Y239" s="102">
        <f t="shared" si="98"/>
        <v>8.8146580725675427</v>
      </c>
      <c r="Z239" s="102">
        <f t="shared" si="98"/>
        <v>8.80269297034733</v>
      </c>
      <c r="AA239" s="102">
        <f t="shared" si="98"/>
        <v>8.8006061850648898</v>
      </c>
      <c r="AB239" s="102">
        <f t="shared" si="98"/>
        <v>8.7955432585320867</v>
      </c>
      <c r="AC239" s="102">
        <f t="shared" si="98"/>
        <v>9.0044592456247958</v>
      </c>
      <c r="AD239" s="102">
        <f t="shared" si="98"/>
        <v>9.221613582124526</v>
      </c>
      <c r="AE239" s="102">
        <f t="shared" ref="K239:AV241" si="99">AE168+AE180+AE157</f>
        <v>9.4449707340846718</v>
      </c>
      <c r="AF239" s="102">
        <f t="shared" si="99"/>
        <v>9.6752584039900178</v>
      </c>
      <c r="AG239" s="102">
        <f t="shared" si="99"/>
        <v>9.8984227065713153</v>
      </c>
      <c r="AH239" s="102">
        <f t="shared" si="99"/>
        <v>10.125466927356573</v>
      </c>
      <c r="AI239" s="102">
        <f t="shared" si="99"/>
        <v>10.371883595390146</v>
      </c>
      <c r="AJ239" s="102">
        <f t="shared" si="99"/>
        <v>10.628915072637202</v>
      </c>
      <c r="AK239" s="102">
        <f t="shared" si="99"/>
        <v>10.894124127663044</v>
      </c>
      <c r="AL239" s="102">
        <f t="shared" si="99"/>
        <v>11.164466050653278</v>
      </c>
      <c r="AM239" s="102">
        <f t="shared" si="99"/>
        <v>11.473990755817566</v>
      </c>
      <c r="AN239" s="102">
        <f t="shared" si="99"/>
        <v>11.773368575117294</v>
      </c>
      <c r="AO239" s="102">
        <f t="shared" si="99"/>
        <v>12.063477823316676</v>
      </c>
      <c r="AP239" s="102">
        <f t="shared" si="99"/>
        <v>12.345078530127761</v>
      </c>
      <c r="AQ239" s="102">
        <f t="shared" si="99"/>
        <v>12.618833491479219</v>
      </c>
      <c r="AR239" s="102">
        <f t="shared" si="99"/>
        <v>12.955665911420704</v>
      </c>
      <c r="AS239" s="102">
        <f t="shared" si="99"/>
        <v>13.281843642206713</v>
      </c>
      <c r="AT239" s="102">
        <f t="shared" si="99"/>
        <v>13.598258336352078</v>
      </c>
      <c r="AU239" s="102">
        <f t="shared" si="99"/>
        <v>13.905685348210667</v>
      </c>
      <c r="AV239" s="102">
        <f t="shared" si="99"/>
        <v>14.236961885931205</v>
      </c>
    </row>
    <row r="240" spans="1:48">
      <c r="A240" s="199" t="s">
        <v>16</v>
      </c>
      <c r="B240" s="95" t="str">
        <f t="shared" si="97"/>
        <v>CET</v>
      </c>
      <c r="C240" s="95" t="str">
        <f t="shared" si="97"/>
        <v>Commercial - Public Water</v>
      </c>
      <c r="E240" s="114"/>
      <c r="F240" s="114"/>
      <c r="I240" s="165"/>
      <c r="J240" s="102">
        <f t="shared" ref="J240:J241" si="100">J169+J181+J158</f>
        <v>3.5593512487513528</v>
      </c>
      <c r="K240" s="102">
        <f t="shared" si="99"/>
        <v>3.4637231190911666</v>
      </c>
      <c r="L240" s="102">
        <f t="shared" si="99"/>
        <v>3.3757475172779561</v>
      </c>
      <c r="M240" s="102">
        <f t="shared" si="99"/>
        <v>3.2800589928500612</v>
      </c>
      <c r="N240" s="102">
        <f t="shared" si="99"/>
        <v>3.1803031525069465</v>
      </c>
      <c r="O240" s="102">
        <f t="shared" si="99"/>
        <v>3.0654245097100388</v>
      </c>
      <c r="P240" s="102">
        <f t="shared" si="99"/>
        <v>3.0851860600873766</v>
      </c>
      <c r="Q240" s="102">
        <f t="shared" si="99"/>
        <v>3.1083749207455065</v>
      </c>
      <c r="R240" s="102">
        <f t="shared" si="99"/>
        <v>3.1083749207455065</v>
      </c>
      <c r="S240" s="102">
        <f t="shared" si="99"/>
        <v>3.1020662770759921</v>
      </c>
      <c r="T240" s="102">
        <f t="shared" si="99"/>
        <v>3.0873653252351985</v>
      </c>
      <c r="U240" s="102">
        <f t="shared" si="99"/>
        <v>3.0735826973625451</v>
      </c>
      <c r="V240" s="102">
        <f t="shared" si="99"/>
        <v>3.0640942427775908</v>
      </c>
      <c r="W240" s="102">
        <f t="shared" si="99"/>
        <v>3.0559264311406267</v>
      </c>
      <c r="X240" s="102">
        <f t="shared" si="99"/>
        <v>3.0506413809436652</v>
      </c>
      <c r="Y240" s="102">
        <f t="shared" si="99"/>
        <v>3.0459009921490416</v>
      </c>
      <c r="Z240" s="102">
        <f t="shared" si="99"/>
        <v>3.0417664566487783</v>
      </c>
      <c r="AA240" s="102">
        <f t="shared" si="99"/>
        <v>3.0410453689662091</v>
      </c>
      <c r="AB240" s="102">
        <f t="shared" si="99"/>
        <v>3.0392958770605123</v>
      </c>
      <c r="AC240" s="102">
        <f t="shared" si="99"/>
        <v>3.1114866991120054</v>
      </c>
      <c r="AD240" s="102">
        <f t="shared" si="99"/>
        <v>3.1865242789646451</v>
      </c>
      <c r="AE240" s="102">
        <f t="shared" si="99"/>
        <v>3.2637052388110916</v>
      </c>
      <c r="AF240" s="102">
        <f t="shared" si="99"/>
        <v>3.3432810359060849</v>
      </c>
      <c r="AG240" s="102">
        <f t="shared" si="99"/>
        <v>3.4203953567394776</v>
      </c>
      <c r="AH240" s="102">
        <f t="shared" si="99"/>
        <v>3.4988503815014402</v>
      </c>
      <c r="AI240" s="102">
        <f t="shared" si="99"/>
        <v>3.5839995463886609</v>
      </c>
      <c r="AJ240" s="102">
        <f t="shared" si="99"/>
        <v>3.6728166536564752</v>
      </c>
      <c r="AK240" s="102">
        <f t="shared" si="99"/>
        <v>3.7644595191175996</v>
      </c>
      <c r="AL240" s="102">
        <f t="shared" si="99"/>
        <v>3.8578760447135365</v>
      </c>
      <c r="AM240" s="102">
        <f t="shared" si="99"/>
        <v>3.9648321624430047</v>
      </c>
      <c r="AN240" s="102">
        <f t="shared" si="99"/>
        <v>4.0682820284871957</v>
      </c>
      <c r="AO240" s="102">
        <f t="shared" si="99"/>
        <v>4.1685291441038679</v>
      </c>
      <c r="AP240" s="102">
        <f t="shared" si="99"/>
        <v>4.2658361372060876</v>
      </c>
      <c r="AQ240" s="102">
        <f t="shared" si="99"/>
        <v>4.3604320366183549</v>
      </c>
      <c r="AR240" s="102">
        <f t="shared" si="99"/>
        <v>4.4768243224723747</v>
      </c>
      <c r="AS240" s="102">
        <f t="shared" si="99"/>
        <v>4.5895348854504174</v>
      </c>
      <c r="AT240" s="102">
        <f t="shared" si="99"/>
        <v>4.6988718356637538</v>
      </c>
      <c r="AU240" s="102">
        <f t="shared" si="99"/>
        <v>4.8051030964482964</v>
      </c>
      <c r="AV240" s="102">
        <f t="shared" si="99"/>
        <v>4.9195755497881422</v>
      </c>
    </row>
    <row r="241" spans="1:48">
      <c r="A241" s="199" t="s">
        <v>16</v>
      </c>
      <c r="B241" s="95" t="str">
        <f t="shared" si="97"/>
        <v>CEO</v>
      </c>
      <c r="C241" s="95" t="str">
        <f t="shared" si="97"/>
        <v>Commercial - Other</v>
      </c>
      <c r="E241" s="114"/>
      <c r="F241" s="114"/>
      <c r="I241" s="165"/>
      <c r="J241" s="102">
        <f t="shared" si="100"/>
        <v>18.760184357078931</v>
      </c>
      <c r="K241" s="102">
        <f t="shared" si="99"/>
        <v>18.418479080845469</v>
      </c>
      <c r="L241" s="102">
        <f t="shared" si="99"/>
        <v>18.120961991998936</v>
      </c>
      <c r="M241" s="102">
        <f t="shared" si="99"/>
        <v>17.785935979440417</v>
      </c>
      <c r="N241" s="102">
        <f t="shared" si="99"/>
        <v>17.432555568363497</v>
      </c>
      <c r="O241" s="102">
        <f t="shared" si="99"/>
        <v>16.999241745794041</v>
      </c>
      <c r="P241" s="102">
        <f t="shared" si="99"/>
        <v>16.885165257262866</v>
      </c>
      <c r="Q241" s="102">
        <f t="shared" si="99"/>
        <v>16.774889982939797</v>
      </c>
      <c r="R241" s="102">
        <f t="shared" si="99"/>
        <v>16.638896048973443</v>
      </c>
      <c r="S241" s="102">
        <f t="shared" si="99"/>
        <v>16.478351719081537</v>
      </c>
      <c r="T241" s="102">
        <f t="shared" si="99"/>
        <v>16.307937963525276</v>
      </c>
      <c r="U241" s="102">
        <f t="shared" si="99"/>
        <v>16.137929065231745</v>
      </c>
      <c r="V241" s="102">
        <f t="shared" si="99"/>
        <v>15.971931142078992</v>
      </c>
      <c r="W241" s="102">
        <f t="shared" si="99"/>
        <v>15.806608385268179</v>
      </c>
      <c r="X241" s="102">
        <f t="shared" si="99"/>
        <v>15.643555469541869</v>
      </c>
      <c r="Y241" s="102">
        <f t="shared" si="99"/>
        <v>15.480164285447245</v>
      </c>
      <c r="Z241" s="102">
        <f t="shared" si="99"/>
        <v>15.316421370967404</v>
      </c>
      <c r="AA241" s="102">
        <f t="shared" si="99"/>
        <v>15.155182537034712</v>
      </c>
      <c r="AB241" s="102">
        <f t="shared" si="99"/>
        <v>14.991662131761657</v>
      </c>
      <c r="AC241" s="102">
        <f t="shared" si="99"/>
        <v>14.930730552454119</v>
      </c>
      <c r="AD241" s="102">
        <f t="shared" si="99"/>
        <v>14.8727589663649</v>
      </c>
      <c r="AE241" s="102">
        <f t="shared" si="99"/>
        <v>14.817016017444393</v>
      </c>
      <c r="AF241" s="102">
        <f t="shared" si="99"/>
        <v>14.763763165156561</v>
      </c>
      <c r="AG241" s="102">
        <f t="shared" si="99"/>
        <v>14.707950926524568</v>
      </c>
      <c r="AH241" s="102">
        <f t="shared" si="99"/>
        <v>14.653532720969338</v>
      </c>
      <c r="AI241" s="102">
        <f t="shared" si="99"/>
        <v>14.606074928191509</v>
      </c>
      <c r="AJ241" s="102">
        <f t="shared" si="99"/>
        <v>14.562430977450877</v>
      </c>
      <c r="AK241" s="102">
        <f t="shared" si="99"/>
        <v>14.521725185019831</v>
      </c>
      <c r="AL241" s="102">
        <f t="shared" si="99"/>
        <v>14.482863603560485</v>
      </c>
      <c r="AM241" s="102">
        <f t="shared" si="99"/>
        <v>14.458080178268114</v>
      </c>
      <c r="AN241" s="102">
        <f t="shared" si="99"/>
        <v>14.429651033200784</v>
      </c>
      <c r="AO241" s="102">
        <f t="shared" si="99"/>
        <v>14.397891741978551</v>
      </c>
      <c r="AP241" s="102">
        <f t="shared" si="99"/>
        <v>14.363075379058717</v>
      </c>
      <c r="AQ241" s="102">
        <f t="shared" si="99"/>
        <v>14.325440083339874</v>
      </c>
      <c r="AR241" s="102">
        <f t="shared" si="99"/>
        <v>14.310468168406533</v>
      </c>
      <c r="AS241" s="102">
        <f t="shared" si="99"/>
        <v>14.291668082794168</v>
      </c>
      <c r="AT241" s="102">
        <f t="shared" si="99"/>
        <v>14.269360192302599</v>
      </c>
      <c r="AU241" s="102">
        <f t="shared" si="99"/>
        <v>14.243823077447885</v>
      </c>
      <c r="AV241" s="102">
        <f t="shared" si="99"/>
        <v>14.226854964868235</v>
      </c>
    </row>
    <row r="242" spans="1:48">
      <c r="A242" s="199" t="s">
        <v>16</v>
      </c>
      <c r="E242" s="114"/>
      <c r="F242" s="114"/>
      <c r="J242" s="96"/>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row>
    <row r="243" spans="1:48">
      <c r="A243" s="199" t="s">
        <v>16</v>
      </c>
      <c r="E243" s="114"/>
      <c r="F243" s="114"/>
      <c r="J243" s="96"/>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row>
    <row r="244" spans="1:48">
      <c r="A244" s="199" t="s">
        <v>16</v>
      </c>
      <c r="E244" s="114"/>
      <c r="F244" s="114"/>
      <c r="J244" s="96"/>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row>
    <row r="245" spans="1:48">
      <c r="A245" s="199" t="s">
        <v>16</v>
      </c>
      <c r="B245" s="290" t="s">
        <v>481</v>
      </c>
      <c r="C245" s="291"/>
      <c r="D245" s="291"/>
      <c r="E245" s="292"/>
      <c r="F245" s="292"/>
      <c r="G245" s="291"/>
      <c r="H245" s="291"/>
      <c r="I245" s="291"/>
      <c r="J245" s="176">
        <f t="shared" ref="J245:AV245" si="101">SUM(J220:J241)</f>
        <v>350.82050880003044</v>
      </c>
      <c r="K245" s="176">
        <f t="shared" si="101"/>
        <v>343.42681995313302</v>
      </c>
      <c r="L245" s="176">
        <f t="shared" si="101"/>
        <v>336.83562957243498</v>
      </c>
      <c r="M245" s="176">
        <f t="shared" si="101"/>
        <v>329.5235749703067</v>
      </c>
      <c r="N245" s="176">
        <f t="shared" si="101"/>
        <v>321.8492237013084</v>
      </c>
      <c r="O245" s="176">
        <f t="shared" si="101"/>
        <v>312.68149374589541</v>
      </c>
      <c r="P245" s="176">
        <f t="shared" si="101"/>
        <v>314.69722470620707</v>
      </c>
      <c r="Q245" s="176">
        <f t="shared" si="101"/>
        <v>317.06255047622096</v>
      </c>
      <c r="R245" s="176">
        <f t="shared" si="101"/>
        <v>317.06255047622102</v>
      </c>
      <c r="S245" s="176">
        <f t="shared" si="101"/>
        <v>321.07731402932984</v>
      </c>
      <c r="T245" s="176">
        <f t="shared" si="101"/>
        <v>324.38506235264731</v>
      </c>
      <c r="U245" s="176">
        <f t="shared" si="101"/>
        <v>327.94932998171618</v>
      </c>
      <c r="V245" s="176">
        <f t="shared" si="101"/>
        <v>332.15108994903113</v>
      </c>
      <c r="W245" s="176">
        <f t="shared" si="101"/>
        <v>336.69708657801698</v>
      </c>
      <c r="X245" s="176">
        <f t="shared" si="101"/>
        <v>341.78324572358775</v>
      </c>
      <c r="Y245" s="176">
        <f t="shared" si="101"/>
        <v>347.17503787254492</v>
      </c>
      <c r="Z245" s="176">
        <f t="shared" si="101"/>
        <v>352.9002876208632</v>
      </c>
      <c r="AA245" s="176">
        <f t="shared" si="101"/>
        <v>359.31386492149358</v>
      </c>
      <c r="AB245" s="176">
        <f t="shared" si="101"/>
        <v>365.92532791973173</v>
      </c>
      <c r="AC245" s="176">
        <f t="shared" si="101"/>
        <v>374.52207776480196</v>
      </c>
      <c r="AD245" s="176">
        <f t="shared" si="101"/>
        <v>383.45877880896273</v>
      </c>
      <c r="AE245" s="176">
        <f t="shared" si="101"/>
        <v>392.65143580368164</v>
      </c>
      <c r="AF245" s="176">
        <f t="shared" si="101"/>
        <v>402.13007701312478</v>
      </c>
      <c r="AG245" s="176">
        <f t="shared" si="101"/>
        <v>411.3147761786301</v>
      </c>
      <c r="AH245" s="176">
        <f t="shared" si="101"/>
        <v>420.65957814879249</v>
      </c>
      <c r="AI245" s="176">
        <f t="shared" ref="AI245:AR245" si="102">SUM(AI220:AI241)</f>
        <v>430.80377406864244</v>
      </c>
      <c r="AJ245" s="176">
        <f t="shared" si="102"/>
        <v>441.38598456422329</v>
      </c>
      <c r="AK245" s="176">
        <f t="shared" si="102"/>
        <v>452.3056385492954</v>
      </c>
      <c r="AL245" s="176">
        <f t="shared" si="102"/>
        <v>463.43709765855675</v>
      </c>
      <c r="AM245" s="176">
        <f t="shared" si="102"/>
        <v>475.93000796459603</v>
      </c>
      <c r="AN245" s="176">
        <f t="shared" si="102"/>
        <v>488.01102338762621</v>
      </c>
      <c r="AO245" s="176">
        <f t="shared" si="102"/>
        <v>499.71579756186384</v>
      </c>
      <c r="AP245" s="176">
        <f t="shared" si="102"/>
        <v>511.07518254906535</v>
      </c>
      <c r="AQ245" s="176">
        <f t="shared" si="102"/>
        <v>522.11608337754615</v>
      </c>
      <c r="AR245" s="176">
        <f t="shared" si="102"/>
        <v>535.71750206078889</v>
      </c>
      <c r="AS245" s="176">
        <f t="shared" si="101"/>
        <v>548.88641248467331</v>
      </c>
      <c r="AT245" s="176">
        <f t="shared" si="101"/>
        <v>561.65900970580878</v>
      </c>
      <c r="AU245" s="176">
        <f t="shared" si="101"/>
        <v>574.06676786267917</v>
      </c>
      <c r="AV245" s="176">
        <f t="shared" si="101"/>
        <v>587.44265533487328</v>
      </c>
    </row>
    <row r="246" spans="1:48">
      <c r="A246" s="199" t="s">
        <v>16</v>
      </c>
      <c r="K246" s="95"/>
    </row>
    <row r="247" spans="1:48" s="199" customFormat="1" ht="23.25">
      <c r="A247" s="199" t="s">
        <v>16</v>
      </c>
      <c r="B247" s="16" t="s">
        <v>18</v>
      </c>
      <c r="C247" s="16" t="s">
        <v>19</v>
      </c>
      <c r="D247" s="16" t="s">
        <v>20</v>
      </c>
      <c r="E247" s="16" t="s">
        <v>21</v>
      </c>
      <c r="F247" s="16" t="s">
        <v>22</v>
      </c>
      <c r="G247" s="16" t="s">
        <v>23</v>
      </c>
      <c r="H247" s="16" t="s">
        <v>24</v>
      </c>
      <c r="I247" s="17" t="s">
        <v>25</v>
      </c>
      <c r="J247" s="177">
        <v>2012</v>
      </c>
      <c r="K247" s="177">
        <v>2013</v>
      </c>
      <c r="L247" s="177">
        <v>2014</v>
      </c>
      <c r="M247" s="177">
        <v>2015</v>
      </c>
      <c r="N247" s="177">
        <v>2016</v>
      </c>
      <c r="O247" s="177">
        <v>2017</v>
      </c>
      <c r="P247" s="177">
        <v>2018</v>
      </c>
      <c r="Q247" s="177">
        <v>2019</v>
      </c>
      <c r="R247" s="177">
        <v>2020</v>
      </c>
      <c r="S247" s="177">
        <v>2021</v>
      </c>
      <c r="T247" s="177">
        <v>2022</v>
      </c>
      <c r="U247" s="177">
        <v>2023</v>
      </c>
      <c r="V247" s="177">
        <v>2024</v>
      </c>
      <c r="W247" s="177">
        <v>2025</v>
      </c>
      <c r="X247" s="177">
        <v>2026</v>
      </c>
      <c r="Y247" s="177">
        <v>2027</v>
      </c>
      <c r="Z247" s="177">
        <v>2028</v>
      </c>
      <c r="AA247" s="177">
        <v>2029</v>
      </c>
      <c r="AB247" s="177">
        <v>2030</v>
      </c>
      <c r="AC247" s="177">
        <v>2031</v>
      </c>
      <c r="AD247" s="177">
        <v>2032</v>
      </c>
      <c r="AE247" s="177">
        <v>2033</v>
      </c>
      <c r="AF247" s="177">
        <v>2034</v>
      </c>
      <c r="AG247" s="177">
        <v>2035</v>
      </c>
      <c r="AH247" s="177">
        <v>2036</v>
      </c>
      <c r="AI247" s="177">
        <v>2037</v>
      </c>
      <c r="AJ247" s="177">
        <v>2038</v>
      </c>
      <c r="AK247" s="177">
        <v>2039</v>
      </c>
      <c r="AL247" s="177">
        <v>2040</v>
      </c>
      <c r="AM247" s="177">
        <v>2045</v>
      </c>
      <c r="AN247" s="177">
        <v>2050</v>
      </c>
      <c r="AO247" s="177">
        <v>2060</v>
      </c>
      <c r="AP247" s="177">
        <v>2070</v>
      </c>
      <c r="AQ247" s="177"/>
      <c r="AR247" s="18"/>
      <c r="AS247" s="18"/>
      <c r="AT247" s="18"/>
      <c r="AU247" s="18"/>
      <c r="AV247" s="18"/>
    </row>
    <row r="248" spans="1:48" s="199" customFormat="1">
      <c r="A248" s="199"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116.59762343783498</v>
      </c>
      <c r="T248" s="10">
        <f t="shared" si="107"/>
        <v>115.39180872786204</v>
      </c>
      <c r="U248" s="10">
        <f t="shared" si="107"/>
        <v>114.18885870942323</v>
      </c>
      <c r="V248" s="10">
        <f t="shared" si="107"/>
        <v>113.01428957379696</v>
      </c>
      <c r="W248" s="10">
        <f t="shared" si="107"/>
        <v>111.84449778436631</v>
      </c>
      <c r="X248" s="10">
        <f t="shared" si="107"/>
        <v>110.69076695057898</v>
      </c>
      <c r="Y248" s="10">
        <f t="shared" si="107"/>
        <v>109.53464259537016</v>
      </c>
      <c r="Z248" s="10">
        <f t="shared" ref="Z248:AN256" si="108">INDEX($J$233:$AV$241,MATCH($D248,$B$233:$B$241,0),MATCH(Z$247,$J$104:$AV$104,0))</f>
        <v>108.37602946411712</v>
      </c>
      <c r="AA248" s="10">
        <f t="shared" si="108"/>
        <v>107.23513472155196</v>
      </c>
      <c r="AB248" s="10">
        <f t="shared" si="108"/>
        <v>106.07809602232625</v>
      </c>
      <c r="AC248" s="10">
        <f t="shared" si="108"/>
        <v>105.64695597502735</v>
      </c>
      <c r="AD248" s="10">
        <f t="shared" si="108"/>
        <v>105.23676026612658</v>
      </c>
      <c r="AE248" s="10">
        <f t="shared" si="108"/>
        <v>104.84233396194583</v>
      </c>
      <c r="AF248" s="10">
        <f t="shared" si="108"/>
        <v>104.46552709898408</v>
      </c>
      <c r="AG248" s="10">
        <f t="shared" si="108"/>
        <v>104.07061051423246</v>
      </c>
      <c r="AH248" s="10">
        <f t="shared" si="108"/>
        <v>103.68555783738347</v>
      </c>
      <c r="AI248" s="10">
        <f t="shared" si="108"/>
        <v>103.34975569249464</v>
      </c>
      <c r="AJ248" s="10">
        <f t="shared" si="108"/>
        <v>103.0409395547797</v>
      </c>
      <c r="AK248" s="10">
        <f t="shared" si="108"/>
        <v>102.75291325588003</v>
      </c>
      <c r="AL248" s="10">
        <f t="shared" si="108"/>
        <v>102.47793623642799</v>
      </c>
      <c r="AM248" s="10">
        <f>INDEX($J$233:$AV$241,MATCH($D248,$B$233:$B$241,0),MATCH(AM$247,$J$104:$AV$104,0))</f>
        <v>101.36403791432295</v>
      </c>
      <c r="AN248" s="10">
        <f>INDEX($J$233:$AV$241,MATCH($D248,$B$233:$B$241,0),MATCH(AN$247,$J$104:$AV$104,0))</f>
        <v>100.66646872074762</v>
      </c>
      <c r="AO248" s="200">
        <f>AN248</f>
        <v>100.66646872074762</v>
      </c>
      <c r="AP248" s="200">
        <f>AO248</f>
        <v>100.66646872074762</v>
      </c>
      <c r="AQ248" s="200"/>
      <c r="AR248" s="200"/>
      <c r="AS248" s="200"/>
      <c r="AT248" s="200"/>
      <c r="AU248" s="200"/>
      <c r="AV248" s="200"/>
    </row>
    <row r="249" spans="1:48" s="199" customFormat="1">
      <c r="A249" s="199"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11.119488388348152</v>
      </c>
      <c r="T249" s="10">
        <f t="shared" si="107"/>
        <v>11.004494254928341</v>
      </c>
      <c r="U249" s="10">
        <f t="shared" si="107"/>
        <v>10.889773316650167</v>
      </c>
      <c r="V249" s="10">
        <f t="shared" si="107"/>
        <v>10.777758959240288</v>
      </c>
      <c r="W249" s="10">
        <f t="shared" si="107"/>
        <v>10.666200199843324</v>
      </c>
      <c r="X249" s="10">
        <f t="shared" si="107"/>
        <v>10.556173114973815</v>
      </c>
      <c r="Y249" s="10">
        <f t="shared" si="107"/>
        <v>10.445917768730974</v>
      </c>
      <c r="Z249" s="10">
        <f t="shared" si="108"/>
        <v>10.335425077030234</v>
      </c>
      <c r="AA249" s="10">
        <f t="shared" si="108"/>
        <v>10.226622123177195</v>
      </c>
      <c r="AB249" s="10">
        <f t="shared" si="108"/>
        <v>10.11627957929362</v>
      </c>
      <c r="AC249" s="10">
        <f t="shared" si="108"/>
        <v>10.075163331737784</v>
      </c>
      <c r="AD249" s="10">
        <f t="shared" si="108"/>
        <v>10.036044469040689</v>
      </c>
      <c r="AE249" s="10">
        <f t="shared" si="108"/>
        <v>9.9984294767271003</v>
      </c>
      <c r="AF249" s="10">
        <f t="shared" si="108"/>
        <v>9.9624947860034361</v>
      </c>
      <c r="AG249" s="10">
        <f t="shared" si="108"/>
        <v>9.924833037427117</v>
      </c>
      <c r="AH249" s="10">
        <f t="shared" si="108"/>
        <v>9.8881119736276712</v>
      </c>
      <c r="AI249" s="10">
        <f t="shared" si="108"/>
        <v>9.8560877527149309</v>
      </c>
      <c r="AJ249" s="10">
        <f t="shared" si="108"/>
        <v>9.8266370884885976</v>
      </c>
      <c r="AK249" s="10">
        <f t="shared" si="108"/>
        <v>9.7991690750615383</v>
      </c>
      <c r="AL249" s="10">
        <f t="shared" si="108"/>
        <v>9.7729455236313534</v>
      </c>
      <c r="AM249" s="10">
        <f t="shared" si="108"/>
        <v>9.6667171195417012</v>
      </c>
      <c r="AN249" s="10">
        <f t="shared" si="108"/>
        <v>9.6001924999197072</v>
      </c>
      <c r="AO249" s="200">
        <f t="shared" ref="AO249:AP264" si="109">AN249</f>
        <v>9.6001924999197072</v>
      </c>
      <c r="AP249" s="200">
        <f t="shared" si="109"/>
        <v>9.6001924999197072</v>
      </c>
      <c r="AQ249" s="200"/>
      <c r="AR249" s="200"/>
      <c r="AS249" s="200"/>
      <c r="AT249" s="200"/>
      <c r="AU249" s="200"/>
      <c r="AV249" s="200"/>
    </row>
    <row r="250" spans="1:48" s="199" customFormat="1">
      <c r="A250" s="199"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8.3168077679241552</v>
      </c>
      <c r="T250" s="10">
        <f t="shared" si="107"/>
        <v>8.2307980461914756</v>
      </c>
      <c r="U250" s="10">
        <f t="shared" si="107"/>
        <v>8.1449926604315284</v>
      </c>
      <c r="V250" s="10">
        <f t="shared" si="107"/>
        <v>8.0612116585284426</v>
      </c>
      <c r="W250" s="10">
        <f t="shared" si="107"/>
        <v>7.9777714206030286</v>
      </c>
      <c r="X250" s="10">
        <f t="shared" si="107"/>
        <v>7.8954767967709056</v>
      </c>
      <c r="Y250" s="10">
        <f t="shared" si="107"/>
        <v>7.813011445123208</v>
      </c>
      <c r="Z250" s="10">
        <f t="shared" si="108"/>
        <v>7.7303685712299695</v>
      </c>
      <c r="AA250" s="10">
        <f t="shared" si="108"/>
        <v>7.648989534697475</v>
      </c>
      <c r="AB250" s="10">
        <f t="shared" si="108"/>
        <v>7.5664589636808213</v>
      </c>
      <c r="AC250" s="10">
        <f t="shared" si="108"/>
        <v>7.5357061165067911</v>
      </c>
      <c r="AD250" s="10">
        <f t="shared" si="108"/>
        <v>7.5064472108999034</v>
      </c>
      <c r="AE250" s="10">
        <f t="shared" si="108"/>
        <v>7.4783131233107758</v>
      </c>
      <c r="AF250" s="10">
        <f t="shared" si="108"/>
        <v>7.4514358152449036</v>
      </c>
      <c r="AG250" s="10">
        <f t="shared" si="108"/>
        <v>7.4232667563661385</v>
      </c>
      <c r="AH250" s="10">
        <f t="shared" si="108"/>
        <v>7.3958012815180609</v>
      </c>
      <c r="AI250" s="10">
        <f t="shared" si="108"/>
        <v>7.371848804574257</v>
      </c>
      <c r="AJ250" s="10">
        <f t="shared" si="108"/>
        <v>7.34982121621284</v>
      </c>
      <c r="AK250" s="10">
        <f t="shared" si="108"/>
        <v>7.3292765490967717</v>
      </c>
      <c r="AL250" s="10">
        <f t="shared" si="108"/>
        <v>7.3096626758123087</v>
      </c>
      <c r="AM250" s="10">
        <f t="shared" si="108"/>
        <v>7.230209270632912</v>
      </c>
      <c r="AN250" s="10">
        <f t="shared" si="108"/>
        <v>7.1804522625847573</v>
      </c>
      <c r="AO250" s="200">
        <f t="shared" si="109"/>
        <v>7.1804522625847573</v>
      </c>
      <c r="AP250" s="200">
        <f t="shared" si="109"/>
        <v>7.1804522625847573</v>
      </c>
      <c r="AQ250" s="200"/>
      <c r="AR250" s="200"/>
      <c r="AS250" s="200"/>
      <c r="AT250" s="200"/>
      <c r="AU250" s="200"/>
      <c r="AV250" s="200"/>
    </row>
    <row r="251" spans="1:48" s="199" customFormat="1">
      <c r="A251" s="199"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101.46685504026212</v>
      </c>
      <c r="T251" s="10">
        <f t="shared" si="107"/>
        <v>100.41751781730002</v>
      </c>
      <c r="U251" s="10">
        <f t="shared" si="107"/>
        <v>99.370673537436204</v>
      </c>
      <c r="V251" s="10">
        <f t="shared" si="107"/>
        <v>98.348527178827993</v>
      </c>
      <c r="W251" s="10">
        <f t="shared" si="107"/>
        <v>97.330538214509758</v>
      </c>
      <c r="X251" s="10">
        <f t="shared" si="107"/>
        <v>96.326525990111421</v>
      </c>
      <c r="Y251" s="10">
        <f t="shared" si="107"/>
        <v>95.320430849407003</v>
      </c>
      <c r="Z251" s="10">
        <f t="shared" si="108"/>
        <v>94.312169898880214</v>
      </c>
      <c r="AA251" s="10">
        <f t="shared" si="108"/>
        <v>93.319328037727061</v>
      </c>
      <c r="AB251" s="10">
        <f t="shared" si="108"/>
        <v>92.312437206603875</v>
      </c>
      <c r="AC251" s="10">
        <f t="shared" si="108"/>
        <v>91.937245814262553</v>
      </c>
      <c r="AD251" s="10">
        <f t="shared" si="108"/>
        <v>91.580280832421707</v>
      </c>
      <c r="AE251" s="10">
        <f t="shared" si="108"/>
        <v>91.237038873877736</v>
      </c>
      <c r="AF251" s="10">
        <f t="shared" si="108"/>
        <v>90.909129897562309</v>
      </c>
      <c r="AG251" s="10">
        <f t="shared" si="108"/>
        <v>90.565461281714803</v>
      </c>
      <c r="AH251" s="10">
        <f t="shared" si="108"/>
        <v>90.230376543340768</v>
      </c>
      <c r="AI251" s="10">
        <f t="shared" si="108"/>
        <v>89.938151139828904</v>
      </c>
      <c r="AJ251" s="10">
        <f t="shared" si="108"/>
        <v>89.669409793687123</v>
      </c>
      <c r="AK251" s="10">
        <f t="shared" si="108"/>
        <v>89.418760407734453</v>
      </c>
      <c r="AL251" s="10">
        <f t="shared" si="108"/>
        <v>89.17946690800872</v>
      </c>
      <c r="AM251" s="10">
        <f t="shared" si="108"/>
        <v>88.210118166189091</v>
      </c>
      <c r="AN251" s="10">
        <f t="shared" si="108"/>
        <v>87.603071897507647</v>
      </c>
      <c r="AO251" s="200">
        <f t="shared" si="109"/>
        <v>87.603071897507647</v>
      </c>
      <c r="AP251" s="200">
        <f t="shared" si="109"/>
        <v>87.603071897507647</v>
      </c>
      <c r="AQ251" s="200"/>
      <c r="AR251" s="200"/>
      <c r="AS251" s="200"/>
      <c r="AT251" s="200"/>
      <c r="AU251" s="200"/>
      <c r="AV251" s="200"/>
    </row>
    <row r="252" spans="1:48" s="199" customFormat="1">
      <c r="A252" s="199"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24.683247775228757</v>
      </c>
      <c r="T252" s="10">
        <f t="shared" si="107"/>
        <v>24.427981652475008</v>
      </c>
      <c r="U252" s="10">
        <f t="shared" si="107"/>
        <v>24.173321973393541</v>
      </c>
      <c r="V252" s="10">
        <f t="shared" si="107"/>
        <v>23.924670413018841</v>
      </c>
      <c r="W252" s="10">
        <f t="shared" si="107"/>
        <v>23.677030197613082</v>
      </c>
      <c r="X252" s="10">
        <f t="shared" si="107"/>
        <v>23.432790021899059</v>
      </c>
      <c r="Y252" s="10">
        <f t="shared" si="107"/>
        <v>23.188043147329957</v>
      </c>
      <c r="Z252" s="10">
        <f t="shared" si="108"/>
        <v>22.942769408885368</v>
      </c>
      <c r="AA252" s="10">
        <f t="shared" si="108"/>
        <v>22.701246582039705</v>
      </c>
      <c r="AB252" s="10">
        <f t="shared" si="108"/>
        <v>22.456306144520894</v>
      </c>
      <c r="AC252" s="10">
        <f t="shared" si="108"/>
        <v>22.365035531111033</v>
      </c>
      <c r="AD252" s="10">
        <f t="shared" si="108"/>
        <v>22.278198749874825</v>
      </c>
      <c r="AE252" s="10">
        <f t="shared" si="108"/>
        <v>22.194700288172889</v>
      </c>
      <c r="AF252" s="10">
        <f t="shared" si="108"/>
        <v>22.114931791288814</v>
      </c>
      <c r="AG252" s="10">
        <f t="shared" si="108"/>
        <v>22.031329539162559</v>
      </c>
      <c r="AH252" s="10">
        <f t="shared" si="108"/>
        <v>21.9498154366539</v>
      </c>
      <c r="AI252" s="10">
        <f t="shared" si="108"/>
        <v>21.878727473611804</v>
      </c>
      <c r="AJ252" s="10">
        <f t="shared" si="108"/>
        <v>21.81335233971577</v>
      </c>
      <c r="AK252" s="10">
        <f t="shared" si="108"/>
        <v>21.752378331053304</v>
      </c>
      <c r="AL252" s="10">
        <f t="shared" si="108"/>
        <v>21.6941668023488</v>
      </c>
      <c r="AM252" s="10">
        <f t="shared" si="108"/>
        <v>21.4583590091</v>
      </c>
      <c r="AN252" s="10">
        <f t="shared" si="108"/>
        <v>21.3106864173463</v>
      </c>
      <c r="AO252" s="200">
        <f t="shared" si="109"/>
        <v>21.3106864173463</v>
      </c>
      <c r="AP252" s="200">
        <f t="shared" si="109"/>
        <v>21.3106864173463</v>
      </c>
      <c r="AQ252" s="200"/>
      <c r="AR252" s="200"/>
      <c r="AS252" s="200"/>
      <c r="AT252" s="200"/>
      <c r="AU252" s="200"/>
      <c r="AV252" s="200"/>
    </row>
    <row r="253" spans="1:48" s="199" customFormat="1">
      <c r="A253" s="199"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12.867124626086689</v>
      </c>
      <c r="T253" s="10">
        <f t="shared" si="107"/>
        <v>12.734057006938666</v>
      </c>
      <c r="U253" s="10">
        <f t="shared" si="107"/>
        <v>12.601305520674817</v>
      </c>
      <c r="V253" s="10">
        <f t="shared" si="107"/>
        <v>12.471686005246905</v>
      </c>
      <c r="W253" s="10">
        <f t="shared" si="107"/>
        <v>12.342593693608134</v>
      </c>
      <c r="X253" s="10">
        <f t="shared" si="107"/>
        <v>12.215273787887968</v>
      </c>
      <c r="Y253" s="10">
        <f t="shared" si="107"/>
        <v>12.087689745236727</v>
      </c>
      <c r="Z253" s="10">
        <f t="shared" si="108"/>
        <v>11.959831053835511</v>
      </c>
      <c r="AA253" s="10">
        <f t="shared" si="108"/>
        <v>11.833927674289702</v>
      </c>
      <c r="AB253" s="10">
        <f t="shared" si="108"/>
        <v>11.706242729252381</v>
      </c>
      <c r="AC253" s="10">
        <f t="shared" si="108"/>
        <v>11.658664291919568</v>
      </c>
      <c r="AD253" s="10">
        <f t="shared" si="108"/>
        <v>11.613397165953437</v>
      </c>
      <c r="AE253" s="10">
        <f t="shared" si="108"/>
        <v>11.56987027181904</v>
      </c>
      <c r="AF253" s="10">
        <f t="shared" si="108"/>
        <v>11.528287770197313</v>
      </c>
      <c r="AG253" s="10">
        <f t="shared" si="108"/>
        <v>11.484706771176207</v>
      </c>
      <c r="AH253" s="10">
        <f t="shared" si="108"/>
        <v>11.442214303194937</v>
      </c>
      <c r="AI253" s="10">
        <f t="shared" si="108"/>
        <v>11.405156875087961</v>
      </c>
      <c r="AJ253" s="10">
        <f t="shared" si="108"/>
        <v>11.371077486388897</v>
      </c>
      <c r="AK253" s="10">
        <f t="shared" si="108"/>
        <v>11.339292359263144</v>
      </c>
      <c r="AL253" s="10">
        <f t="shared" si="108"/>
        <v>11.308947284687198</v>
      </c>
      <c r="AM253" s="10">
        <f t="shared" si="108"/>
        <v>11.186023093706959</v>
      </c>
      <c r="AN253" s="10">
        <f t="shared" si="108"/>
        <v>11.10904288189468</v>
      </c>
      <c r="AO253" s="200">
        <f t="shared" si="109"/>
        <v>11.10904288189468</v>
      </c>
      <c r="AP253" s="200">
        <f t="shared" si="109"/>
        <v>11.10904288189468</v>
      </c>
      <c r="AQ253" s="200"/>
      <c r="AR253" s="200"/>
      <c r="AS253" s="200"/>
      <c r="AT253" s="200"/>
      <c r="AU253" s="200"/>
      <c r="AV253" s="200"/>
    </row>
    <row r="254" spans="1:48" s="199" customFormat="1">
      <c r="A254" s="199"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8.9771970991004117</v>
      </c>
      <c r="T254" s="10">
        <f t="shared" si="107"/>
        <v>8.9346534103357751</v>
      </c>
      <c r="U254" s="10">
        <f t="shared" si="107"/>
        <v>8.8947672970471228</v>
      </c>
      <c r="V254" s="10">
        <f t="shared" si="107"/>
        <v>8.8673082683331117</v>
      </c>
      <c r="W254" s="10">
        <f t="shared" si="107"/>
        <v>8.8436711025268195</v>
      </c>
      <c r="X254" s="10">
        <f t="shared" si="107"/>
        <v>8.8283764785378427</v>
      </c>
      <c r="Y254" s="10">
        <f t="shared" si="107"/>
        <v>8.8146580725675427</v>
      </c>
      <c r="Z254" s="10">
        <f t="shared" si="108"/>
        <v>8.80269297034733</v>
      </c>
      <c r="AA254" s="10">
        <f t="shared" si="108"/>
        <v>8.8006061850648898</v>
      </c>
      <c r="AB254" s="10">
        <f t="shared" si="108"/>
        <v>8.7955432585320867</v>
      </c>
      <c r="AC254" s="10">
        <f t="shared" si="108"/>
        <v>9.0044592456247958</v>
      </c>
      <c r="AD254" s="10">
        <f t="shared" si="108"/>
        <v>9.221613582124526</v>
      </c>
      <c r="AE254" s="10">
        <f t="shared" si="108"/>
        <v>9.4449707340846718</v>
      </c>
      <c r="AF254" s="10">
        <f t="shared" si="108"/>
        <v>9.6752584039900178</v>
      </c>
      <c r="AG254" s="10">
        <f t="shared" si="108"/>
        <v>9.8984227065713153</v>
      </c>
      <c r="AH254" s="10">
        <f t="shared" si="108"/>
        <v>10.125466927356573</v>
      </c>
      <c r="AI254" s="10">
        <f t="shared" si="108"/>
        <v>10.371883595390146</v>
      </c>
      <c r="AJ254" s="10">
        <f t="shared" si="108"/>
        <v>10.628915072637202</v>
      </c>
      <c r="AK254" s="10">
        <f t="shared" si="108"/>
        <v>10.894124127663044</v>
      </c>
      <c r="AL254" s="10">
        <f t="shared" si="108"/>
        <v>11.164466050653278</v>
      </c>
      <c r="AM254" s="10">
        <f t="shared" si="108"/>
        <v>12.618833491479219</v>
      </c>
      <c r="AN254" s="10">
        <f t="shared" si="108"/>
        <v>14.236961885931205</v>
      </c>
      <c r="AO254" s="200">
        <f t="shared" si="109"/>
        <v>14.236961885931205</v>
      </c>
      <c r="AP254" s="200">
        <f t="shared" si="109"/>
        <v>14.236961885931205</v>
      </c>
      <c r="AQ254" s="200"/>
      <c r="AR254" s="200"/>
      <c r="AS254" s="200"/>
      <c r="AT254" s="200"/>
      <c r="AU254" s="200"/>
      <c r="AV254" s="200"/>
    </row>
    <row r="255" spans="1:48" s="199"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3.1020662770759921</v>
      </c>
      <c r="T255" s="10">
        <f t="shared" si="107"/>
        <v>3.0873653252351985</v>
      </c>
      <c r="U255" s="10">
        <f t="shared" si="107"/>
        <v>3.0735826973625451</v>
      </c>
      <c r="V255" s="10">
        <f t="shared" si="107"/>
        <v>3.0640942427775908</v>
      </c>
      <c r="W255" s="10">
        <f t="shared" si="107"/>
        <v>3.0559264311406267</v>
      </c>
      <c r="X255" s="10">
        <f t="shared" si="107"/>
        <v>3.0506413809436652</v>
      </c>
      <c r="Y255" s="10">
        <f t="shared" si="107"/>
        <v>3.0459009921490416</v>
      </c>
      <c r="Z255" s="10">
        <f t="shared" si="108"/>
        <v>3.0417664566487783</v>
      </c>
      <c r="AA255" s="10">
        <f t="shared" si="108"/>
        <v>3.0410453689662091</v>
      </c>
      <c r="AB255" s="10">
        <f t="shared" si="108"/>
        <v>3.0392958770605123</v>
      </c>
      <c r="AC255" s="10">
        <f t="shared" si="108"/>
        <v>3.1114866991120054</v>
      </c>
      <c r="AD255" s="10">
        <f t="shared" si="108"/>
        <v>3.1865242789646451</v>
      </c>
      <c r="AE255" s="10">
        <f t="shared" si="108"/>
        <v>3.2637052388110916</v>
      </c>
      <c r="AF255" s="10">
        <f t="shared" si="108"/>
        <v>3.3432810359060849</v>
      </c>
      <c r="AG255" s="10">
        <f t="shared" si="108"/>
        <v>3.4203953567394776</v>
      </c>
      <c r="AH255" s="10">
        <f t="shared" si="108"/>
        <v>3.4988503815014402</v>
      </c>
      <c r="AI255" s="10">
        <f t="shared" si="108"/>
        <v>3.5839995463886609</v>
      </c>
      <c r="AJ255" s="10">
        <f t="shared" si="108"/>
        <v>3.6728166536564752</v>
      </c>
      <c r="AK255" s="10">
        <f t="shared" si="108"/>
        <v>3.7644595191175996</v>
      </c>
      <c r="AL255" s="10">
        <f t="shared" si="108"/>
        <v>3.8578760447135365</v>
      </c>
      <c r="AM255" s="10">
        <f t="shared" si="108"/>
        <v>4.3604320366183549</v>
      </c>
      <c r="AN255" s="10">
        <f t="shared" si="108"/>
        <v>4.9195755497881422</v>
      </c>
      <c r="AO255" s="200">
        <f t="shared" si="109"/>
        <v>4.9195755497881422</v>
      </c>
      <c r="AP255" s="200">
        <f t="shared" si="109"/>
        <v>4.9195755497881422</v>
      </c>
      <c r="AQ255" s="200"/>
      <c r="AR255" s="200"/>
      <c r="AS255" s="200"/>
      <c r="AT255" s="200"/>
      <c r="AU255" s="200"/>
      <c r="AV255" s="200"/>
    </row>
    <row r="256" spans="1:48" s="199"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16.478351719081537</v>
      </c>
      <c r="T256" s="10">
        <f t="shared" si="107"/>
        <v>16.307937963525276</v>
      </c>
      <c r="U256" s="10">
        <f t="shared" si="107"/>
        <v>16.137929065231745</v>
      </c>
      <c r="V256" s="10">
        <f t="shared" si="107"/>
        <v>15.971931142078992</v>
      </c>
      <c r="W256" s="10">
        <f t="shared" si="107"/>
        <v>15.806608385268179</v>
      </c>
      <c r="X256" s="10">
        <f t="shared" si="107"/>
        <v>15.643555469541869</v>
      </c>
      <c r="Y256" s="10">
        <f t="shared" si="107"/>
        <v>15.480164285447245</v>
      </c>
      <c r="Z256" s="10">
        <f t="shared" si="108"/>
        <v>15.316421370967404</v>
      </c>
      <c r="AA256" s="10">
        <f t="shared" si="108"/>
        <v>15.155182537034712</v>
      </c>
      <c r="AB256" s="10">
        <f t="shared" si="108"/>
        <v>14.991662131761657</v>
      </c>
      <c r="AC256" s="10">
        <f t="shared" si="108"/>
        <v>14.930730552454119</v>
      </c>
      <c r="AD256" s="10">
        <f t="shared" si="108"/>
        <v>14.8727589663649</v>
      </c>
      <c r="AE256" s="10">
        <f t="shared" si="108"/>
        <v>14.817016017444393</v>
      </c>
      <c r="AF256" s="10">
        <f t="shared" si="108"/>
        <v>14.763763165156561</v>
      </c>
      <c r="AG256" s="10">
        <f t="shared" si="108"/>
        <v>14.707950926524568</v>
      </c>
      <c r="AH256" s="10">
        <f t="shared" si="108"/>
        <v>14.653532720969338</v>
      </c>
      <c r="AI256" s="10">
        <f t="shared" si="108"/>
        <v>14.606074928191509</v>
      </c>
      <c r="AJ256" s="10">
        <f t="shared" si="108"/>
        <v>14.562430977450877</v>
      </c>
      <c r="AK256" s="10">
        <f t="shared" si="108"/>
        <v>14.521725185019831</v>
      </c>
      <c r="AL256" s="10">
        <f t="shared" si="108"/>
        <v>14.482863603560485</v>
      </c>
      <c r="AM256" s="10">
        <f t="shared" si="108"/>
        <v>14.325440083339874</v>
      </c>
      <c r="AN256" s="10">
        <f t="shared" si="108"/>
        <v>14.226854964868235</v>
      </c>
      <c r="AO256" s="200">
        <f t="shared" si="109"/>
        <v>14.226854964868235</v>
      </c>
      <c r="AP256" s="200">
        <f t="shared" si="109"/>
        <v>14.226854964868235</v>
      </c>
      <c r="AQ256" s="200"/>
      <c r="AR256" s="200"/>
      <c r="AS256" s="200"/>
      <c r="AT256" s="200"/>
      <c r="AU256" s="200"/>
      <c r="AV256" s="200"/>
    </row>
    <row r="257" spans="1:48" s="199" customFormat="1">
      <c r="A257" s="199"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200">
        <f t="shared" si="109"/>
        <v>0</v>
      </c>
      <c r="AP257" s="200">
        <f t="shared" si="109"/>
        <v>0</v>
      </c>
      <c r="AQ257" s="200"/>
      <c r="AR257" s="200"/>
      <c r="AS257" s="200"/>
      <c r="AT257" s="200"/>
      <c r="AU257" s="200"/>
      <c r="AV257" s="200"/>
    </row>
    <row r="258" spans="1:48" s="240" customFormat="1">
      <c r="B258" s="241" t="str">
        <f t="shared" ref="B258:B266" si="110">IF(A258="*","","COM_PROJ")</f>
        <v>COM_PROJ</v>
      </c>
      <c r="C258" s="241" t="str">
        <f t="shared" si="104"/>
        <v>-</v>
      </c>
      <c r="D258" s="241" t="str">
        <f>COM!B174</f>
        <v>CNC</v>
      </c>
      <c r="E258" s="241" t="str">
        <f t="shared" si="105"/>
        <v>-</v>
      </c>
      <c r="F258" s="241" t="str">
        <f t="shared" si="105"/>
        <v>-</v>
      </c>
      <c r="G258" s="241" t="str">
        <f t="shared" si="105"/>
        <v>-</v>
      </c>
      <c r="H258" s="241" t="str">
        <f t="shared" si="105"/>
        <v>-</v>
      </c>
      <c r="I258" s="241">
        <f t="shared" si="106"/>
        <v>0</v>
      </c>
      <c r="J258" s="242">
        <f t="shared" ref="J258:Y266" si="111">INDEX($J$220:$AV$228,MATCH($D258,$B$220:$B$228,0),MATCH(J$247,$J$104:$AV$104,0))</f>
        <v>0</v>
      </c>
      <c r="K258" s="242">
        <f t="shared" si="111"/>
        <v>0</v>
      </c>
      <c r="L258" s="242">
        <f t="shared" si="111"/>
        <v>0</v>
      </c>
      <c r="M258" s="242">
        <f t="shared" si="111"/>
        <v>0</v>
      </c>
      <c r="N258" s="242">
        <f t="shared" si="111"/>
        <v>0</v>
      </c>
      <c r="O258" s="242">
        <f t="shared" si="111"/>
        <v>0</v>
      </c>
      <c r="P258" s="242">
        <f t="shared" si="111"/>
        <v>1.5826011087333609</v>
      </c>
      <c r="Q258" s="242">
        <f t="shared" si="111"/>
        <v>3.2727888378763019</v>
      </c>
      <c r="R258" s="242">
        <f t="shared" si="111"/>
        <v>4.2350555604682834</v>
      </c>
      <c r="S258" s="242">
        <f t="shared" si="111"/>
        <v>6.9865713245222709</v>
      </c>
      <c r="T258" s="242">
        <f t="shared" si="111"/>
        <v>9.5382195921774695</v>
      </c>
      <c r="U258" s="242">
        <f t="shared" si="111"/>
        <v>12.18816823106461</v>
      </c>
      <c r="V258" s="242">
        <f t="shared" si="111"/>
        <v>15.058014233357381</v>
      </c>
      <c r="W258" s="242">
        <f t="shared" si="111"/>
        <v>18.0587040628129</v>
      </c>
      <c r="X258" s="242">
        <f t="shared" si="111"/>
        <v>21.254882101581867</v>
      </c>
      <c r="Y258" s="242">
        <f t="shared" si="111"/>
        <v>24.574843752621046</v>
      </c>
      <c r="Z258" s="242">
        <f t="shared" ref="Z258:AN266" si="112">INDEX($J$220:$AV$228,MATCH($D258,$B$220:$B$228,0),MATCH(Z$247,$J$104:$AV$104,0))</f>
        <v>28.029717456467147</v>
      </c>
      <c r="AA258" s="242">
        <f t="shared" si="112"/>
        <v>31.736854262008961</v>
      </c>
      <c r="AB258" s="242">
        <f t="shared" si="112"/>
        <v>35.540881304224548</v>
      </c>
      <c r="AC258" s="242">
        <f t="shared" si="112"/>
        <v>39.297874205137987</v>
      </c>
      <c r="AD258" s="242">
        <f t="shared" si="112"/>
        <v>43.165453212793714</v>
      </c>
      <c r="AE258" s="242">
        <f t="shared" si="112"/>
        <v>47.116294677371073</v>
      </c>
      <c r="AF258" s="242">
        <f t="shared" si="112"/>
        <v>51.160166791584885</v>
      </c>
      <c r="AG258" s="242">
        <f t="shared" si="112"/>
        <v>55.108419574747941</v>
      </c>
      <c r="AH258" s="242">
        <f t="shared" si="112"/>
        <v>59.108753791637135</v>
      </c>
      <c r="AI258" s="242">
        <f t="shared" si="112"/>
        <v>63.36913081727576</v>
      </c>
      <c r="AJ258" s="242">
        <f t="shared" si="112"/>
        <v>67.771993960792571</v>
      </c>
      <c r="AK258" s="242">
        <f t="shared" si="112"/>
        <v>72.284627453254132</v>
      </c>
      <c r="AL258" s="242">
        <f t="shared" si="112"/>
        <v>76.866161141199115</v>
      </c>
      <c r="AM258" s="242">
        <f>INDEX($J$220:$AV$228,MATCH($D258,$B$220:$B$228,0),MATCH(AM$247,$J$104:$AV$104,0))</f>
        <v>100.66612618149233</v>
      </c>
      <c r="AN258" s="242">
        <f t="shared" si="112"/>
        <v>126.62034466444945</v>
      </c>
      <c r="AO258" s="243">
        <f t="shared" si="109"/>
        <v>126.62034466444945</v>
      </c>
      <c r="AP258" s="243">
        <f t="shared" si="109"/>
        <v>126.62034466444945</v>
      </c>
      <c r="AQ258" s="243"/>
      <c r="AR258" s="243"/>
      <c r="AS258" s="243"/>
      <c r="AT258" s="243"/>
      <c r="AU258" s="243"/>
      <c r="AV258" s="243"/>
    </row>
    <row r="259" spans="1:48" s="199"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0.66628372368851163</v>
      </c>
      <c r="T259" s="10">
        <f t="shared" si="111"/>
        <v>0.9096250753110684</v>
      </c>
      <c r="U259" s="10">
        <f t="shared" si="111"/>
        <v>1.1623409733802483</v>
      </c>
      <c r="V259" s="10">
        <f t="shared" si="111"/>
        <v>1.4360276777739756</v>
      </c>
      <c r="W259" s="10">
        <f t="shared" si="111"/>
        <v>1.722192478838334</v>
      </c>
      <c r="X259" s="10">
        <f t="shared" si="111"/>
        <v>2.0270002745832731</v>
      </c>
      <c r="Y259" s="10">
        <f t="shared" si="111"/>
        <v>2.3436128601577431</v>
      </c>
      <c r="Z259" s="10">
        <f t="shared" si="112"/>
        <v>2.6730915141854394</v>
      </c>
      <c r="AA259" s="10">
        <f t="shared" si="112"/>
        <v>3.0266275764810642</v>
      </c>
      <c r="AB259" s="10">
        <f t="shared" si="112"/>
        <v>3.3894037058541517</v>
      </c>
      <c r="AC259" s="10">
        <f t="shared" si="112"/>
        <v>3.7476943614015745</v>
      </c>
      <c r="AD259" s="10">
        <f t="shared" si="112"/>
        <v>4.1165312090031527</v>
      </c>
      <c r="AE259" s="10">
        <f t="shared" si="112"/>
        <v>4.4933084922296391</v>
      </c>
      <c r="AF259" s="10">
        <f t="shared" si="112"/>
        <v>4.8789577678509319</v>
      </c>
      <c r="AG259" s="10">
        <f t="shared" si="112"/>
        <v>5.255488178010209</v>
      </c>
      <c r="AH259" s="10">
        <f t="shared" si="112"/>
        <v>5.6369854037913756</v>
      </c>
      <c r="AI259" s="10">
        <f t="shared" si="112"/>
        <v>6.0432819600143368</v>
      </c>
      <c r="AJ259" s="10">
        <f t="shared" si="112"/>
        <v>6.463166895541546</v>
      </c>
      <c r="AK259" s="10">
        <f t="shared" si="112"/>
        <v>6.8935202272889136</v>
      </c>
      <c r="AL259" s="10">
        <f t="shared" si="112"/>
        <v>7.3304443183797723</v>
      </c>
      <c r="AM259" s="10">
        <f t="shared" si="112"/>
        <v>9.6001598332052467</v>
      </c>
      <c r="AN259" s="10">
        <f t="shared" si="112"/>
        <v>12.075318610380162</v>
      </c>
      <c r="AO259" s="200">
        <f t="shared" si="109"/>
        <v>12.075318610380162</v>
      </c>
      <c r="AP259" s="200">
        <f t="shared" si="109"/>
        <v>12.075318610380162</v>
      </c>
      <c r="AQ259" s="200"/>
      <c r="AR259" s="200"/>
      <c r="AS259" s="200"/>
      <c r="AT259" s="200"/>
      <c r="AU259" s="200"/>
      <c r="AV259" s="200"/>
    </row>
    <row r="260" spans="1:48" s="199"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0.49834609788528561</v>
      </c>
      <c r="T260" s="10">
        <f t="shared" si="111"/>
        <v>0.68035296481563456</v>
      </c>
      <c r="U260" s="10">
        <f t="shared" si="111"/>
        <v>0.86937151231842269</v>
      </c>
      <c r="V260" s="10">
        <f t="shared" si="111"/>
        <v>1.074075148815268</v>
      </c>
      <c r="W260" s="10">
        <f t="shared" si="111"/>
        <v>1.2881117624864913</v>
      </c>
      <c r="X260" s="10">
        <f t="shared" si="111"/>
        <v>1.5160923812739298</v>
      </c>
      <c r="Y260" s="10">
        <f t="shared" si="111"/>
        <v>1.7529023782057647</v>
      </c>
      <c r="Z260" s="10">
        <f t="shared" si="112"/>
        <v>1.9993355353332225</v>
      </c>
      <c r="AA260" s="10">
        <f t="shared" si="112"/>
        <v>2.2637624016108679</v>
      </c>
      <c r="AB260" s="10">
        <f t="shared" si="112"/>
        <v>2.5351003647809307</v>
      </c>
      <c r="AC260" s="10">
        <f t="shared" si="112"/>
        <v>2.8030834232779331</v>
      </c>
      <c r="AD260" s="10">
        <f t="shared" si="112"/>
        <v>3.0789544932494501</v>
      </c>
      <c r="AE260" s="10">
        <f t="shared" si="112"/>
        <v>3.3607646023547404</v>
      </c>
      <c r="AF260" s="10">
        <f t="shared" si="112"/>
        <v>3.6492105073428167</v>
      </c>
      <c r="AG260" s="10">
        <f t="shared" si="112"/>
        <v>3.9308359680388145</v>
      </c>
      <c r="AH260" s="10">
        <f t="shared" si="112"/>
        <v>4.2161763524168459</v>
      </c>
      <c r="AI260" s="10">
        <f t="shared" si="112"/>
        <v>4.5200653657294385</v>
      </c>
      <c r="AJ260" s="10">
        <f t="shared" si="112"/>
        <v>4.8341177907570438</v>
      </c>
      <c r="AK260" s="10">
        <f t="shared" si="112"/>
        <v>5.1560000399600803</v>
      </c>
      <c r="AL260" s="10">
        <f t="shared" si="112"/>
        <v>5.4827968805939928</v>
      </c>
      <c r="AM260" s="10">
        <f t="shared" si="112"/>
        <v>7.1804278295555495</v>
      </c>
      <c r="AN260" s="10">
        <f t="shared" si="112"/>
        <v>9.0317198158329894</v>
      </c>
      <c r="AO260" s="200">
        <f t="shared" si="109"/>
        <v>9.0317198158329894</v>
      </c>
      <c r="AP260" s="200">
        <f t="shared" si="109"/>
        <v>9.0317198158329894</v>
      </c>
      <c r="AQ260" s="200"/>
      <c r="AR260" s="200"/>
      <c r="AS260" s="200"/>
      <c r="AT260" s="200"/>
      <c r="AU260" s="200"/>
      <c r="AV260" s="200"/>
    </row>
    <row r="261" spans="1:48" s="240" customFormat="1">
      <c r="B261" s="241" t="str">
        <f t="shared" si="110"/>
        <v>COM_PROJ</v>
      </c>
      <c r="C261" s="241" t="str">
        <f t="shared" si="104"/>
        <v>-</v>
      </c>
      <c r="D261" s="241" t="str">
        <f>COM!B177</f>
        <v>CNL</v>
      </c>
      <c r="E261" s="241" t="str">
        <f t="shared" si="105"/>
        <v>-</v>
      </c>
      <c r="F261" s="241" t="str">
        <f t="shared" si="105"/>
        <v>-</v>
      </c>
      <c r="G261" s="241" t="str">
        <f t="shared" si="105"/>
        <v>-</v>
      </c>
      <c r="H261" s="241" t="str">
        <f t="shared" si="105"/>
        <v>-</v>
      </c>
      <c r="I261" s="241">
        <f t="shared" si="106"/>
        <v>0</v>
      </c>
      <c r="J261" s="242">
        <f t="shared" si="111"/>
        <v>0</v>
      </c>
      <c r="K261" s="242">
        <f t="shared" si="111"/>
        <v>0</v>
      </c>
      <c r="L261" s="242">
        <f t="shared" si="111"/>
        <v>0</v>
      </c>
      <c r="M261" s="242">
        <f t="shared" si="111"/>
        <v>0</v>
      </c>
      <c r="N261" s="242">
        <f t="shared" si="111"/>
        <v>0</v>
      </c>
      <c r="O261" s="242">
        <f t="shared" si="111"/>
        <v>0</v>
      </c>
      <c r="P261" s="242">
        <f t="shared" si="111"/>
        <v>1.3772283906971867</v>
      </c>
      <c r="Q261" s="242">
        <f t="shared" si="111"/>
        <v>2.848081983139509</v>
      </c>
      <c r="R261" s="242">
        <f t="shared" si="111"/>
        <v>3.6854762213107977</v>
      </c>
      <c r="S261" s="242">
        <f t="shared" si="111"/>
        <v>6.0799302671182867</v>
      </c>
      <c r="T261" s="242">
        <f t="shared" si="111"/>
        <v>8.300453441211495</v>
      </c>
      <c r="U261" s="242">
        <f t="shared" si="111"/>
        <v>10.606520636049803</v>
      </c>
      <c r="V261" s="242">
        <f t="shared" si="111"/>
        <v>13.103949311838974</v>
      </c>
      <c r="W261" s="242">
        <f t="shared" si="111"/>
        <v>15.715242329389051</v>
      </c>
      <c r="X261" s="242">
        <f t="shared" si="111"/>
        <v>18.496655227702085</v>
      </c>
      <c r="Y261" s="242">
        <f t="shared" si="111"/>
        <v>21.385788450600277</v>
      </c>
      <c r="Z261" s="242">
        <f t="shared" si="112"/>
        <v>24.392326310932113</v>
      </c>
      <c r="AA261" s="242">
        <f t="shared" si="112"/>
        <v>27.618391317847799</v>
      </c>
      <c r="AB261" s="242">
        <f t="shared" si="112"/>
        <v>30.928773202839785</v>
      </c>
      <c r="AC261" s="242">
        <f t="shared" si="112"/>
        <v>34.198224524611568</v>
      </c>
      <c r="AD261" s="242">
        <f t="shared" si="112"/>
        <v>37.563911293825967</v>
      </c>
      <c r="AE261" s="242">
        <f t="shared" si="112"/>
        <v>41.002055626047806</v>
      </c>
      <c r="AF261" s="242">
        <f t="shared" si="112"/>
        <v>44.521158104436275</v>
      </c>
      <c r="AG261" s="242">
        <f t="shared" si="112"/>
        <v>47.957049686095402</v>
      </c>
      <c r="AH261" s="242">
        <f t="shared" si="112"/>
        <v>51.438264140814596</v>
      </c>
      <c r="AI261" s="242">
        <f t="shared" si="112"/>
        <v>55.14577588360595</v>
      </c>
      <c r="AJ261" s="242">
        <f t="shared" si="112"/>
        <v>58.977283449311329</v>
      </c>
      <c r="AK261" s="242">
        <f t="shared" si="112"/>
        <v>62.904316564815204</v>
      </c>
      <c r="AL261" s="242">
        <f t="shared" si="112"/>
        <v>66.891308759597308</v>
      </c>
      <c r="AM261" s="242">
        <f t="shared" si="112"/>
        <v>87.602773809262473</v>
      </c>
      <c r="AN261" s="242">
        <f t="shared" si="112"/>
        <v>110.18893677593367</v>
      </c>
      <c r="AO261" s="243">
        <f t="shared" si="109"/>
        <v>110.18893677593367</v>
      </c>
      <c r="AP261" s="243">
        <f t="shared" si="109"/>
        <v>110.18893677593367</v>
      </c>
      <c r="AQ261" s="243"/>
      <c r="AR261" s="243"/>
      <c r="AS261" s="243"/>
      <c r="AT261" s="243"/>
      <c r="AU261" s="243"/>
      <c r="AV261" s="243"/>
    </row>
    <row r="262" spans="1:48" s="199"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1.4790290403683508</v>
      </c>
      <c r="T262" s="10">
        <f t="shared" si="111"/>
        <v>2.0192027125988692</v>
      </c>
      <c r="U262" s="10">
        <f t="shared" si="111"/>
        <v>2.5801861779278608</v>
      </c>
      <c r="V262" s="10">
        <f t="shared" si="111"/>
        <v>3.1877210303780017</v>
      </c>
      <c r="W262" s="10">
        <f t="shared" si="111"/>
        <v>3.8229549946152637</v>
      </c>
      <c r="X262" s="10">
        <f t="shared" si="111"/>
        <v>4.4995730262575746</v>
      </c>
      <c r="Y262" s="10">
        <f t="shared" si="111"/>
        <v>5.2023955505995785</v>
      </c>
      <c r="Z262" s="10">
        <f t="shared" si="112"/>
        <v>5.9337784137299057</v>
      </c>
      <c r="AA262" s="10">
        <f t="shared" si="112"/>
        <v>6.7185643605605021</v>
      </c>
      <c r="AB262" s="10">
        <f t="shared" si="112"/>
        <v>7.523861580676992</v>
      </c>
      <c r="AC262" s="10">
        <f t="shared" si="112"/>
        <v>8.3192018623120134</v>
      </c>
      <c r="AD262" s="10">
        <f t="shared" si="112"/>
        <v>9.1379527778239176</v>
      </c>
      <c r="AE262" s="10">
        <f t="shared" si="112"/>
        <v>9.9743300204767582</v>
      </c>
      <c r="AF262" s="10">
        <f t="shared" si="112"/>
        <v>10.830401477367948</v>
      </c>
      <c r="AG262" s="10">
        <f t="shared" si="112"/>
        <v>11.666230706580409</v>
      </c>
      <c r="AH262" s="10">
        <f t="shared" si="112"/>
        <v>12.513085365773751</v>
      </c>
      <c r="AI262" s="10">
        <f t="shared" si="112"/>
        <v>13.414990041350585</v>
      </c>
      <c r="AJ262" s="10">
        <f t="shared" si="112"/>
        <v>14.347058454818633</v>
      </c>
      <c r="AK262" s="10">
        <f t="shared" si="112"/>
        <v>15.302364809519863</v>
      </c>
      <c r="AL262" s="10">
        <f t="shared" si="112"/>
        <v>16.272257058399163</v>
      </c>
      <c r="AM262" s="10">
        <f t="shared" si="112"/>
        <v>21.310613903164093</v>
      </c>
      <c r="AN262" s="10">
        <f t="shared" si="112"/>
        <v>26.805017534545243</v>
      </c>
      <c r="AO262" s="200">
        <f t="shared" si="109"/>
        <v>26.805017534545243</v>
      </c>
      <c r="AP262" s="200">
        <f t="shared" si="109"/>
        <v>26.805017534545243</v>
      </c>
      <c r="AQ262" s="200"/>
      <c r="AR262" s="200"/>
      <c r="AS262" s="200"/>
      <c r="AT262" s="200"/>
      <c r="AU262" s="200"/>
      <c r="AV262" s="200"/>
    </row>
    <row r="263" spans="1:48" s="199"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0.77100271250040542</v>
      </c>
      <c r="T263" s="10">
        <f t="shared" si="111"/>
        <v>1.0525897234000101</v>
      </c>
      <c r="U263" s="10">
        <f t="shared" si="111"/>
        <v>1.3450246666170893</v>
      </c>
      <c r="V263" s="10">
        <f t="shared" si="111"/>
        <v>1.661726371852664</v>
      </c>
      <c r="W263" s="10">
        <f t="shared" si="111"/>
        <v>1.9928673407800481</v>
      </c>
      <c r="X263" s="10">
        <f t="shared" si="111"/>
        <v>2.345581400804849</v>
      </c>
      <c r="Y263" s="10">
        <f t="shared" si="111"/>
        <v>2.7119555948768692</v>
      </c>
      <c r="Z263" s="10">
        <f t="shared" si="112"/>
        <v>3.0932180014685322</v>
      </c>
      <c r="AA263" s="10">
        <f t="shared" si="112"/>
        <v>3.5023188894320954</v>
      </c>
      <c r="AB263" s="10">
        <f t="shared" si="112"/>
        <v>3.92211209438784</v>
      </c>
      <c r="AC263" s="10">
        <f t="shared" si="112"/>
        <v>4.3367148491442435</v>
      </c>
      <c r="AD263" s="10">
        <f t="shared" si="112"/>
        <v>4.7635213279167319</v>
      </c>
      <c r="AE263" s="10">
        <f t="shared" si="112"/>
        <v>5.1995162307607972</v>
      </c>
      <c r="AF263" s="10">
        <f t="shared" si="112"/>
        <v>5.6457775260717398</v>
      </c>
      <c r="AG263" s="10">
        <f t="shared" si="112"/>
        <v>6.0814867551139482</v>
      </c>
      <c r="AH263" s="10">
        <f t="shared" si="112"/>
        <v>6.522943428046525</v>
      </c>
      <c r="AI263" s="10">
        <f t="shared" si="112"/>
        <v>6.993097111515346</v>
      </c>
      <c r="AJ263" s="10">
        <f t="shared" si="112"/>
        <v>7.478974843057955</v>
      </c>
      <c r="AK263" s="10">
        <f t="shared" si="112"/>
        <v>7.9769662757076381</v>
      </c>
      <c r="AL263" s="10">
        <f t="shared" si="112"/>
        <v>8.4825611858203054</v>
      </c>
      <c r="AM263" s="10">
        <f t="shared" si="112"/>
        <v>11.109005080993111</v>
      </c>
      <c r="AN263" s="10">
        <f t="shared" si="112"/>
        <v>13.973181501972595</v>
      </c>
      <c r="AO263" s="200">
        <f t="shared" si="109"/>
        <v>13.973181501972595</v>
      </c>
      <c r="AP263" s="200">
        <f t="shared" si="109"/>
        <v>13.973181501972595</v>
      </c>
      <c r="AQ263" s="200"/>
      <c r="AR263" s="200"/>
      <c r="AS263" s="200"/>
      <c r="AT263" s="200"/>
      <c r="AU263" s="200"/>
      <c r="AV263" s="200"/>
    </row>
    <row r="264" spans="1:48" s="199"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200">
        <f t="shared" si="109"/>
        <v>0</v>
      </c>
      <c r="AP264" s="200">
        <f t="shared" si="109"/>
        <v>0</v>
      </c>
      <c r="AQ264" s="200"/>
      <c r="AR264" s="200"/>
      <c r="AS264" s="200"/>
      <c r="AT264" s="200"/>
      <c r="AU264" s="200"/>
      <c r="AV264" s="200"/>
    </row>
    <row r="265" spans="1:48" s="199"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200">
        <f>AN265</f>
        <v>0</v>
      </c>
      <c r="AP265" s="200">
        <f>AO265</f>
        <v>0</v>
      </c>
      <c r="AQ265" s="200"/>
      <c r="AR265" s="200"/>
      <c r="AS265" s="200"/>
      <c r="AT265" s="200"/>
      <c r="AU265" s="200"/>
      <c r="AV265" s="200"/>
    </row>
    <row r="266" spans="1:48" s="199"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0.98738873230386537</v>
      </c>
      <c r="T266" s="10">
        <f t="shared" si="111"/>
        <v>1.3480046383409654</v>
      </c>
      <c r="U266" s="10">
        <f t="shared" si="111"/>
        <v>1.7225130067071954</v>
      </c>
      <c r="V266" s="10">
        <f t="shared" si="111"/>
        <v>2.1280987331657939</v>
      </c>
      <c r="W266" s="10">
        <f t="shared" si="111"/>
        <v>2.5521761796156484</v>
      </c>
      <c r="X266" s="10">
        <f t="shared" si="111"/>
        <v>3.0038813201386847</v>
      </c>
      <c r="Y266" s="10">
        <f t="shared" si="111"/>
        <v>3.4730803841217859</v>
      </c>
      <c r="Z266" s="10">
        <f t="shared" si="112"/>
        <v>3.9613461168048794</v>
      </c>
      <c r="AA266" s="10">
        <f t="shared" si="112"/>
        <v>4.4852633490033531</v>
      </c>
      <c r="AB266" s="10">
        <f t="shared" si="112"/>
        <v>5.0228737539353743</v>
      </c>
      <c r="AC266" s="10">
        <f t="shared" si="112"/>
        <v>5.5538369811605968</v>
      </c>
      <c r="AD266" s="10">
        <f t="shared" si="112"/>
        <v>6.1004289725785554</v>
      </c>
      <c r="AE266" s="10">
        <f t="shared" si="112"/>
        <v>6.6587881682473018</v>
      </c>
      <c r="AF266" s="10">
        <f t="shared" si="112"/>
        <v>7.2302950741365866</v>
      </c>
      <c r="AG266" s="10">
        <f t="shared" si="112"/>
        <v>7.7882884201286782</v>
      </c>
      <c r="AH266" s="10">
        <f t="shared" si="112"/>
        <v>8.3536422607661081</v>
      </c>
      <c r="AI266" s="10">
        <f t="shared" si="112"/>
        <v>8.9557470808681874</v>
      </c>
      <c r="AJ266" s="10">
        <f t="shared" si="112"/>
        <v>9.5779889869266981</v>
      </c>
      <c r="AK266" s="10">
        <f t="shared" si="112"/>
        <v>10.215744368859802</v>
      </c>
      <c r="AL266" s="10">
        <f t="shared" si="112"/>
        <v>10.863237184723497</v>
      </c>
      <c r="AM266" s="10">
        <f t="shared" si="112"/>
        <v>14.2268065549422</v>
      </c>
      <c r="AN266" s="10">
        <f t="shared" si="112"/>
        <v>17.894829351170781</v>
      </c>
      <c r="AO266" s="200">
        <f>AN266</f>
        <v>17.894829351170781</v>
      </c>
      <c r="AP266" s="200">
        <f>AO266</f>
        <v>17.894829351170781</v>
      </c>
      <c r="AQ266" s="200"/>
      <c r="AR266" s="200"/>
      <c r="AS266" s="200"/>
      <c r="AT266" s="200"/>
      <c r="AU266" s="200"/>
      <c r="AV266" s="200"/>
    </row>
    <row r="267" spans="1:48">
      <c r="K267" s="95"/>
    </row>
    <row r="268" spans="1:48">
      <c r="K268" s="95"/>
    </row>
    <row r="269" spans="1:48">
      <c r="M269" s="102"/>
      <c r="AB269" s="10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71" zoomScale="80" zoomScaleNormal="80" workbookViewId="0">
      <selection activeCell="BB7" sqref="BB7"/>
    </sheetView>
  </sheetViews>
  <sheetFormatPr defaultColWidth="9.140625" defaultRowHeight="15"/>
  <cols>
    <col min="1" max="1" width="9.140625" style="199"/>
    <col min="2" max="2" width="11.85546875" style="199" customWidth="1"/>
    <col min="3" max="3" width="73" style="199" customWidth="1"/>
    <col min="4" max="4" width="9.140625" style="199"/>
    <col min="5" max="5" width="13.42578125" style="199" bestFit="1" customWidth="1"/>
    <col min="6" max="53" width="9.140625" style="199"/>
    <col min="54" max="54" width="16" style="199" customWidth="1"/>
    <col min="55" max="16384" width="9.140625" style="199"/>
  </cols>
  <sheetData>
    <row r="1" spans="1:58">
      <c r="A1" s="199" t="str">
        <f>IF(TRA,"TS DATA","")</f>
        <v>TS DATA</v>
      </c>
      <c r="B1" s="199" t="s">
        <v>17</v>
      </c>
      <c r="D1" s="199">
        <f>DriversGams!M162</f>
        <v>0</v>
      </c>
      <c r="BA1" s="206" t="s">
        <v>223</v>
      </c>
      <c r="BB1" s="206" t="s">
        <v>540</v>
      </c>
      <c r="BC1" s="206" t="s">
        <v>197</v>
      </c>
      <c r="BD1" s="206" t="s">
        <v>544</v>
      </c>
      <c r="BF1" s="206"/>
    </row>
    <row r="2" spans="1:58" ht="15.75" thickBot="1">
      <c r="A2" s="199" t="s">
        <v>16</v>
      </c>
      <c r="B2" s="301" t="s">
        <v>296</v>
      </c>
      <c r="C2" s="301"/>
      <c r="BA2" s="206"/>
      <c r="BB2" s="206"/>
      <c r="BC2" s="206"/>
      <c r="BD2" s="206" t="s">
        <v>153</v>
      </c>
      <c r="BE2" s="206" t="s">
        <v>153</v>
      </c>
      <c r="BF2" s="206" t="s">
        <v>546</v>
      </c>
    </row>
    <row r="3" spans="1:58">
      <c r="A3" s="199" t="s">
        <v>16</v>
      </c>
      <c r="C3" s="206" t="str">
        <f>INDEX($BB$4:$BB$7,MATCH($D$3,$BA$4:$BA$7,0))</f>
        <v>NDC-PAMS-lo</v>
      </c>
      <c r="D3" s="210">
        <f>DriversGams!C163</f>
        <v>2</v>
      </c>
      <c r="F3" s="199">
        <f>MATCH(F4,Drivers!$C$5:$AG$5,0)</f>
        <v>1</v>
      </c>
      <c r="G3" s="199">
        <f>MATCH(G4,Drivers!$C$5:$AG$5,0)</f>
        <v>4</v>
      </c>
      <c r="H3" s="199">
        <f>MATCH(H4,Drivers!$C$5:$AG$5,0)</f>
        <v>6</v>
      </c>
      <c r="I3" s="199">
        <f>MATCH(I4,Drivers!$C$5:$AG$5,0)</f>
        <v>9</v>
      </c>
      <c r="J3" s="199">
        <f>MATCH(J4,Drivers!$C$5:$AG$5,0)</f>
        <v>19</v>
      </c>
      <c r="K3" s="199">
        <f>MATCH(K4,Drivers!$C$5:$AG$5,0)</f>
        <v>29</v>
      </c>
      <c r="L3" s="199">
        <f>MATCH(L4,Drivers!$C$5:$AG$5,0)</f>
        <v>31</v>
      </c>
      <c r="BA3" s="206"/>
      <c r="BB3" s="206"/>
      <c r="BC3" s="206"/>
      <c r="BD3" s="215">
        <v>2030</v>
      </c>
      <c r="BE3" s="215">
        <v>2050</v>
      </c>
      <c r="BF3" s="206"/>
    </row>
    <row r="4" spans="1:58">
      <c r="A4" s="199" t="s">
        <v>16</v>
      </c>
      <c r="B4" s="245"/>
      <c r="C4" s="5" t="s">
        <v>198</v>
      </c>
      <c r="D4" s="209">
        <f>INDEX($BC$4:$BC$7,MATCH($D$3,BA$4:BA$7,0))</f>
        <v>1</v>
      </c>
      <c r="F4" s="199">
        <v>2012</v>
      </c>
      <c r="G4" s="199">
        <v>2015</v>
      </c>
      <c r="H4" s="199">
        <v>2017</v>
      </c>
      <c r="I4" s="199">
        <v>2020</v>
      </c>
      <c r="J4" s="199">
        <v>2030</v>
      </c>
      <c r="K4" s="199">
        <v>2040</v>
      </c>
      <c r="L4" s="199">
        <v>2050</v>
      </c>
      <c r="N4" s="7">
        <v>2015</v>
      </c>
      <c r="O4" s="7">
        <v>2020</v>
      </c>
      <c r="P4" s="7">
        <v>2030</v>
      </c>
      <c r="Q4" s="7">
        <v>2040</v>
      </c>
      <c r="R4" s="7">
        <v>2050</v>
      </c>
      <c r="T4" s="7">
        <f>N4</f>
        <v>2015</v>
      </c>
      <c r="U4" s="7">
        <f>O4</f>
        <v>2020</v>
      </c>
      <c r="V4" s="7">
        <f>P4</f>
        <v>2030</v>
      </c>
      <c r="W4" s="7">
        <f>Q4</f>
        <v>2040</v>
      </c>
      <c r="X4" s="7">
        <f>R4</f>
        <v>2050</v>
      </c>
      <c r="BA4" s="206">
        <v>-1</v>
      </c>
      <c r="BB4" s="206" t="s">
        <v>627</v>
      </c>
      <c r="BC4" s="206">
        <v>0</v>
      </c>
      <c r="BD4" s="277">
        <v>0.95</v>
      </c>
      <c r="BE4" s="277">
        <v>0.95</v>
      </c>
      <c r="BF4" s="215">
        <v>1</v>
      </c>
    </row>
    <row r="5" spans="1:58" ht="15.75" thickBot="1">
      <c r="A5" s="199" t="s">
        <v>16</v>
      </c>
      <c r="B5" s="14" t="s">
        <v>11</v>
      </c>
      <c r="C5" s="14"/>
      <c r="D5" s="14"/>
      <c r="E5" s="14"/>
      <c r="F5" s="14"/>
      <c r="G5" s="14"/>
      <c r="H5" s="14"/>
      <c r="I5" s="14"/>
      <c r="J5" s="14"/>
      <c r="K5" s="14"/>
      <c r="L5" s="14"/>
      <c r="M5" s="14"/>
      <c r="BA5" s="206">
        <v>1</v>
      </c>
      <c r="BB5" s="206" t="s">
        <v>628</v>
      </c>
      <c r="BC5" s="206">
        <v>1</v>
      </c>
      <c r="BD5" s="277">
        <v>0.8</v>
      </c>
      <c r="BE5" s="277">
        <v>0.85</v>
      </c>
      <c r="BF5" s="215">
        <v>1</v>
      </c>
    </row>
    <row r="6" spans="1:58">
      <c r="A6" s="199" t="s">
        <v>16</v>
      </c>
      <c r="B6" s="199" t="s">
        <v>9</v>
      </c>
      <c r="C6" s="199" t="s">
        <v>10</v>
      </c>
      <c r="D6" s="199" t="s">
        <v>403</v>
      </c>
      <c r="BA6" s="206">
        <v>2</v>
      </c>
      <c r="BB6" s="206" t="s">
        <v>619</v>
      </c>
      <c r="BC6" s="206">
        <v>1</v>
      </c>
      <c r="BD6" s="277">
        <v>0.92</v>
      </c>
      <c r="BE6" s="277">
        <v>0.93</v>
      </c>
      <c r="BF6" s="215">
        <v>1</v>
      </c>
    </row>
    <row r="7" spans="1:58">
      <c r="A7" s="199" t="s">
        <v>16</v>
      </c>
      <c r="B7" s="200" t="s">
        <v>598</v>
      </c>
      <c r="C7" s="200" t="s">
        <v>2</v>
      </c>
      <c r="D7" s="199">
        <f>MATCH(B7,Drivers!$A$7:$A$22,0)</f>
        <v>14</v>
      </c>
      <c r="E7" s="200"/>
      <c r="F7" s="24">
        <f>INDEX(Drivers!$C$7:$AG$22,$D7,F$3)</f>
        <v>135.96</v>
      </c>
      <c r="G7" s="24">
        <f>INDEX(Drivers!$C$7:$AG$22,$D7,G$3)</f>
        <v>144.16</v>
      </c>
      <c r="H7" s="24">
        <f>INDEX(Drivers!$C$7:$AG$22,$D7,H$3)</f>
        <v>147.16</v>
      </c>
      <c r="I7" s="24">
        <f>INDEX(Drivers!$C$7:$AG$22,$D7,I$3)</f>
        <v>138.22</v>
      </c>
      <c r="J7" s="24">
        <f>INDEX(Drivers!$C$7:$AG$22,$D7,J$3)</f>
        <v>206.20260168203126</v>
      </c>
      <c r="K7" s="24">
        <f>INDEX(Drivers!$C$7:$AG$22,$D7,K$3)</f>
        <v>325.04876983433491</v>
      </c>
      <c r="L7" s="24">
        <f>INDEX(Drivers!$C$7:$AG$22,$D7,L$3)</f>
        <v>536.30289008354384</v>
      </c>
      <c r="M7" s="200"/>
      <c r="N7" s="200">
        <f>G7</f>
        <v>144.16</v>
      </c>
      <c r="O7" s="200">
        <f t="shared" ref="O7:R9" si="0">I7</f>
        <v>138.22</v>
      </c>
      <c r="P7" s="200">
        <f t="shared" si="0"/>
        <v>206.20260168203126</v>
      </c>
      <c r="Q7" s="200">
        <f t="shared" si="0"/>
        <v>325.04876983433491</v>
      </c>
      <c r="R7" s="200">
        <f t="shared" si="0"/>
        <v>536.30289008354384</v>
      </c>
      <c r="T7" s="200">
        <f t="shared" ref="T7:X9" si="1">N7</f>
        <v>144.16</v>
      </c>
      <c r="U7" s="200">
        <f t="shared" si="1"/>
        <v>138.22</v>
      </c>
      <c r="V7" s="200">
        <f t="shared" si="1"/>
        <v>206.20260168203126</v>
      </c>
      <c r="W7" s="200">
        <f t="shared" si="1"/>
        <v>325.04876983433491</v>
      </c>
      <c r="X7" s="200">
        <f t="shared" si="1"/>
        <v>536.30289008354384</v>
      </c>
      <c r="BA7" s="206">
        <v>3</v>
      </c>
      <c r="BB7" s="206" t="s">
        <v>629</v>
      </c>
      <c r="BC7" s="206">
        <v>1</v>
      </c>
      <c r="BD7" s="277">
        <v>0.8</v>
      </c>
      <c r="BE7" s="277">
        <v>0.65</v>
      </c>
      <c r="BF7" s="215">
        <v>1</v>
      </c>
    </row>
    <row r="8" spans="1:58">
      <c r="A8" s="199" t="s">
        <v>16</v>
      </c>
      <c r="B8" s="200" t="s">
        <v>387</v>
      </c>
      <c r="C8" s="200" t="s">
        <v>68</v>
      </c>
      <c r="D8" s="199">
        <f>MATCH(B8,Drivers!$A$7:$A$22,0)</f>
        <v>7</v>
      </c>
      <c r="E8" s="200"/>
      <c r="F8" s="24">
        <f>INDEX(Drivers!$C$7:$AG$22,$D8,F$3)</f>
        <v>205.45</v>
      </c>
      <c r="G8" s="24">
        <f>INDEX(Drivers!$C$7:$AG$22,$D8,G$3)</f>
        <v>214.84</v>
      </c>
      <c r="H8" s="24">
        <f>INDEX(Drivers!$C$7:$AG$22,$D8,H$3)</f>
        <v>215.85</v>
      </c>
      <c r="I8" s="24">
        <f>INDEX(Drivers!$C$7:$AG$22,$D8,I$3)</f>
        <v>193.07</v>
      </c>
      <c r="J8" s="24">
        <f>INDEX(Drivers!$C$7:$AG$22,$D8,J$3)</f>
        <v>261.95671892397382</v>
      </c>
      <c r="K8" s="24">
        <f>INDEX(Drivers!$C$7:$AG$22,$D8,K$3)</f>
        <v>376.895255215063</v>
      </c>
      <c r="L8" s="24">
        <f>INDEX(Drivers!$C$7:$AG$22,$D8,L$3)</f>
        <v>599.16069394718772</v>
      </c>
      <c r="M8" s="200"/>
      <c r="N8" s="200">
        <f>G8</f>
        <v>214.84</v>
      </c>
      <c r="O8" s="200">
        <f t="shared" si="0"/>
        <v>193.07</v>
      </c>
      <c r="P8" s="200">
        <f t="shared" si="0"/>
        <v>261.95671892397382</v>
      </c>
      <c r="Q8" s="200">
        <f t="shared" si="0"/>
        <v>376.895255215063</v>
      </c>
      <c r="R8" s="200">
        <f t="shared" si="0"/>
        <v>599.16069394718772</v>
      </c>
      <c r="T8" s="200">
        <f t="shared" si="1"/>
        <v>214.84</v>
      </c>
      <c r="U8" s="200">
        <f t="shared" si="1"/>
        <v>193.07</v>
      </c>
      <c r="V8" s="200">
        <f t="shared" si="1"/>
        <v>261.95671892397382</v>
      </c>
      <c r="W8" s="200">
        <f t="shared" si="1"/>
        <v>376.895255215063</v>
      </c>
      <c r="X8" s="200">
        <f t="shared" si="1"/>
        <v>599.16069394718772</v>
      </c>
    </row>
    <row r="9" spans="1:58">
      <c r="A9" s="199" t="s">
        <v>16</v>
      </c>
      <c r="B9" s="200" t="s">
        <v>388</v>
      </c>
      <c r="C9" s="200" t="s">
        <v>69</v>
      </c>
      <c r="D9" s="199">
        <f>MATCH(B9,Drivers!$A$7:$A$22,0)</f>
        <v>6</v>
      </c>
      <c r="E9" s="200"/>
      <c r="F9" s="24">
        <f>INDEX(Drivers!$C$7:$AG$22,$D9,F$3)</f>
        <v>13.35</v>
      </c>
      <c r="G9" s="24">
        <f>INDEX(Drivers!$C$7:$AG$22,$D9,G$3)</f>
        <v>14.13</v>
      </c>
      <c r="H9" s="24">
        <f>INDEX(Drivers!$C$7:$AG$22,$D9,H$3)</f>
        <v>14.18</v>
      </c>
      <c r="I9" s="24">
        <f>INDEX(Drivers!$C$7:$AG$22,$D9,I$3)</f>
        <v>12.26</v>
      </c>
      <c r="J9" s="24">
        <f>INDEX(Drivers!$C$7:$AG$22,$D9,J$3)</f>
        <v>17.621347950516579</v>
      </c>
      <c r="K9" s="24">
        <f>INDEX(Drivers!$C$7:$AG$22,$D9,K$3)</f>
        <v>24.817852636238026</v>
      </c>
      <c r="L9" s="24">
        <f>INDEX(Drivers!$C$7:$AG$22,$D9,L$3)</f>
        <v>39.182037560263602</v>
      </c>
      <c r="M9" s="200"/>
      <c r="N9" s="200">
        <f>G9</f>
        <v>14.13</v>
      </c>
      <c r="O9" s="200">
        <f t="shared" si="0"/>
        <v>12.26</v>
      </c>
      <c r="P9" s="200">
        <f t="shared" si="0"/>
        <v>17.621347950516579</v>
      </c>
      <c r="Q9" s="200">
        <f t="shared" si="0"/>
        <v>24.817852636238026</v>
      </c>
      <c r="R9" s="200">
        <f t="shared" si="0"/>
        <v>39.182037560263602</v>
      </c>
      <c r="T9" s="200">
        <f t="shared" si="1"/>
        <v>14.13</v>
      </c>
      <c r="U9" s="200">
        <f t="shared" si="1"/>
        <v>12.26</v>
      </c>
      <c r="V9" s="200">
        <f t="shared" si="1"/>
        <v>17.621347950516579</v>
      </c>
      <c r="W9" s="200">
        <f t="shared" si="1"/>
        <v>24.817852636238026</v>
      </c>
      <c r="X9" s="200">
        <f t="shared" si="1"/>
        <v>39.182037560263602</v>
      </c>
    </row>
    <row r="10" spans="1:58">
      <c r="A10" s="199" t="s">
        <v>16</v>
      </c>
      <c r="B10" s="200"/>
      <c r="C10" s="200"/>
      <c r="E10" s="200"/>
      <c r="F10" s="200"/>
      <c r="G10" s="200"/>
      <c r="H10" s="200"/>
      <c r="I10" s="200"/>
      <c r="J10" s="200"/>
      <c r="K10" s="200"/>
      <c r="L10" s="200"/>
      <c r="M10" s="200"/>
    </row>
    <row r="11" spans="1:58">
      <c r="A11" s="199" t="s">
        <v>16</v>
      </c>
      <c r="N11" s="5" t="s">
        <v>41</v>
      </c>
      <c r="T11" s="5" t="s">
        <v>197</v>
      </c>
    </row>
    <row r="12" spans="1:58" ht="15.75" thickBot="1">
      <c r="A12" s="199" t="s">
        <v>16</v>
      </c>
      <c r="B12" s="14" t="s">
        <v>444</v>
      </c>
      <c r="C12" s="14"/>
      <c r="D12" s="14"/>
      <c r="F12" s="199">
        <f t="shared" ref="F12:L12" si="2">F$4</f>
        <v>2012</v>
      </c>
      <c r="G12" s="199">
        <f t="shared" si="2"/>
        <v>2015</v>
      </c>
      <c r="H12" s="199">
        <f t="shared" si="2"/>
        <v>2017</v>
      </c>
      <c r="I12" s="199">
        <f t="shared" si="2"/>
        <v>2020</v>
      </c>
      <c r="J12" s="199">
        <f t="shared" si="2"/>
        <v>2030</v>
      </c>
      <c r="K12" s="199">
        <f t="shared" si="2"/>
        <v>2040</v>
      </c>
      <c r="L12" s="199">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199" t="s">
        <v>16</v>
      </c>
      <c r="B13" s="200" t="str">
        <f>ITEMS_TRA!C15</f>
        <v>TFLCV</v>
      </c>
      <c r="C13" s="200" t="str">
        <f>ITEMS_TRA!D15</f>
        <v>Transport Freight - LCV</v>
      </c>
      <c r="D13" s="200"/>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46"/>
      <c r="T13" s="65">
        <f t="shared" ref="T13:X25" si="6">$G13</f>
        <v>0.8</v>
      </c>
      <c r="U13" s="65">
        <f t="shared" si="6"/>
        <v>0.8</v>
      </c>
      <c r="V13" s="65">
        <f t="shared" si="6"/>
        <v>0.8</v>
      </c>
      <c r="W13" s="65">
        <f t="shared" si="6"/>
        <v>0.8</v>
      </c>
      <c r="X13" s="65">
        <f t="shared" si="6"/>
        <v>0.8</v>
      </c>
      <c r="Y13" s="246"/>
      <c r="Z13" s="246"/>
      <c r="AA13" s="246"/>
      <c r="AB13" s="246"/>
      <c r="AC13" s="246"/>
      <c r="AD13" s="246"/>
      <c r="AE13" s="246"/>
      <c r="AF13" s="246"/>
      <c r="AG13" s="246"/>
      <c r="AH13" s="246"/>
      <c r="AI13" s="246"/>
      <c r="AJ13" s="246"/>
      <c r="AK13" s="246"/>
      <c r="AL13" s="246"/>
      <c r="AM13" s="246"/>
      <c r="AN13" s="246"/>
      <c r="AO13" s="246"/>
      <c r="AP13" s="246"/>
      <c r="AQ13" s="246"/>
      <c r="AR13" s="246"/>
    </row>
    <row r="14" spans="1:58">
      <c r="A14" s="199" t="s">
        <v>16</v>
      </c>
      <c r="B14" s="200" t="str">
        <f>ITEMS_TRA!C16</f>
        <v>TFHCV1</v>
      </c>
      <c r="C14" s="200" t="str">
        <f>ITEMS_TRA!D16</f>
        <v>Transport Freight - HCV1</v>
      </c>
      <c r="D14" s="200"/>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46"/>
      <c r="T14" s="65">
        <f t="shared" si="6"/>
        <v>0.8</v>
      </c>
      <c r="U14" s="65">
        <f t="shared" si="6"/>
        <v>0.8</v>
      </c>
      <c r="V14" s="65">
        <f t="shared" si="6"/>
        <v>0.8</v>
      </c>
      <c r="W14" s="65">
        <f t="shared" si="6"/>
        <v>0.8</v>
      </c>
      <c r="X14" s="65">
        <f t="shared" si="6"/>
        <v>0.8</v>
      </c>
      <c r="Y14" s="246"/>
      <c r="Z14" s="246"/>
      <c r="AA14" s="246"/>
      <c r="AB14" s="246"/>
      <c r="AC14" s="246"/>
      <c r="AD14" s="246"/>
      <c r="AE14" s="246"/>
      <c r="AF14" s="246"/>
      <c r="AG14" s="246"/>
      <c r="AH14" s="246"/>
      <c r="AI14" s="246"/>
      <c r="AJ14" s="246"/>
      <c r="AK14" s="246"/>
      <c r="AL14" s="246"/>
      <c r="AM14" s="246"/>
      <c r="AN14" s="246"/>
      <c r="AO14" s="246"/>
      <c r="AP14" s="246"/>
      <c r="AQ14" s="246"/>
      <c r="AR14" s="246"/>
    </row>
    <row r="15" spans="1:58">
      <c r="A15" s="199" t="s">
        <v>16</v>
      </c>
      <c r="B15" s="200" t="str">
        <f>ITEMS_TRA!C17</f>
        <v>TFHCV2</v>
      </c>
      <c r="C15" s="200" t="str">
        <f>ITEMS_TRA!D17</f>
        <v>Transport Freight - HCV2</v>
      </c>
      <c r="D15" s="200"/>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46"/>
      <c r="T15" s="65">
        <f t="shared" si="6"/>
        <v>0.8</v>
      </c>
      <c r="U15" s="65">
        <f t="shared" si="6"/>
        <v>0.8</v>
      </c>
      <c r="V15" s="65">
        <f t="shared" si="6"/>
        <v>0.8</v>
      </c>
      <c r="W15" s="65">
        <f t="shared" si="6"/>
        <v>0.8</v>
      </c>
      <c r="X15" s="65">
        <f t="shared" si="6"/>
        <v>0.8</v>
      </c>
      <c r="Y15" s="246"/>
      <c r="Z15" s="246"/>
      <c r="AA15" s="246"/>
      <c r="AB15" s="246"/>
      <c r="AC15" s="246"/>
      <c r="AD15" s="246"/>
      <c r="AE15" s="246"/>
      <c r="AF15" s="246"/>
      <c r="AG15" s="246"/>
      <c r="AH15" s="246"/>
      <c r="AI15" s="246"/>
      <c r="AJ15" s="246"/>
      <c r="AK15" s="246"/>
      <c r="AL15" s="246"/>
      <c r="AM15" s="246"/>
      <c r="AN15" s="246"/>
      <c r="AO15" s="246"/>
      <c r="AP15" s="246"/>
      <c r="AQ15" s="246"/>
      <c r="AR15" s="246"/>
    </row>
    <row r="16" spans="1:58">
      <c r="A16" s="199" t="s">
        <v>16</v>
      </c>
      <c r="B16" s="200" t="str">
        <f>ITEMS_TRA!C18</f>
        <v>TFHCV3</v>
      </c>
      <c r="C16" s="200" t="str">
        <f>ITEMS_TRA!D18</f>
        <v>Transport Freight - HCV3</v>
      </c>
      <c r="D16" s="200"/>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46"/>
      <c r="T16" s="65">
        <f t="shared" si="6"/>
        <v>0.8</v>
      </c>
      <c r="U16" s="65">
        <f t="shared" si="6"/>
        <v>0.8</v>
      </c>
      <c r="V16" s="65">
        <f t="shared" si="6"/>
        <v>0.8</v>
      </c>
      <c r="W16" s="65">
        <f t="shared" si="6"/>
        <v>0.8</v>
      </c>
      <c r="X16" s="65">
        <f t="shared" si="6"/>
        <v>0.8</v>
      </c>
      <c r="Y16" s="246"/>
      <c r="Z16" s="246"/>
      <c r="AA16" s="246"/>
      <c r="AB16" s="246"/>
      <c r="AC16" s="246"/>
      <c r="AD16" s="246"/>
      <c r="AE16" s="246"/>
      <c r="AF16" s="246"/>
      <c r="AG16" s="246"/>
      <c r="AH16" s="246"/>
      <c r="AI16" s="246"/>
      <c r="AJ16" s="246"/>
      <c r="AK16" s="246"/>
      <c r="AL16" s="246"/>
      <c r="AM16" s="246"/>
      <c r="AN16" s="246"/>
      <c r="AO16" s="246"/>
      <c r="AP16" s="246"/>
      <c r="AQ16" s="246"/>
      <c r="AR16" s="246"/>
    </row>
    <row r="17" spans="1:44">
      <c r="A17" s="199" t="s">
        <v>16</v>
      </c>
      <c r="B17" s="200" t="str">
        <f>ITEMS_TRA!C19</f>
        <v>TFHCV4</v>
      </c>
      <c r="C17" s="200" t="str">
        <f>ITEMS_TRA!D19</f>
        <v>Transport Freight - HCV4</v>
      </c>
      <c r="D17" s="200"/>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46"/>
      <c r="T17" s="65">
        <f t="shared" si="6"/>
        <v>0.8</v>
      </c>
      <c r="U17" s="65">
        <f t="shared" si="6"/>
        <v>0.8</v>
      </c>
      <c r="V17" s="65">
        <f t="shared" si="6"/>
        <v>0.8</v>
      </c>
      <c r="W17" s="65">
        <f t="shared" si="6"/>
        <v>0.8</v>
      </c>
      <c r="X17" s="65">
        <f t="shared" si="6"/>
        <v>0.8</v>
      </c>
      <c r="Y17" s="246"/>
      <c r="Z17" s="246"/>
      <c r="AA17" s="246"/>
      <c r="AB17" s="246"/>
      <c r="AC17" s="246"/>
      <c r="AD17" s="246"/>
      <c r="AE17" s="246"/>
      <c r="AF17" s="246"/>
      <c r="AG17" s="246"/>
      <c r="AH17" s="246"/>
      <c r="AI17" s="246"/>
      <c r="AJ17" s="246"/>
      <c r="AK17" s="246"/>
      <c r="AL17" s="246"/>
      <c r="AM17" s="246"/>
      <c r="AN17" s="246"/>
      <c r="AO17" s="246"/>
      <c r="AP17" s="246"/>
      <c r="AQ17" s="246"/>
      <c r="AR17" s="246"/>
    </row>
    <row r="18" spans="1:44">
      <c r="A18" s="199" t="s">
        <v>16</v>
      </c>
      <c r="B18" s="200" t="str">
        <f>ITEMS_TRA!C20</f>
        <v>TFHCV5</v>
      </c>
      <c r="C18" s="200" t="str">
        <f>ITEMS_TRA!D20</f>
        <v>Transport Freight - HCV5</v>
      </c>
      <c r="D18" s="200"/>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46"/>
      <c r="T18" s="65">
        <f t="shared" si="6"/>
        <v>0.8</v>
      </c>
      <c r="U18" s="65">
        <f t="shared" si="6"/>
        <v>0.8</v>
      </c>
      <c r="V18" s="65">
        <f t="shared" si="6"/>
        <v>0.8</v>
      </c>
      <c r="W18" s="65">
        <f t="shared" si="6"/>
        <v>0.8</v>
      </c>
      <c r="X18" s="65">
        <f t="shared" si="6"/>
        <v>0.8</v>
      </c>
      <c r="Y18" s="246"/>
      <c r="Z18" s="246"/>
      <c r="AA18" s="246"/>
      <c r="AB18" s="246"/>
      <c r="AC18" s="246"/>
      <c r="AD18" s="246"/>
      <c r="AE18" s="246"/>
      <c r="AF18" s="246"/>
      <c r="AG18" s="246"/>
      <c r="AH18" s="246"/>
      <c r="AI18" s="246"/>
      <c r="AJ18" s="246"/>
      <c r="AK18" s="246"/>
      <c r="AL18" s="246"/>
      <c r="AM18" s="246"/>
      <c r="AN18" s="246"/>
      <c r="AO18" s="246"/>
      <c r="AP18" s="246"/>
      <c r="AQ18" s="246"/>
      <c r="AR18" s="246"/>
    </row>
    <row r="19" spans="1:44">
      <c r="A19" s="199" t="s">
        <v>16</v>
      </c>
      <c r="B19" s="200" t="str">
        <f>ITEMS_TRA!C21</f>
        <v>TFHCV6</v>
      </c>
      <c r="C19" s="200" t="str">
        <f>ITEMS_TRA!D21</f>
        <v>Transport Freight - HCV6</v>
      </c>
      <c r="D19" s="200"/>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46"/>
      <c r="T19" s="65">
        <f t="shared" si="6"/>
        <v>0.8</v>
      </c>
      <c r="U19" s="65">
        <f t="shared" si="6"/>
        <v>0.8</v>
      </c>
      <c r="V19" s="65">
        <f t="shared" si="6"/>
        <v>0.8</v>
      </c>
      <c r="W19" s="65">
        <f t="shared" si="6"/>
        <v>0.8</v>
      </c>
      <c r="X19" s="65">
        <f t="shared" si="6"/>
        <v>0.8</v>
      </c>
      <c r="Y19" s="246"/>
      <c r="Z19" s="246"/>
      <c r="AA19" s="246"/>
      <c r="AB19" s="246"/>
      <c r="AC19" s="246"/>
      <c r="AD19" s="246"/>
      <c r="AE19" s="246"/>
      <c r="AF19" s="246"/>
      <c r="AG19" s="246"/>
      <c r="AH19" s="246"/>
      <c r="AI19" s="246"/>
      <c r="AJ19" s="246"/>
      <c r="AK19" s="246"/>
      <c r="AL19" s="246"/>
      <c r="AM19" s="246"/>
      <c r="AN19" s="246"/>
      <c r="AO19" s="246"/>
      <c r="AP19" s="246"/>
      <c r="AQ19" s="246"/>
      <c r="AR19" s="246"/>
    </row>
    <row r="20" spans="1:44">
      <c r="A20" s="199" t="s">
        <v>16</v>
      </c>
      <c r="B20" s="200" t="str">
        <f>ITEMS_TRA!C22</f>
        <v>TFHCV7</v>
      </c>
      <c r="C20" s="200" t="str">
        <f>ITEMS_TRA!D22</f>
        <v>Transport Freight - HCV7</v>
      </c>
      <c r="D20" s="200"/>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46"/>
      <c r="T20" s="65">
        <f t="shared" si="6"/>
        <v>0.8</v>
      </c>
      <c r="U20" s="65">
        <f t="shared" si="6"/>
        <v>0.8</v>
      </c>
      <c r="V20" s="65">
        <f t="shared" si="6"/>
        <v>0.8</v>
      </c>
      <c r="W20" s="65">
        <f t="shared" si="6"/>
        <v>0.8</v>
      </c>
      <c r="X20" s="65">
        <f t="shared" si="6"/>
        <v>0.8</v>
      </c>
      <c r="Y20" s="246"/>
      <c r="Z20" s="246"/>
      <c r="AA20" s="246"/>
      <c r="AB20" s="246"/>
      <c r="AC20" s="246"/>
      <c r="AD20" s="246"/>
      <c r="AE20" s="246"/>
      <c r="AF20" s="246"/>
      <c r="AG20" s="246"/>
      <c r="AH20" s="246"/>
      <c r="AI20" s="246"/>
      <c r="AJ20" s="246"/>
      <c r="AK20" s="246"/>
      <c r="AL20" s="246"/>
      <c r="AM20" s="246"/>
      <c r="AN20" s="246"/>
      <c r="AO20" s="246"/>
      <c r="AP20" s="246"/>
      <c r="AQ20" s="246"/>
      <c r="AR20" s="246"/>
    </row>
    <row r="21" spans="1:44">
      <c r="A21" s="199" t="s">
        <v>16</v>
      </c>
      <c r="B21" s="200" t="str">
        <f>ITEMS_TRA!C23</f>
        <v>TFHCV8</v>
      </c>
      <c r="C21" s="200" t="str">
        <f>ITEMS_TRA!D23</f>
        <v>Transport Freight - HCV8</v>
      </c>
      <c r="D21" s="200"/>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46"/>
      <c r="T21" s="65">
        <f t="shared" si="6"/>
        <v>0.8</v>
      </c>
      <c r="U21" s="65">
        <f t="shared" si="6"/>
        <v>0.8</v>
      </c>
      <c r="V21" s="65">
        <f t="shared" si="6"/>
        <v>0.8</v>
      </c>
      <c r="W21" s="65">
        <f t="shared" si="6"/>
        <v>0.8</v>
      </c>
      <c r="X21" s="65">
        <f t="shared" si="6"/>
        <v>0.8</v>
      </c>
      <c r="Y21" s="246"/>
      <c r="Z21" s="246"/>
      <c r="AA21" s="246"/>
      <c r="AB21" s="246"/>
      <c r="AC21" s="246"/>
      <c r="AD21" s="246"/>
      <c r="AE21" s="246"/>
      <c r="AF21" s="246"/>
      <c r="AG21" s="246"/>
      <c r="AH21" s="246"/>
      <c r="AI21" s="246"/>
      <c r="AJ21" s="246"/>
      <c r="AK21" s="246"/>
      <c r="AL21" s="246"/>
      <c r="AM21" s="246"/>
      <c r="AN21" s="246"/>
      <c r="AO21" s="246"/>
      <c r="AP21" s="246"/>
      <c r="AQ21" s="246"/>
      <c r="AR21" s="246"/>
    </row>
    <row r="22" spans="1:44">
      <c r="A22" s="199" t="s">
        <v>16</v>
      </c>
      <c r="B22" s="200" t="str">
        <f>ITEMS_TRA!C24</f>
        <v>TFHCV9</v>
      </c>
      <c r="C22" s="200" t="str">
        <f>ITEMS_TRA!D24</f>
        <v>Transport Freight - HCV9</v>
      </c>
      <c r="D22" s="200"/>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46"/>
      <c r="T22" s="65">
        <f t="shared" si="6"/>
        <v>0.8</v>
      </c>
      <c r="U22" s="47">
        <f t="shared" ref="U22:W25" si="10">T22</f>
        <v>0.8</v>
      </c>
      <c r="V22" s="47">
        <f t="shared" si="10"/>
        <v>0.8</v>
      </c>
      <c r="W22" s="47">
        <f t="shared" si="10"/>
        <v>0.8</v>
      </c>
      <c r="X22" s="65">
        <f t="shared" si="6"/>
        <v>0.8</v>
      </c>
      <c r="Y22" s="246"/>
      <c r="Z22" s="246"/>
      <c r="AA22" s="246"/>
      <c r="AB22" s="246"/>
      <c r="AC22" s="246"/>
      <c r="AD22" s="246"/>
      <c r="AE22" s="246"/>
      <c r="AF22" s="246"/>
      <c r="AG22" s="246"/>
      <c r="AH22" s="246"/>
      <c r="AI22" s="246"/>
      <c r="AJ22" s="246"/>
      <c r="AK22" s="246"/>
      <c r="AL22" s="246"/>
      <c r="AM22" s="246"/>
      <c r="AN22" s="246"/>
      <c r="AO22" s="246"/>
      <c r="AP22" s="246"/>
      <c r="AQ22" s="246"/>
      <c r="AR22" s="246"/>
    </row>
    <row r="23" spans="1:44">
      <c r="A23" s="199" t="s">
        <v>16</v>
      </c>
      <c r="B23" s="200" t="str">
        <f>ITEMS_TRA!C25</f>
        <v>TFRCO</v>
      </c>
      <c r="C23" s="200" t="str">
        <f>ITEMS_TRA!D25</f>
        <v>Transport Freight - Rail Corridor</v>
      </c>
      <c r="D23" s="200"/>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46"/>
      <c r="T23" s="65">
        <f t="shared" si="6"/>
        <v>0.8</v>
      </c>
      <c r="U23" s="47">
        <f t="shared" si="10"/>
        <v>0.8</v>
      </c>
      <c r="V23" s="47">
        <f t="shared" si="10"/>
        <v>0.8</v>
      </c>
      <c r="W23" s="47">
        <f t="shared" si="10"/>
        <v>0.8</v>
      </c>
      <c r="X23" s="65">
        <f t="shared" si="6"/>
        <v>0.8</v>
      </c>
      <c r="Y23" s="246"/>
      <c r="Z23" s="246"/>
      <c r="AA23" s="246"/>
      <c r="AB23" s="246"/>
      <c r="AC23" s="246"/>
      <c r="AD23" s="246"/>
      <c r="AE23" s="246"/>
      <c r="AF23" s="246"/>
      <c r="AG23" s="246"/>
      <c r="AH23" s="246"/>
      <c r="AI23" s="246"/>
      <c r="AJ23" s="246"/>
      <c r="AK23" s="246"/>
      <c r="AL23" s="246"/>
      <c r="AM23" s="246"/>
      <c r="AN23" s="246"/>
      <c r="AO23" s="246"/>
      <c r="AP23" s="246"/>
      <c r="AQ23" s="246"/>
      <c r="AR23" s="246"/>
    </row>
    <row r="24" spans="1:44">
      <c r="A24" s="199" t="s">
        <v>16</v>
      </c>
      <c r="B24" s="200" t="str">
        <f>ITEMS_TRA!C26</f>
        <v>TFROT</v>
      </c>
      <c r="C24" s="200"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46"/>
      <c r="T24" s="65">
        <f t="shared" si="6"/>
        <v>0.8</v>
      </c>
      <c r="U24" s="47">
        <f t="shared" si="10"/>
        <v>0.8</v>
      </c>
      <c r="V24" s="47">
        <f t="shared" si="10"/>
        <v>0.8</v>
      </c>
      <c r="W24" s="47">
        <f t="shared" si="10"/>
        <v>0.8</v>
      </c>
      <c r="X24" s="65">
        <f t="shared" si="6"/>
        <v>0.8</v>
      </c>
      <c r="Y24" s="246"/>
      <c r="Z24" s="246"/>
      <c r="AA24" s="246"/>
      <c r="AB24" s="246"/>
      <c r="AC24" s="246"/>
      <c r="AD24" s="246"/>
      <c r="AE24" s="246"/>
      <c r="AF24" s="246"/>
      <c r="AG24" s="246"/>
      <c r="AH24" s="246"/>
      <c r="AI24" s="246"/>
      <c r="AJ24" s="246"/>
      <c r="AK24" s="246"/>
      <c r="AL24" s="246"/>
      <c r="AM24" s="246"/>
      <c r="AN24" s="246"/>
      <c r="AO24" s="246"/>
      <c r="AP24" s="246"/>
      <c r="AQ24" s="246"/>
      <c r="AR24" s="246"/>
    </row>
    <row r="25" spans="1:44">
      <c r="A25" s="199" t="s">
        <v>16</v>
      </c>
      <c r="B25" s="200" t="str">
        <f>ITEMS_TRA!C27</f>
        <v>TFREX</v>
      </c>
      <c r="C25" s="200"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46"/>
      <c r="T25" s="65">
        <f t="shared" si="6"/>
        <v>0.8</v>
      </c>
      <c r="U25" s="47">
        <f t="shared" si="10"/>
        <v>0.8</v>
      </c>
      <c r="V25" s="47">
        <f t="shared" si="10"/>
        <v>0.8</v>
      </c>
      <c r="W25" s="47">
        <f t="shared" si="10"/>
        <v>0.8</v>
      </c>
      <c r="X25" s="65">
        <f t="shared" si="6"/>
        <v>0.8</v>
      </c>
      <c r="Y25" s="246"/>
      <c r="Z25" s="246"/>
      <c r="AA25" s="246"/>
      <c r="AB25" s="246"/>
      <c r="AC25" s="246"/>
      <c r="AD25" s="246"/>
      <c r="AE25" s="246"/>
      <c r="AF25" s="246"/>
      <c r="AG25" s="246"/>
      <c r="AH25" s="246"/>
      <c r="AI25" s="246"/>
      <c r="AJ25" s="246"/>
      <c r="AK25" s="246"/>
      <c r="AL25" s="246"/>
      <c r="AM25" s="246"/>
      <c r="AN25" s="246"/>
      <c r="AO25" s="246"/>
      <c r="AP25" s="246"/>
      <c r="AQ25" s="246"/>
      <c r="AR25" s="246"/>
    </row>
    <row r="26" spans="1:44" ht="15.75" thickBot="1">
      <c r="A26" s="199" t="s">
        <v>16</v>
      </c>
      <c r="B26" s="200"/>
      <c r="C26" s="200"/>
      <c r="N26" s="200"/>
      <c r="O26" s="200"/>
      <c r="P26" s="200"/>
      <c r="Q26" s="200"/>
      <c r="R26" s="200"/>
      <c r="S26" s="200"/>
      <c r="T26" s="200"/>
      <c r="U26" s="200"/>
      <c r="V26" s="276">
        <v>2030</v>
      </c>
      <c r="W26" s="276">
        <v>2050</v>
      </c>
      <c r="X26" s="200"/>
      <c r="Y26" s="200"/>
      <c r="Z26" s="200"/>
      <c r="AA26" s="200"/>
      <c r="AB26" s="200"/>
      <c r="AC26" s="200"/>
      <c r="AD26" s="200"/>
      <c r="AE26" s="200"/>
      <c r="AF26" s="200"/>
      <c r="AG26" s="200"/>
      <c r="AH26" s="200"/>
      <c r="AI26" s="200"/>
      <c r="AJ26" s="200"/>
      <c r="AK26" s="200"/>
      <c r="AL26" s="200"/>
      <c r="AM26" s="200"/>
      <c r="AN26" s="200"/>
      <c r="AO26" s="200"/>
      <c r="AP26" s="200"/>
      <c r="AQ26" s="200"/>
      <c r="AR26" s="200"/>
    </row>
    <row r="27" spans="1:44" ht="15.75" thickBot="1">
      <c r="A27" s="199" t="s">
        <v>16</v>
      </c>
      <c r="B27" s="14" t="s">
        <v>153</v>
      </c>
      <c r="C27" s="14"/>
      <c r="V27" s="196">
        <f>INDEX($BD$4:$BD$7,MATCH($D$3,$BA$4:$BA$7,0))</f>
        <v>0.92</v>
      </c>
      <c r="W27" s="196">
        <f>INDEX($BE$4:$BE$7,MATCH($D$3,$BA$4:$BA$7,0))</f>
        <v>0.93</v>
      </c>
    </row>
    <row r="28" spans="1:44">
      <c r="A28" s="199" t="s">
        <v>16</v>
      </c>
      <c r="B28" s="200" t="str">
        <f>B15</f>
        <v>TFHCV2</v>
      </c>
      <c r="C28" s="200" t="str">
        <f>C15</f>
        <v>Transport Freight - HCV2</v>
      </c>
      <c r="D28" s="199" t="s">
        <v>48</v>
      </c>
      <c r="F28" s="247">
        <f>F51/F$60</f>
        <v>9.4676612498750534E-3</v>
      </c>
      <c r="G28" s="66">
        <f t="shared" ref="G28:H35" si="11">F28</f>
        <v>9.4676612498750534E-3</v>
      </c>
      <c r="H28" s="66">
        <f t="shared" si="11"/>
        <v>9.4676612498750534E-3</v>
      </c>
      <c r="I28" s="66">
        <f>IF($D$4,U28,O28)</f>
        <v>9.4676612498750534E-3</v>
      </c>
      <c r="J28" s="66">
        <f>IF($D$4,V28,P28)</f>
        <v>8.71024834988505E-3</v>
      </c>
      <c r="K28" s="66">
        <f>IF($D$4,W28,Q28)</f>
        <v>8.1005309653930969E-3</v>
      </c>
      <c r="L28" s="66">
        <f>IF($D$4,X28,R28)</f>
        <v>7.5334937978155806E-3</v>
      </c>
      <c r="N28" s="248">
        <f>$G28</f>
        <v>9.4676612498750534E-3</v>
      </c>
      <c r="O28" s="35">
        <f>N28</f>
        <v>9.4676612498750534E-3</v>
      </c>
      <c r="P28" s="35">
        <f>O28</f>
        <v>9.4676612498750534E-3</v>
      </c>
      <c r="Q28" s="35">
        <f>P28</f>
        <v>9.4676612498750534E-3</v>
      </c>
      <c r="R28" s="35">
        <f>P28</f>
        <v>9.4676612498750534E-3</v>
      </c>
      <c r="S28" s="249"/>
      <c r="T28" s="248">
        <f>$G28</f>
        <v>9.4676612498750534E-3</v>
      </c>
      <c r="U28" s="278">
        <f>O28</f>
        <v>9.4676612498750534E-3</v>
      </c>
      <c r="V28" s="278">
        <f t="shared" ref="V28:V35" si="12">IF(INDEX($BF$4:$BF$7,MATCH($D$3,$BA$4:$BA$7,0)),U28*$V$27,U28)</f>
        <v>8.71024834988505E-3</v>
      </c>
      <c r="W28" s="278">
        <f t="shared" ref="W28:X35" si="13">IF(INDEX($BF$4:$BF$7,MATCH($D$3,$BA$4:$BA$7,0)),V28*$W$27,V28)</f>
        <v>8.1005309653930969E-3</v>
      </c>
      <c r="X28" s="79">
        <f t="shared" si="13"/>
        <v>7.5334937978155806E-3</v>
      </c>
      <c r="Y28" s="249"/>
      <c r="Z28" s="249"/>
      <c r="AA28" s="249"/>
      <c r="AB28" s="249"/>
      <c r="AC28" s="249"/>
      <c r="AD28" s="249"/>
      <c r="AE28" s="249"/>
      <c r="AF28" s="249"/>
      <c r="AG28" s="249"/>
      <c r="AH28" s="249"/>
      <c r="AI28" s="249"/>
      <c r="AJ28" s="249"/>
      <c r="AK28" s="249"/>
      <c r="AL28" s="249"/>
      <c r="AM28" s="249"/>
      <c r="AN28" s="249"/>
      <c r="AO28" s="249"/>
      <c r="AP28" s="249"/>
      <c r="AQ28" s="249"/>
      <c r="AR28" s="249"/>
    </row>
    <row r="29" spans="1:44">
      <c r="A29" s="199" t="s">
        <v>16</v>
      </c>
      <c r="B29" s="200" t="str">
        <f t="shared" ref="B29:C35" si="14">B16</f>
        <v>TFHCV3</v>
      </c>
      <c r="C29" s="200" t="str">
        <f t="shared" si="14"/>
        <v>Transport Freight - HCV3</v>
      </c>
      <c r="F29" s="247">
        <f>F52/F$60</f>
        <v>7.8489485135980169E-2</v>
      </c>
      <c r="G29" s="66">
        <f t="shared" si="11"/>
        <v>7.8489485135980169E-2</v>
      </c>
      <c r="H29" s="66">
        <f t="shared" si="11"/>
        <v>7.8489485135980169E-2</v>
      </c>
      <c r="I29" s="66">
        <f t="shared" ref="I29:L35" si="15">IF($D$4,U29,O29)</f>
        <v>7.8489485135980169E-2</v>
      </c>
      <c r="J29" s="66">
        <f t="shared" si="15"/>
        <v>7.2210326325101756E-2</v>
      </c>
      <c r="K29" s="66">
        <f t="shared" si="15"/>
        <v>6.7155603482344631E-2</v>
      </c>
      <c r="L29" s="66">
        <f t="shared" si="15"/>
        <v>6.2454711238580513E-2</v>
      </c>
      <c r="N29" s="248">
        <f t="shared" ref="N29:N35" si="16">$G29</f>
        <v>7.8489485135980169E-2</v>
      </c>
      <c r="O29" s="35">
        <f t="shared" ref="O29:Q35" si="17">N29</f>
        <v>7.8489485135980169E-2</v>
      </c>
      <c r="P29" s="35">
        <f t="shared" si="17"/>
        <v>7.8489485135980169E-2</v>
      </c>
      <c r="Q29" s="35">
        <f t="shared" si="17"/>
        <v>7.8489485135980169E-2</v>
      </c>
      <c r="R29" s="35">
        <f t="shared" ref="R29:R35" si="18">P29</f>
        <v>7.8489485135980169E-2</v>
      </c>
      <c r="S29" s="249"/>
      <c r="T29" s="248">
        <f t="shared" ref="T29:T35" si="19">$G29</f>
        <v>7.8489485135980169E-2</v>
      </c>
      <c r="U29" s="77">
        <f t="shared" ref="U29:U35" si="20">O29</f>
        <v>7.8489485135980169E-2</v>
      </c>
      <c r="V29" s="77">
        <f t="shared" si="12"/>
        <v>7.2210326325101756E-2</v>
      </c>
      <c r="W29" s="278">
        <f t="shared" si="13"/>
        <v>6.7155603482344631E-2</v>
      </c>
      <c r="X29" s="79">
        <f t="shared" si="13"/>
        <v>6.2454711238580513E-2</v>
      </c>
      <c r="Y29" s="249"/>
      <c r="Z29" s="249"/>
      <c r="AA29" s="249"/>
      <c r="AB29" s="249"/>
      <c r="AC29" s="249"/>
      <c r="AD29" s="249"/>
      <c r="AE29" s="249"/>
      <c r="AF29" s="249"/>
      <c r="AG29" s="249"/>
      <c r="AH29" s="249"/>
      <c r="AI29" s="249"/>
      <c r="AJ29" s="249"/>
      <c r="AK29" s="249"/>
      <c r="AL29" s="249"/>
      <c r="AM29" s="249"/>
      <c r="AN29" s="249"/>
      <c r="AO29" s="249"/>
      <c r="AP29" s="249"/>
      <c r="AQ29" s="249"/>
      <c r="AR29" s="249"/>
    </row>
    <row r="30" spans="1:44">
      <c r="A30" s="199" t="s">
        <v>16</v>
      </c>
      <c r="B30" s="200" t="str">
        <f t="shared" si="14"/>
        <v>TFHCV4</v>
      </c>
      <c r="C30" s="200" t="str">
        <f t="shared" si="14"/>
        <v>Transport Freight - HCV4</v>
      </c>
      <c r="F30" s="247">
        <f t="shared" ref="F30:F35" si="21">F53/F$60</f>
        <v>2.6108291894949322E-2</v>
      </c>
      <c r="G30" s="66">
        <f t="shared" si="11"/>
        <v>2.6108291894949322E-2</v>
      </c>
      <c r="H30" s="66">
        <f t="shared" si="11"/>
        <v>2.6108291894949322E-2</v>
      </c>
      <c r="I30" s="66">
        <f t="shared" si="15"/>
        <v>2.6108291894949322E-2</v>
      </c>
      <c r="J30" s="66">
        <f t="shared" si="15"/>
        <v>2.4019628543353377E-2</v>
      </c>
      <c r="K30" s="66">
        <f t="shared" si="15"/>
        <v>2.2338254545318643E-2</v>
      </c>
      <c r="L30" s="66">
        <f t="shared" si="15"/>
        <v>2.0774576727146339E-2</v>
      </c>
      <c r="N30" s="248">
        <f t="shared" si="16"/>
        <v>2.6108291894949322E-2</v>
      </c>
      <c r="O30" s="35">
        <f t="shared" si="17"/>
        <v>2.6108291894949322E-2</v>
      </c>
      <c r="P30" s="35">
        <f t="shared" si="17"/>
        <v>2.6108291894949322E-2</v>
      </c>
      <c r="Q30" s="35">
        <f t="shared" si="17"/>
        <v>2.6108291894949322E-2</v>
      </c>
      <c r="R30" s="35">
        <f t="shared" si="18"/>
        <v>2.6108291894949322E-2</v>
      </c>
      <c r="S30" s="249"/>
      <c r="T30" s="248">
        <f t="shared" si="19"/>
        <v>2.6108291894949322E-2</v>
      </c>
      <c r="U30" s="77">
        <f t="shared" si="20"/>
        <v>2.6108291894949322E-2</v>
      </c>
      <c r="V30" s="77">
        <f t="shared" si="12"/>
        <v>2.4019628543353377E-2</v>
      </c>
      <c r="W30" s="278">
        <f t="shared" si="13"/>
        <v>2.2338254545318643E-2</v>
      </c>
      <c r="X30" s="79">
        <f t="shared" si="13"/>
        <v>2.0774576727146339E-2</v>
      </c>
      <c r="Y30" s="249"/>
      <c r="Z30" s="249"/>
      <c r="AA30" s="249"/>
      <c r="AB30" s="249"/>
      <c r="AC30" s="249"/>
      <c r="AD30" s="249"/>
      <c r="AE30" s="249"/>
      <c r="AF30" s="249"/>
      <c r="AG30" s="249"/>
      <c r="AH30" s="249"/>
      <c r="AI30" s="249"/>
      <c r="AJ30" s="249"/>
      <c r="AK30" s="249"/>
      <c r="AL30" s="249"/>
      <c r="AM30" s="249"/>
      <c r="AN30" s="249"/>
      <c r="AO30" s="249"/>
      <c r="AP30" s="249"/>
      <c r="AQ30" s="249"/>
      <c r="AR30" s="249"/>
    </row>
    <row r="31" spans="1:44">
      <c r="A31" s="199" t="s">
        <v>16</v>
      </c>
      <c r="B31" s="200" t="str">
        <f t="shared" si="14"/>
        <v>TFHCV5</v>
      </c>
      <c r="C31" s="200" t="str">
        <f t="shared" si="14"/>
        <v>Transport Freight - HCV5</v>
      </c>
      <c r="F31" s="247">
        <f t="shared" si="21"/>
        <v>1.7199691913336531E-2</v>
      </c>
      <c r="G31" s="66">
        <f t="shared" si="11"/>
        <v>1.7199691913336531E-2</v>
      </c>
      <c r="H31" s="66">
        <f t="shared" si="11"/>
        <v>1.7199691913336531E-2</v>
      </c>
      <c r="I31" s="66">
        <f t="shared" si="15"/>
        <v>1.7199691913336531E-2</v>
      </c>
      <c r="J31" s="66">
        <f t="shared" si="15"/>
        <v>1.582371656026961E-2</v>
      </c>
      <c r="K31" s="66">
        <f t="shared" si="15"/>
        <v>1.4716056401050738E-2</v>
      </c>
      <c r="L31" s="66">
        <f t="shared" si="15"/>
        <v>1.3685932452977187E-2</v>
      </c>
      <c r="N31" s="248">
        <f t="shared" si="16"/>
        <v>1.7199691913336531E-2</v>
      </c>
      <c r="O31" s="35">
        <f t="shared" si="17"/>
        <v>1.7199691913336531E-2</v>
      </c>
      <c r="P31" s="35">
        <f t="shared" si="17"/>
        <v>1.7199691913336531E-2</v>
      </c>
      <c r="Q31" s="35">
        <f t="shared" si="17"/>
        <v>1.7199691913336531E-2</v>
      </c>
      <c r="R31" s="35">
        <f t="shared" si="18"/>
        <v>1.7199691913336531E-2</v>
      </c>
      <c r="S31" s="249"/>
      <c r="T31" s="248">
        <f t="shared" si="19"/>
        <v>1.7199691913336531E-2</v>
      </c>
      <c r="U31" s="77">
        <f t="shared" si="20"/>
        <v>1.7199691913336531E-2</v>
      </c>
      <c r="V31" s="77">
        <f t="shared" si="12"/>
        <v>1.582371656026961E-2</v>
      </c>
      <c r="W31" s="278">
        <f t="shared" si="13"/>
        <v>1.4716056401050738E-2</v>
      </c>
      <c r="X31" s="79">
        <f t="shared" si="13"/>
        <v>1.3685932452977187E-2</v>
      </c>
      <c r="Y31" s="249"/>
      <c r="Z31" s="249"/>
      <c r="AA31" s="249"/>
      <c r="AB31" s="249"/>
      <c r="AC31" s="249"/>
      <c r="AD31" s="249"/>
      <c r="AE31" s="249"/>
      <c r="AF31" s="249"/>
      <c r="AG31" s="249"/>
      <c r="AH31" s="249"/>
      <c r="AI31" s="249"/>
      <c r="AJ31" s="249"/>
      <c r="AK31" s="249"/>
      <c r="AL31" s="249"/>
      <c r="AM31" s="249"/>
      <c r="AN31" s="249"/>
      <c r="AO31" s="249"/>
      <c r="AP31" s="249"/>
      <c r="AQ31" s="249"/>
      <c r="AR31" s="249"/>
    </row>
    <row r="32" spans="1:44">
      <c r="A32" s="199" t="s">
        <v>16</v>
      </c>
      <c r="B32" s="200" t="str">
        <f t="shared" si="14"/>
        <v>TFHCV6</v>
      </c>
      <c r="C32" s="200" t="str">
        <f t="shared" si="14"/>
        <v>Transport Freight - HCV6</v>
      </c>
      <c r="F32" s="247">
        <f t="shared" si="21"/>
        <v>0.56836281793433707</v>
      </c>
      <c r="G32" s="66">
        <f t="shared" si="11"/>
        <v>0.56836281793433707</v>
      </c>
      <c r="H32" s="66">
        <f t="shared" si="11"/>
        <v>0.56836281793433707</v>
      </c>
      <c r="I32" s="66">
        <f t="shared" si="15"/>
        <v>0.56836281793433707</v>
      </c>
      <c r="J32" s="66">
        <f t="shared" si="15"/>
        <v>0.52289379249959012</v>
      </c>
      <c r="K32" s="66">
        <f t="shared" si="15"/>
        <v>0.48629122702461886</v>
      </c>
      <c r="L32" s="66">
        <f t="shared" si="15"/>
        <v>0.45225084113289554</v>
      </c>
      <c r="N32" s="248">
        <f t="shared" si="16"/>
        <v>0.56836281793433707</v>
      </c>
      <c r="O32" s="35">
        <f t="shared" si="17"/>
        <v>0.56836281793433707</v>
      </c>
      <c r="P32" s="35">
        <f t="shared" si="17"/>
        <v>0.56836281793433707</v>
      </c>
      <c r="Q32" s="35">
        <f t="shared" si="17"/>
        <v>0.56836281793433707</v>
      </c>
      <c r="R32" s="35">
        <f t="shared" si="18"/>
        <v>0.56836281793433707</v>
      </c>
      <c r="S32" s="249"/>
      <c r="T32" s="248">
        <f t="shared" si="19"/>
        <v>0.56836281793433707</v>
      </c>
      <c r="U32" s="77">
        <f t="shared" si="20"/>
        <v>0.56836281793433707</v>
      </c>
      <c r="V32" s="77">
        <f t="shared" si="12"/>
        <v>0.52289379249959012</v>
      </c>
      <c r="W32" s="278">
        <f t="shared" si="13"/>
        <v>0.48629122702461886</v>
      </c>
      <c r="X32" s="79">
        <f t="shared" si="13"/>
        <v>0.45225084113289554</v>
      </c>
      <c r="Y32" s="249"/>
      <c r="Z32" s="249"/>
      <c r="AA32" s="249"/>
      <c r="AB32" s="249"/>
      <c r="AC32" s="249"/>
      <c r="AD32" s="249"/>
      <c r="AE32" s="249"/>
      <c r="AF32" s="249"/>
      <c r="AG32" s="249"/>
      <c r="AH32" s="249"/>
      <c r="AI32" s="249"/>
      <c r="AJ32" s="249"/>
      <c r="AK32" s="249"/>
      <c r="AL32" s="249"/>
      <c r="AM32" s="249"/>
      <c r="AN32" s="249"/>
      <c r="AO32" s="249"/>
      <c r="AP32" s="249"/>
      <c r="AQ32" s="249"/>
      <c r="AR32" s="249"/>
    </row>
    <row r="33" spans="1:44">
      <c r="A33" s="199" t="s">
        <v>16</v>
      </c>
      <c r="B33" s="200" t="str">
        <f t="shared" si="14"/>
        <v>TFHCV7</v>
      </c>
      <c r="C33" s="200" t="str">
        <f t="shared" si="14"/>
        <v>Transport Freight - HCV7</v>
      </c>
      <c r="F33" s="247">
        <f t="shared" si="21"/>
        <v>0.16189701580843874</v>
      </c>
      <c r="G33" s="66">
        <f t="shared" si="11"/>
        <v>0.16189701580843874</v>
      </c>
      <c r="H33" s="66">
        <f t="shared" si="11"/>
        <v>0.16189701580843874</v>
      </c>
      <c r="I33" s="66">
        <f t="shared" si="15"/>
        <v>0.16189701580843874</v>
      </c>
      <c r="J33" s="66">
        <f t="shared" si="15"/>
        <v>0.14894525454376364</v>
      </c>
      <c r="K33" s="66">
        <f t="shared" si="15"/>
        <v>0.13851908672570021</v>
      </c>
      <c r="L33" s="66">
        <f t="shared" si="15"/>
        <v>0.1288227506549012</v>
      </c>
      <c r="N33" s="248">
        <f t="shared" si="16"/>
        <v>0.16189701580843874</v>
      </c>
      <c r="O33" s="35">
        <f t="shared" si="17"/>
        <v>0.16189701580843874</v>
      </c>
      <c r="P33" s="35">
        <f t="shared" si="17"/>
        <v>0.16189701580843874</v>
      </c>
      <c r="Q33" s="35">
        <f t="shared" si="17"/>
        <v>0.16189701580843874</v>
      </c>
      <c r="R33" s="35">
        <f t="shared" si="18"/>
        <v>0.16189701580843874</v>
      </c>
      <c r="S33" s="249"/>
      <c r="T33" s="248">
        <f>$G33</f>
        <v>0.16189701580843874</v>
      </c>
      <c r="U33" s="77">
        <f t="shared" si="20"/>
        <v>0.16189701580843874</v>
      </c>
      <c r="V33" s="77">
        <f t="shared" si="12"/>
        <v>0.14894525454376364</v>
      </c>
      <c r="W33" s="278">
        <f t="shared" si="13"/>
        <v>0.13851908672570021</v>
      </c>
      <c r="X33" s="79">
        <f t="shared" si="13"/>
        <v>0.1288227506549012</v>
      </c>
      <c r="Y33" s="249"/>
      <c r="Z33" s="249"/>
      <c r="AA33" s="249"/>
      <c r="AB33" s="249"/>
      <c r="AC33" s="249"/>
      <c r="AD33" s="249"/>
      <c r="AE33" s="249"/>
      <c r="AF33" s="249"/>
      <c r="AG33" s="249"/>
      <c r="AH33" s="249"/>
      <c r="AI33" s="249"/>
      <c r="AJ33" s="249"/>
      <c r="AK33" s="249"/>
      <c r="AL33" s="249"/>
      <c r="AM33" s="249"/>
      <c r="AN33" s="249"/>
      <c r="AO33" s="249"/>
      <c r="AP33" s="249"/>
      <c r="AQ33" s="249"/>
      <c r="AR33" s="249"/>
    </row>
    <row r="34" spans="1:44">
      <c r="A34" s="199" t="s">
        <v>16</v>
      </c>
      <c r="B34" s="200" t="str">
        <f t="shared" si="14"/>
        <v>TFHCV8</v>
      </c>
      <c r="C34" s="200" t="str">
        <f t="shared" si="14"/>
        <v>Transport Freight - HCV8</v>
      </c>
      <c r="F34" s="247">
        <f t="shared" si="21"/>
        <v>6.2226033461875293E-3</v>
      </c>
      <c r="G34" s="66">
        <f t="shared" si="11"/>
        <v>6.2226033461875293E-3</v>
      </c>
      <c r="H34" s="66">
        <f t="shared" si="11"/>
        <v>6.2226033461875293E-3</v>
      </c>
      <c r="I34" s="66">
        <f t="shared" si="15"/>
        <v>6.2226033461875293E-3</v>
      </c>
      <c r="J34" s="66">
        <f t="shared" si="15"/>
        <v>5.7247950784925271E-3</v>
      </c>
      <c r="K34" s="66">
        <f t="shared" si="15"/>
        <v>5.3240594229980506E-3</v>
      </c>
      <c r="L34" s="66">
        <f t="shared" si="15"/>
        <v>4.9513752633881872E-3</v>
      </c>
      <c r="N34" s="248">
        <f t="shared" si="16"/>
        <v>6.2226033461875293E-3</v>
      </c>
      <c r="O34" s="35">
        <f t="shared" si="17"/>
        <v>6.2226033461875293E-3</v>
      </c>
      <c r="P34" s="35">
        <f t="shared" si="17"/>
        <v>6.2226033461875293E-3</v>
      </c>
      <c r="Q34" s="35">
        <f t="shared" si="17"/>
        <v>6.2226033461875293E-3</v>
      </c>
      <c r="R34" s="35">
        <f t="shared" si="18"/>
        <v>6.2226033461875293E-3</v>
      </c>
      <c r="S34" s="249"/>
      <c r="T34" s="248">
        <f t="shared" si="19"/>
        <v>6.2226033461875293E-3</v>
      </c>
      <c r="U34" s="77">
        <f t="shared" si="20"/>
        <v>6.2226033461875293E-3</v>
      </c>
      <c r="V34" s="77">
        <f t="shared" si="12"/>
        <v>5.7247950784925271E-3</v>
      </c>
      <c r="W34" s="278">
        <f t="shared" si="13"/>
        <v>5.3240594229980506E-3</v>
      </c>
      <c r="X34" s="79">
        <f t="shared" si="13"/>
        <v>4.9513752633881872E-3</v>
      </c>
      <c r="Y34" s="249"/>
      <c r="Z34" s="249"/>
      <c r="AA34" s="249"/>
      <c r="AB34" s="249"/>
      <c r="AC34" s="249"/>
      <c r="AD34" s="249"/>
      <c r="AE34" s="249"/>
      <c r="AF34" s="249"/>
      <c r="AG34" s="249"/>
      <c r="AH34" s="249"/>
      <c r="AI34" s="249"/>
      <c r="AJ34" s="249"/>
      <c r="AK34" s="249"/>
      <c r="AL34" s="249"/>
      <c r="AM34" s="249"/>
      <c r="AN34" s="249"/>
      <c r="AO34" s="249"/>
      <c r="AP34" s="249"/>
      <c r="AQ34" s="249"/>
      <c r="AR34" s="249"/>
    </row>
    <row r="35" spans="1:44">
      <c r="A35" s="199" t="s">
        <v>16</v>
      </c>
      <c r="B35" s="200" t="str">
        <f t="shared" si="14"/>
        <v>TFHCV9</v>
      </c>
      <c r="C35" s="200" t="str">
        <f t="shared" si="14"/>
        <v>Transport Freight - HCV9</v>
      </c>
      <c r="F35" s="247">
        <f t="shared" si="21"/>
        <v>5.0622264837377005E-3</v>
      </c>
      <c r="G35" s="66">
        <f t="shared" si="11"/>
        <v>5.0622264837377005E-3</v>
      </c>
      <c r="H35" s="66">
        <f t="shared" si="11"/>
        <v>5.0622264837377005E-3</v>
      </c>
      <c r="I35" s="66">
        <f t="shared" si="15"/>
        <v>5.0622264837377005E-3</v>
      </c>
      <c r="J35" s="66">
        <f t="shared" si="15"/>
        <v>4.6572483650386843E-3</v>
      </c>
      <c r="K35" s="66">
        <f t="shared" si="15"/>
        <v>4.3312409794859768E-3</v>
      </c>
      <c r="L35" s="66">
        <f t="shared" si="15"/>
        <v>4.0280541109219588E-3</v>
      </c>
      <c r="N35" s="248">
        <f t="shared" si="16"/>
        <v>5.0622264837377005E-3</v>
      </c>
      <c r="O35" s="35">
        <f t="shared" si="17"/>
        <v>5.0622264837377005E-3</v>
      </c>
      <c r="P35" s="35">
        <f t="shared" si="17"/>
        <v>5.0622264837377005E-3</v>
      </c>
      <c r="Q35" s="35">
        <f t="shared" si="17"/>
        <v>5.0622264837377005E-3</v>
      </c>
      <c r="R35" s="35">
        <f t="shared" si="18"/>
        <v>5.0622264837377005E-3</v>
      </c>
      <c r="S35" s="249"/>
      <c r="T35" s="248">
        <f t="shared" si="19"/>
        <v>5.0622264837377005E-3</v>
      </c>
      <c r="U35" s="77">
        <f t="shared" si="20"/>
        <v>5.0622264837377005E-3</v>
      </c>
      <c r="V35" s="77">
        <f t="shared" si="12"/>
        <v>4.6572483650386843E-3</v>
      </c>
      <c r="W35" s="278">
        <f t="shared" si="13"/>
        <v>4.3312409794859768E-3</v>
      </c>
      <c r="X35" s="79">
        <f t="shared" si="13"/>
        <v>4.0280541109219588E-3</v>
      </c>
      <c r="Y35" s="249"/>
      <c r="Z35" s="249"/>
      <c r="AA35" s="249"/>
      <c r="AB35" s="249"/>
      <c r="AC35" s="249"/>
      <c r="AD35" s="249"/>
      <c r="AE35" s="249"/>
      <c r="AF35" s="249"/>
      <c r="AG35" s="249"/>
      <c r="AH35" s="249"/>
      <c r="AI35" s="249"/>
      <c r="AJ35" s="249"/>
      <c r="AK35" s="249"/>
      <c r="AL35" s="249"/>
      <c r="AM35" s="249"/>
      <c r="AN35" s="249"/>
      <c r="AO35" s="249"/>
      <c r="AP35" s="249"/>
      <c r="AQ35" s="249"/>
      <c r="AR35" s="249"/>
    </row>
    <row r="36" spans="1:44">
      <c r="A36" s="199" t="s">
        <v>16</v>
      </c>
      <c r="B36" s="200" t="str">
        <f>B23</f>
        <v>TFRCO</v>
      </c>
      <c r="C36" s="200" t="str">
        <f>C23</f>
        <v>Transport Freight - Rail Corridor</v>
      </c>
      <c r="D36" s="199" t="s">
        <v>48</v>
      </c>
      <c r="F36" s="247">
        <f>F59/F$60</f>
        <v>0.12719020623315802</v>
      </c>
      <c r="G36" s="66">
        <f t="shared" ref="G36:L36" si="22">1-SUM(G28:G35)</f>
        <v>0.12719020623315791</v>
      </c>
      <c r="H36" s="66">
        <f t="shared" si="22"/>
        <v>0.12719020623315791</v>
      </c>
      <c r="I36" s="66">
        <f t="shared" si="22"/>
        <v>0.12719020623315791</v>
      </c>
      <c r="J36" s="66">
        <f t="shared" si="22"/>
        <v>0.19701498973450526</v>
      </c>
      <c r="K36" s="66">
        <f t="shared" si="22"/>
        <v>0.25322394045308971</v>
      </c>
      <c r="L36" s="66">
        <f t="shared" si="22"/>
        <v>0.30549826462137342</v>
      </c>
      <c r="N36" s="248">
        <f>$G36</f>
        <v>0.12719020623315791</v>
      </c>
      <c r="O36" s="66">
        <f>1-SUM(O28:O35)</f>
        <v>0.12719020623315791</v>
      </c>
      <c r="P36" s="66">
        <f>1-SUM(P28:P35)</f>
        <v>0.12719020623315791</v>
      </c>
      <c r="Q36" s="66">
        <f>1-SUM(Q28:Q35)</f>
        <v>0.12719020623315791</v>
      </c>
      <c r="R36" s="66">
        <f>1-SUM(R28:R35)</f>
        <v>0.12719020623315791</v>
      </c>
      <c r="S36" s="249"/>
      <c r="T36" s="248">
        <f>$G36</f>
        <v>0.12719020623315791</v>
      </c>
      <c r="U36" s="66">
        <f>1-SUM(U28:U35)</f>
        <v>0.12719020623315791</v>
      </c>
      <c r="V36" s="66">
        <f>1-SUM(V28:V35)</f>
        <v>0.19701498973450526</v>
      </c>
      <c r="W36" s="66">
        <f>1-SUM(W28:W35)</f>
        <v>0.25322394045308971</v>
      </c>
      <c r="X36" s="66">
        <f>1-SUM(X28:X35)</f>
        <v>0.30549826462137342</v>
      </c>
      <c r="Y36" s="249"/>
      <c r="Z36" s="249"/>
      <c r="AA36" s="249"/>
      <c r="AB36" s="249"/>
      <c r="AC36" s="249"/>
      <c r="AD36" s="249"/>
      <c r="AE36" s="249"/>
      <c r="AF36" s="249"/>
      <c r="AG36" s="249"/>
      <c r="AH36" s="249"/>
      <c r="AI36" s="249"/>
      <c r="AJ36" s="249"/>
      <c r="AK36" s="249"/>
      <c r="AL36" s="249"/>
      <c r="AM36" s="249"/>
      <c r="AN36" s="249"/>
      <c r="AO36" s="249"/>
      <c r="AP36" s="249"/>
      <c r="AQ36" s="249"/>
      <c r="AR36" s="249"/>
    </row>
    <row r="37" spans="1:44">
      <c r="A37" s="199" t="s">
        <v>16</v>
      </c>
    </row>
    <row r="38" spans="1:44" ht="15.75" thickBot="1">
      <c r="A38" s="199" t="s">
        <v>16</v>
      </c>
      <c r="B38" s="14" t="s">
        <v>433</v>
      </c>
      <c r="C38" s="14"/>
      <c r="D38" s="14"/>
    </row>
    <row r="39" spans="1:44">
      <c r="A39" s="199" t="s">
        <v>16</v>
      </c>
      <c r="B39" s="200" t="str">
        <f>B14</f>
        <v>TFHCV1</v>
      </c>
      <c r="C39" s="200" t="str">
        <f>C14</f>
        <v>Transport Freight - HCV1</v>
      </c>
      <c r="D39" s="199" t="s">
        <v>48</v>
      </c>
      <c r="F39" s="247">
        <f>F46/F$48</f>
        <v>0.16367820456437782</v>
      </c>
      <c r="G39" s="66">
        <f>IF($D$4,T39,N39)</f>
        <v>0.16367820456437782</v>
      </c>
      <c r="H39" s="66">
        <f>IF($D$4,U39,O39)</f>
        <v>0.15549429433615891</v>
      </c>
      <c r="I39" s="66">
        <f>IF($D$4,U39,O39)</f>
        <v>0.15549429433615891</v>
      </c>
      <c r="J39" s="66">
        <f>IF($D$4,V39,P39)</f>
        <v>0.14771957961935095</v>
      </c>
      <c r="K39" s="66">
        <f>IF($D$4,W39,Q39)</f>
        <v>0.1403336006383834</v>
      </c>
      <c r="L39" s="66">
        <f>IF($D$4,X39,R39)</f>
        <v>0.13331692060646422</v>
      </c>
      <c r="N39" s="248">
        <f>$F39</f>
        <v>0.16367820456437782</v>
      </c>
      <c r="O39" s="35">
        <f>N39</f>
        <v>0.16367820456437782</v>
      </c>
      <c r="P39" s="35">
        <f>O39</f>
        <v>0.16367820456437782</v>
      </c>
      <c r="Q39" s="35">
        <f>P39</f>
        <v>0.16367820456437782</v>
      </c>
      <c r="R39" s="35">
        <f>P39</f>
        <v>0.16367820456437782</v>
      </c>
      <c r="S39" s="249"/>
      <c r="T39" s="248">
        <f>N39</f>
        <v>0.16367820456437782</v>
      </c>
      <c r="U39" s="77">
        <f>T39*0.95</f>
        <v>0.15549429433615891</v>
      </c>
      <c r="V39" s="77">
        <f>U39*0.95</f>
        <v>0.14771957961935095</v>
      </c>
      <c r="W39" s="77">
        <f>V39*0.95</f>
        <v>0.1403336006383834</v>
      </c>
      <c r="X39" s="77">
        <f>W39*0.95</f>
        <v>0.13331692060646422</v>
      </c>
      <c r="Y39" s="249"/>
      <c r="Z39" s="249"/>
      <c r="AA39" s="249"/>
      <c r="AB39" s="249"/>
      <c r="AC39" s="249"/>
      <c r="AD39" s="249"/>
      <c r="AE39" s="249"/>
      <c r="AF39" s="249"/>
      <c r="AG39" s="249"/>
      <c r="AH39" s="249"/>
      <c r="AI39" s="249"/>
      <c r="AJ39" s="249"/>
      <c r="AK39" s="249"/>
      <c r="AL39" s="249"/>
      <c r="AM39" s="249"/>
      <c r="AN39" s="249"/>
      <c r="AO39" s="249"/>
      <c r="AP39" s="249"/>
      <c r="AQ39" s="249"/>
      <c r="AR39" s="249"/>
    </row>
    <row r="40" spans="1:44">
      <c r="A40" s="199" t="s">
        <v>16</v>
      </c>
      <c r="B40" s="200" t="str">
        <f>B24</f>
        <v>TFROT</v>
      </c>
      <c r="C40" s="200" t="str">
        <f>C24</f>
        <v>Transport Freight - Rail Other</v>
      </c>
      <c r="D40" s="199" t="s">
        <v>48</v>
      </c>
      <c r="F40" s="247">
        <f>F47/F$48</f>
        <v>0.83632179543562224</v>
      </c>
      <c r="G40" s="66">
        <f t="shared" ref="G40:L40" si="23">1-G39</f>
        <v>0.83632179543562213</v>
      </c>
      <c r="H40" s="66">
        <f t="shared" si="23"/>
        <v>0.84450570566384109</v>
      </c>
      <c r="I40" s="66">
        <f t="shared" si="23"/>
        <v>0.84450570566384109</v>
      </c>
      <c r="J40" s="66">
        <f t="shared" si="23"/>
        <v>0.85228042038064911</v>
      </c>
      <c r="K40" s="66">
        <f t="shared" si="23"/>
        <v>0.8596663993616166</v>
      </c>
      <c r="L40" s="66">
        <f t="shared" si="23"/>
        <v>0.86668307939353584</v>
      </c>
      <c r="N40" s="248">
        <f>$G40</f>
        <v>0.83632179543562213</v>
      </c>
      <c r="O40" s="66">
        <f>1-O39</f>
        <v>0.83632179543562213</v>
      </c>
      <c r="P40" s="66">
        <f>1-P39</f>
        <v>0.83632179543562213</v>
      </c>
      <c r="Q40" s="66">
        <f>1-Q39</f>
        <v>0.83632179543562213</v>
      </c>
      <c r="R40" s="66">
        <f>1-R39</f>
        <v>0.83632179543562213</v>
      </c>
      <c r="S40" s="249"/>
      <c r="T40" s="248">
        <f>$G40</f>
        <v>0.83632179543562213</v>
      </c>
      <c r="U40" s="66">
        <f>1-U39</f>
        <v>0.84450570566384109</v>
      </c>
      <c r="V40" s="66">
        <f>1-V39</f>
        <v>0.85228042038064911</v>
      </c>
      <c r="W40" s="66">
        <f>1-W39</f>
        <v>0.8596663993616166</v>
      </c>
      <c r="X40" s="66">
        <f>1-X39</f>
        <v>0.86668307939353584</v>
      </c>
      <c r="Y40" s="249"/>
      <c r="Z40" s="249"/>
      <c r="AA40" s="249"/>
      <c r="AB40" s="249"/>
      <c r="AC40" s="249"/>
      <c r="AD40" s="249"/>
      <c r="AE40" s="249"/>
      <c r="AF40" s="249"/>
      <c r="AG40" s="249"/>
      <c r="AH40" s="249"/>
      <c r="AI40" s="249"/>
      <c r="AJ40" s="249"/>
      <c r="AK40" s="249"/>
      <c r="AL40" s="249"/>
      <c r="AM40" s="249"/>
      <c r="AN40" s="249"/>
      <c r="AO40" s="249"/>
      <c r="AP40" s="249"/>
      <c r="AQ40" s="249"/>
      <c r="AR40" s="249"/>
    </row>
    <row r="41" spans="1:44">
      <c r="A41" s="199" t="s">
        <v>16</v>
      </c>
    </row>
    <row r="42" spans="1:44" ht="15.75" thickBot="1">
      <c r="A42" s="199" t="s">
        <v>16</v>
      </c>
      <c r="B42" s="14" t="s">
        <v>207</v>
      </c>
      <c r="C42" s="14"/>
      <c r="D42" s="14"/>
      <c r="G42" s="49"/>
      <c r="H42" s="49"/>
    </row>
    <row r="43" spans="1:44">
      <c r="A43" s="199" t="s">
        <v>16</v>
      </c>
      <c r="B43" s="200"/>
      <c r="C43" s="3" t="s">
        <v>5</v>
      </c>
      <c r="D43" s="5" t="s">
        <v>149</v>
      </c>
      <c r="E43" s="5"/>
      <c r="F43" s="49">
        <f>F63*F92</f>
        <v>17.151878492126293</v>
      </c>
      <c r="G43" s="49">
        <f>F43*(1+(F13+G13)/2*((G7/F7)^(1/(G$4-F$4))-1))^(G$4-F$4)</f>
        <v>17.976210697254331</v>
      </c>
      <c r="H43" s="49">
        <f>G43*(1+(G13+H13)/2*((H7/G7)^(1/(H$4-G$4))-1))^(H$4-G$4)</f>
        <v>18.275173489492516</v>
      </c>
      <c r="I43" s="49">
        <f>G43*(1+(G13+I13)/2*((I7/G7)^(1/(I$4-G$4))-1))^(I$4-G$4)</f>
        <v>17.381664585844597</v>
      </c>
      <c r="J43" s="49">
        <f>I43*(1+(I13+J13)/2*((J7/I7)^(1/(J$4-I$4))-1))^(J$4-I$4)</f>
        <v>23.967429256993974</v>
      </c>
      <c r="K43" s="49">
        <f>J43*(1+(J13+K13)/2*((K7/J7)^(1/(K$4-J$4))-1))^(K$4-J$4)</f>
        <v>34.550796511026142</v>
      </c>
      <c r="L43" s="49">
        <f>K43*(1+(K13+L13)/2*((L7/K7)^(1/(L$4-K$4))-1))^(L$4-K$4)</f>
        <v>51.676101497847725</v>
      </c>
      <c r="M43" s="49"/>
      <c r="N43" s="85">
        <f>$G43</f>
        <v>17.976210697254331</v>
      </c>
      <c r="O43" s="49">
        <f>N43*(1+(N13+O13)/2*((O7/N7)^(1/(O$4-N$4))-1))^(O$4-N$4)</f>
        <v>17.381664585844597</v>
      </c>
      <c r="P43" s="49">
        <f>O43*(1+(O13+P13)/2*((P7/O7)^(1/(P$4-O$4))-1))^(P$4-O$4)</f>
        <v>23.967429256993974</v>
      </c>
      <c r="Q43" s="49">
        <f>P43*(1+(P13+Q13)/2*((Q7/P7)^(1/(Q$4-P$4))-1))^(Q$4-P$4)</f>
        <v>34.550796511026142</v>
      </c>
      <c r="R43" s="49">
        <f>Q43*(1+(Q13+R13)/2*((R7/Q7)^(1/(R$4-Q$4))-1))^(R$4-Q$4)</f>
        <v>51.676101497847725</v>
      </c>
      <c r="T43" s="85">
        <f>$G43</f>
        <v>17.976210697254331</v>
      </c>
      <c r="U43" s="49">
        <f>T43*(1+(T13+U13)/2*((U7/T7)^(1/(U$4-T$4))-1))^(U$4-T$4)</f>
        <v>17.381664585844597</v>
      </c>
      <c r="V43" s="49">
        <f>U43*(1+(U13+V13)/2*((V7/U7)^(1/(V$4-U$4))-1))^(V$4-U$4)</f>
        <v>23.967429256993974</v>
      </c>
      <c r="W43" s="49">
        <f>V43*(1+(V13+W13)/2*((W7/V7)^(1/(W$4-V$4))-1))^(W$4-V$4)</f>
        <v>34.550796511026142</v>
      </c>
      <c r="X43" s="49">
        <f>W43*(1+(W13+X13)/2*((X7/W7)^(1/(X$4-W$4))-1))^(X$4-W$4)</f>
        <v>51.676101497847725</v>
      </c>
    </row>
    <row r="44" spans="1:44">
      <c r="A44" s="199" t="s">
        <v>16</v>
      </c>
    </row>
    <row r="45" spans="1:44" ht="15.75" thickBot="1">
      <c r="A45" s="199" t="s">
        <v>16</v>
      </c>
      <c r="B45" s="14" t="s">
        <v>411</v>
      </c>
      <c r="C45" s="14"/>
      <c r="D45" s="14"/>
    </row>
    <row r="46" spans="1:44">
      <c r="A46" s="199" t="s">
        <v>16</v>
      </c>
      <c r="B46" s="200" t="str">
        <f>B39</f>
        <v>TFHCV1</v>
      </c>
      <c r="C46" s="200" t="str">
        <f>C39</f>
        <v>Transport Freight - HCV1</v>
      </c>
      <c r="D46" s="199" t="s">
        <v>149</v>
      </c>
      <c r="F46" s="10">
        <f>F64*F93</f>
        <v>4.9123710000000003</v>
      </c>
      <c r="G46" s="10">
        <f>G39*G$48</f>
        <v>5.1484632519767128</v>
      </c>
      <c r="H46" s="10">
        <f>H39*H$48</f>
        <v>4.9723830946805823</v>
      </c>
      <c r="I46" s="10">
        <f t="shared" ref="G46:L47" si="24">I39*I$48</f>
        <v>4.7292735794685949</v>
      </c>
      <c r="J46" s="10">
        <f t="shared" si="24"/>
        <v>6.1950973063266979</v>
      </c>
      <c r="K46" s="10">
        <f t="shared" si="24"/>
        <v>8.4841501729985076</v>
      </c>
      <c r="L46" s="10">
        <f t="shared" si="24"/>
        <v>12.054900530492588</v>
      </c>
      <c r="N46" s="10">
        <f t="shared" ref="N46:R47" si="25">N39*N$48</f>
        <v>5.1484632519767128</v>
      </c>
      <c r="O46" s="10">
        <f>O39*O$48</f>
        <v>4.9781827152301004</v>
      </c>
      <c r="P46" s="10">
        <f>P39*P$48</f>
        <v>6.8643737466223813</v>
      </c>
      <c r="Q46" s="10">
        <f>Q39*Q$48</f>
        <v>9.8954951718892072</v>
      </c>
      <c r="R46" s="10">
        <f>R39*R$48</f>
        <v>14.800255406870839</v>
      </c>
      <c r="S46" s="10"/>
      <c r="T46" s="10">
        <f t="shared" ref="T46:X47" si="26">T39*T$48</f>
        <v>5.1484632519767128</v>
      </c>
      <c r="U46" s="10">
        <f t="shared" si="26"/>
        <v>4.7292735794685949</v>
      </c>
      <c r="V46" s="10">
        <f t="shared" si="26"/>
        <v>6.1950973063266979</v>
      </c>
      <c r="W46" s="10">
        <f t="shared" si="26"/>
        <v>8.4841501729985076</v>
      </c>
      <c r="X46" s="10">
        <f t="shared" si="26"/>
        <v>12.054900530492588</v>
      </c>
      <c r="Y46" s="10"/>
      <c r="Z46" s="10"/>
      <c r="AA46" s="10"/>
      <c r="AB46" s="10"/>
      <c r="AC46" s="10"/>
      <c r="AD46" s="10"/>
      <c r="AE46" s="10"/>
      <c r="AF46" s="10"/>
      <c r="AG46" s="10"/>
      <c r="AH46" s="10"/>
      <c r="AI46" s="10"/>
      <c r="AJ46" s="10"/>
      <c r="AK46" s="10"/>
      <c r="AL46" s="10"/>
      <c r="AM46" s="10"/>
      <c r="AN46" s="10"/>
      <c r="AO46" s="10"/>
      <c r="AP46" s="10"/>
      <c r="AQ46" s="10"/>
      <c r="AR46" s="10"/>
    </row>
    <row r="47" spans="1:44">
      <c r="A47" s="199" t="s">
        <v>16</v>
      </c>
      <c r="B47" s="200" t="str">
        <f>B40</f>
        <v>TFROT</v>
      </c>
      <c r="C47" s="200" t="str">
        <f>C40</f>
        <v>Transport Freight - Rail Other</v>
      </c>
      <c r="D47" s="199" t="s">
        <v>149</v>
      </c>
      <c r="F47" s="10">
        <f>F103</f>
        <v>25.1</v>
      </c>
      <c r="G47" s="10">
        <f t="shared" si="24"/>
        <v>26.306324914102674</v>
      </c>
      <c r="H47" s="10">
        <f t="shared" si="24"/>
        <v>27.00553040953406</v>
      </c>
      <c r="I47" s="10">
        <f t="shared" si="24"/>
        <v>25.685177315073595</v>
      </c>
      <c r="J47" s="10">
        <f t="shared" si="24"/>
        <v>35.743129990897167</v>
      </c>
      <c r="K47" s="10">
        <f t="shared" si="24"/>
        <v>51.972861792801233</v>
      </c>
      <c r="L47" s="10">
        <f t="shared" si="24"/>
        <v>78.367984094012272</v>
      </c>
      <c r="N47" s="10">
        <f t="shared" si="25"/>
        <v>26.306324914102674</v>
      </c>
      <c r="O47" s="10">
        <f t="shared" si="25"/>
        <v>25.436268179312091</v>
      </c>
      <c r="P47" s="10">
        <f t="shared" si="25"/>
        <v>35.073853550601477</v>
      </c>
      <c r="Q47" s="10">
        <f t="shared" si="25"/>
        <v>50.561516793910535</v>
      </c>
      <c r="R47" s="10">
        <f t="shared" si="25"/>
        <v>75.622629217634014</v>
      </c>
      <c r="S47" s="10"/>
      <c r="T47" s="10">
        <f t="shared" si="26"/>
        <v>26.306324914102674</v>
      </c>
      <c r="U47" s="10">
        <f t="shared" si="26"/>
        <v>25.685177315073595</v>
      </c>
      <c r="V47" s="10">
        <f t="shared" si="26"/>
        <v>35.743129990897167</v>
      </c>
      <c r="W47" s="10">
        <f t="shared" si="26"/>
        <v>51.972861792801233</v>
      </c>
      <c r="X47" s="10">
        <f t="shared" si="26"/>
        <v>78.367984094012272</v>
      </c>
      <c r="Y47" s="10"/>
      <c r="Z47" s="10"/>
      <c r="AA47" s="10"/>
      <c r="AB47" s="10"/>
      <c r="AC47" s="10"/>
      <c r="AD47" s="10"/>
      <c r="AE47" s="10"/>
      <c r="AF47" s="10"/>
      <c r="AG47" s="10"/>
      <c r="AH47" s="10"/>
      <c r="AI47" s="10"/>
      <c r="AJ47" s="10"/>
      <c r="AK47" s="10"/>
      <c r="AL47" s="10"/>
      <c r="AM47" s="10"/>
      <c r="AN47" s="10"/>
      <c r="AO47" s="10"/>
      <c r="AP47" s="10"/>
      <c r="AQ47" s="10"/>
      <c r="AR47" s="10"/>
    </row>
    <row r="48" spans="1:44">
      <c r="A48" s="199" t="s">
        <v>16</v>
      </c>
      <c r="B48" s="200"/>
      <c r="C48" s="3" t="s">
        <v>5</v>
      </c>
      <c r="D48" s="5" t="s">
        <v>149</v>
      </c>
      <c r="E48" s="5"/>
      <c r="F48" s="49">
        <f>SUM(F46:F47)</f>
        <v>30.012371000000002</v>
      </c>
      <c r="G48" s="49">
        <f>F48*(1+(F21+G21)/2*((G7/F7)^(1/(G$4-F$4))-1))^(G$4-F$4)</f>
        <v>31.454788166079389</v>
      </c>
      <c r="H48" s="49">
        <f>G48*(1+(G21+H21)/2*((H7/G7)^(1/(H$4-G$4))-1))^(H$4-G$4)</f>
        <v>31.977913504214641</v>
      </c>
      <c r="I48" s="49">
        <f>G48*(1+(G21+I21)/2*((I7/G7)^(1/(I$4-G$4))-1))^(I$4-G$4)</f>
        <v>30.414450894542192</v>
      </c>
      <c r="J48" s="49">
        <f>I48*(1+(I21+J21)/2*((J7/I7)^(1/(J$4-I$4))-1))^(J$4-I$4)</f>
        <v>41.938227297223861</v>
      </c>
      <c r="K48" s="49">
        <f>J48*(1+(J21+K21)/2*((K7/J7)^(1/(K$4-J$4))-1))^(K$4-J$4)</f>
        <v>60.457011965799744</v>
      </c>
      <c r="L48" s="49">
        <f>K48*(1+(K21+L21)/2*((L7/K7)^(1/(L$4-K$4))-1))^(L$4-K$4)</f>
        <v>90.42288462450486</v>
      </c>
      <c r="N48" s="85">
        <f>$G48</f>
        <v>31.454788166079389</v>
      </c>
      <c r="O48" s="49">
        <f>N48*(1+(N21+O21)/2*((O7/N7)^(1/(O$4-N$4))-1))^(O$4-N$4)</f>
        <v>30.414450894542192</v>
      </c>
      <c r="P48" s="49">
        <f>O48*(1+(O21+P21)/2*((P7/O7)^(1/(P$4-O$4))-1))^(P$4-O$4)</f>
        <v>41.938227297223861</v>
      </c>
      <c r="Q48" s="49">
        <f>P48*(1+(P21+Q21)/2*((Q7/P7)^(1/(Q$4-P$4))-1))^(Q$4-P$4)</f>
        <v>60.457011965799744</v>
      </c>
      <c r="R48" s="49">
        <f>Q48*(1+(Q21+R21)/2*((R7/Q7)^(1/(R$4-Q$4))-1))^(R$4-Q$4)</f>
        <v>90.42288462450486</v>
      </c>
      <c r="S48" s="200"/>
      <c r="T48" s="85">
        <f>$G48</f>
        <v>31.454788166079389</v>
      </c>
      <c r="U48" s="49">
        <f>T48*(1+(T21+U21)/2*((U7/T7)^(1/(U$4-T$4))-1))^(U$4-T$4)</f>
        <v>30.414450894542192</v>
      </c>
      <c r="V48" s="49">
        <f>U48*(1+(U21+V21)/2*((V7/U7)^(1/(V$4-U$4))-1))^(V$4-U$4)</f>
        <v>41.938227297223861</v>
      </c>
      <c r="W48" s="49">
        <f>V48*(1+(V21+W21)/2*((W7/V7)^(1/(W$4-V$4))-1))^(W$4-V$4)</f>
        <v>60.457011965799744</v>
      </c>
      <c r="X48" s="49">
        <f>W48*(1+(W21+X21)/2*((X7/W7)^(1/(X$4-W$4))-1))^(X$4-W$4)</f>
        <v>90.42288462450486</v>
      </c>
      <c r="Y48" s="200"/>
      <c r="Z48" s="200"/>
      <c r="AA48" s="200"/>
      <c r="AB48" s="200"/>
      <c r="AC48" s="200"/>
      <c r="AD48" s="200"/>
      <c r="AE48" s="200"/>
      <c r="AF48" s="200"/>
      <c r="AG48" s="200"/>
      <c r="AH48" s="200"/>
      <c r="AI48" s="200"/>
      <c r="AJ48" s="200"/>
      <c r="AK48" s="200"/>
      <c r="AL48" s="200"/>
      <c r="AM48" s="200"/>
      <c r="AN48" s="200"/>
      <c r="AO48" s="200"/>
      <c r="AP48" s="200"/>
      <c r="AQ48" s="200"/>
      <c r="AR48" s="200"/>
    </row>
    <row r="49" spans="1:44">
      <c r="A49" s="199" t="s">
        <v>16</v>
      </c>
      <c r="B49" s="200"/>
      <c r="C49" s="3"/>
      <c r="D49" s="5"/>
      <c r="E49" s="5"/>
      <c r="F49" s="49"/>
      <c r="G49" s="49"/>
      <c r="H49" s="49"/>
      <c r="I49" s="49"/>
      <c r="J49" s="49"/>
      <c r="K49" s="49"/>
      <c r="L49" s="49"/>
      <c r="N49" s="1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row>
    <row r="50" spans="1:44" ht="15.75" thickBot="1">
      <c r="A50" s="199" t="s">
        <v>16</v>
      </c>
      <c r="B50" s="14" t="s">
        <v>208</v>
      </c>
      <c r="C50" s="14"/>
      <c r="D50" s="14"/>
    </row>
    <row r="51" spans="1:44">
      <c r="A51" s="199" t="s">
        <v>16</v>
      </c>
      <c r="B51" s="200" t="str">
        <f>B15</f>
        <v>TFHCV2</v>
      </c>
      <c r="C51" s="200" t="str">
        <f>C28</f>
        <v>Transport Freight - HCV2</v>
      </c>
      <c r="D51" s="199" t="s">
        <v>149</v>
      </c>
      <c r="F51" s="10">
        <f>F65*F94</f>
        <v>1.637614669131271</v>
      </c>
      <c r="G51" s="10">
        <f t="shared" ref="G51:L59" si="27">G28*G$60</f>
        <v>1.7163196641541021</v>
      </c>
      <c r="H51" s="10">
        <f t="shared" si="27"/>
        <v>1.74486381774745</v>
      </c>
      <c r="I51" s="10">
        <f t="shared" si="27"/>
        <v>1.6595540198565115</v>
      </c>
      <c r="J51" s="10">
        <f t="shared" si="27"/>
        <v>2.1052773112044916</v>
      </c>
      <c r="K51" s="10">
        <f t="shared" si="27"/>
        <v>2.8224669694375719</v>
      </c>
      <c r="L51" s="10">
        <f t="shared" si="27"/>
        <v>3.9259385314779118</v>
      </c>
      <c r="N51" s="10">
        <f>N28*N$60</f>
        <v>1.7163196641541021</v>
      </c>
      <c r="O51" s="10">
        <f>O28*O$60</f>
        <v>1.6595540198565115</v>
      </c>
      <c r="P51" s="10">
        <f>P28*P$60</f>
        <v>2.2883449034831425</v>
      </c>
      <c r="Q51" s="10">
        <f>Q28*Q$60</f>
        <v>3.2988159998101585</v>
      </c>
      <c r="R51" s="10">
        <f>R28*R$60</f>
        <v>4.9338935029909345</v>
      </c>
      <c r="S51" s="10"/>
      <c r="T51" s="10">
        <f>T28*T$60</f>
        <v>1.7163196641541021</v>
      </c>
      <c r="U51" s="10">
        <f>U28*U$60</f>
        <v>1.6595540198565115</v>
      </c>
      <c r="V51" s="10">
        <f>V28*V$60</f>
        <v>2.1052773112044916</v>
      </c>
      <c r="W51" s="10">
        <f>W28*W$60</f>
        <v>2.8224669694375719</v>
      </c>
      <c r="X51" s="10">
        <f>X28*X$60</f>
        <v>3.9259385314779118</v>
      </c>
      <c r="Y51" s="10"/>
      <c r="Z51" s="10"/>
      <c r="AA51" s="10"/>
      <c r="AB51" s="10"/>
      <c r="AC51" s="10"/>
      <c r="AD51" s="10"/>
      <c r="AE51" s="10"/>
      <c r="AF51" s="10"/>
      <c r="AG51" s="10"/>
      <c r="AH51" s="10"/>
      <c r="AI51" s="10"/>
      <c r="AJ51" s="10"/>
      <c r="AK51" s="10"/>
      <c r="AL51" s="10"/>
      <c r="AM51" s="10"/>
      <c r="AN51" s="10"/>
      <c r="AO51" s="10"/>
      <c r="AP51" s="10"/>
      <c r="AQ51" s="10"/>
      <c r="AR51" s="10"/>
    </row>
    <row r="52" spans="1:44">
      <c r="A52" s="199" t="s">
        <v>16</v>
      </c>
      <c r="B52" s="200" t="str">
        <f t="shared" ref="B52:B58" si="28">B16</f>
        <v>TFHCV3</v>
      </c>
      <c r="C52" s="200" t="str">
        <f t="shared" ref="C52:C58" si="29">C29</f>
        <v>Transport Freight - HCV3</v>
      </c>
      <c r="D52" s="199" t="s">
        <v>149</v>
      </c>
      <c r="F52" s="10">
        <f t="shared" ref="F52:F58" si="30">F66*F95</f>
        <v>13.576270721867905</v>
      </c>
      <c r="G52" s="10">
        <f t="shared" si="27"/>
        <v>14.22875652315842</v>
      </c>
      <c r="H52" s="10">
        <f t="shared" si="27"/>
        <v>14.465395314941743</v>
      </c>
      <c r="I52" s="10">
        <f t="shared" si="27"/>
        <v>13.758153902644418</v>
      </c>
      <c r="J52" s="10">
        <f t="shared" si="27"/>
        <v>17.453321138531646</v>
      </c>
      <c r="K52" s="10">
        <f t="shared" si="27"/>
        <v>23.399018342295346</v>
      </c>
      <c r="L52" s="10">
        <f t="shared" si="27"/>
        <v>32.547097522661574</v>
      </c>
      <c r="N52" s="10">
        <f t="shared" ref="N52:R59" si="31">N29*N$60</f>
        <v>14.22875652315842</v>
      </c>
      <c r="O52" s="10">
        <f t="shared" si="31"/>
        <v>13.758153902644418</v>
      </c>
      <c r="P52" s="10">
        <f t="shared" si="31"/>
        <v>18.971001237534399</v>
      </c>
      <c r="Q52" s="10">
        <f t="shared" si="31"/>
        <v>27.348081278980068</v>
      </c>
      <c r="R52" s="10">
        <f t="shared" si="31"/>
        <v>40.903318205499467</v>
      </c>
      <c r="S52" s="10"/>
      <c r="T52" s="10">
        <f t="shared" ref="T52:X59" si="32">T29*T$60</f>
        <v>14.22875652315842</v>
      </c>
      <c r="U52" s="10">
        <f t="shared" si="32"/>
        <v>13.758153902644418</v>
      </c>
      <c r="V52" s="10">
        <f t="shared" si="32"/>
        <v>17.453321138531646</v>
      </c>
      <c r="W52" s="10">
        <f t="shared" si="32"/>
        <v>23.399018342295346</v>
      </c>
      <c r="X52" s="10">
        <f t="shared" si="32"/>
        <v>32.547097522661574</v>
      </c>
      <c r="Y52" s="10"/>
      <c r="Z52" s="10"/>
      <c r="AA52" s="10"/>
      <c r="AB52" s="10"/>
      <c r="AC52" s="10"/>
      <c r="AD52" s="10"/>
      <c r="AE52" s="10"/>
      <c r="AF52" s="10"/>
      <c r="AG52" s="10"/>
      <c r="AH52" s="10"/>
      <c r="AI52" s="10"/>
      <c r="AJ52" s="10"/>
      <c r="AK52" s="10"/>
      <c r="AL52" s="10"/>
      <c r="AM52" s="10"/>
      <c r="AN52" s="10"/>
      <c r="AO52" s="10"/>
      <c r="AP52" s="10"/>
      <c r="AQ52" s="10"/>
      <c r="AR52" s="10"/>
    </row>
    <row r="53" spans="1:44">
      <c r="A53" s="199" t="s">
        <v>16</v>
      </c>
      <c r="B53" s="200" t="str">
        <f t="shared" si="28"/>
        <v>TFHCV4</v>
      </c>
      <c r="C53" s="200" t="str">
        <f t="shared" si="29"/>
        <v>Transport Freight - HCV4</v>
      </c>
      <c r="D53" s="199" t="s">
        <v>149</v>
      </c>
      <c r="F53" s="10">
        <f t="shared" si="30"/>
        <v>4.515932780515814</v>
      </c>
      <c r="G53" s="10">
        <f t="shared" si="27"/>
        <v>4.7329719129281322</v>
      </c>
      <c r="H53" s="10">
        <f t="shared" si="27"/>
        <v>4.8116860825884835</v>
      </c>
      <c r="I53" s="10">
        <f t="shared" si="27"/>
        <v>4.5764333579660059</v>
      </c>
      <c r="J53" s="10">
        <f t="shared" si="27"/>
        <v>5.8055725812397769</v>
      </c>
      <c r="K53" s="10">
        <f t="shared" si="27"/>
        <v>7.7833151775367577</v>
      </c>
      <c r="L53" s="10">
        <f t="shared" si="27"/>
        <v>10.826279736487901</v>
      </c>
      <c r="N53" s="10">
        <f t="shared" si="31"/>
        <v>4.7329719129281322</v>
      </c>
      <c r="O53" s="10">
        <f t="shared" si="31"/>
        <v>4.5764333579660059</v>
      </c>
      <c r="P53" s="10">
        <f t="shared" si="31"/>
        <v>6.3104049796084523</v>
      </c>
      <c r="Q53" s="10">
        <f t="shared" si="31"/>
        <v>9.0969088096502535</v>
      </c>
      <c r="R53" s="10">
        <f t="shared" si="31"/>
        <v>13.605845029191485</v>
      </c>
      <c r="S53" s="10"/>
      <c r="T53" s="10">
        <f t="shared" si="32"/>
        <v>4.7329719129281322</v>
      </c>
      <c r="U53" s="10">
        <f t="shared" si="32"/>
        <v>4.5764333579660059</v>
      </c>
      <c r="V53" s="10">
        <f t="shared" si="32"/>
        <v>5.8055725812397769</v>
      </c>
      <c r="W53" s="10">
        <f t="shared" si="32"/>
        <v>7.7833151775367577</v>
      </c>
      <c r="X53" s="10">
        <f t="shared" si="32"/>
        <v>10.826279736487901</v>
      </c>
      <c r="Y53" s="10"/>
      <c r="Z53" s="10"/>
      <c r="AA53" s="10"/>
      <c r="AB53" s="10"/>
      <c r="AC53" s="10"/>
      <c r="AD53" s="10"/>
      <c r="AE53" s="10"/>
      <c r="AF53" s="10"/>
      <c r="AG53" s="10"/>
      <c r="AH53" s="10"/>
      <c r="AI53" s="10"/>
      <c r="AJ53" s="10"/>
      <c r="AK53" s="10"/>
      <c r="AL53" s="10"/>
      <c r="AM53" s="10"/>
      <c r="AN53" s="10"/>
      <c r="AO53" s="10"/>
      <c r="AP53" s="10"/>
      <c r="AQ53" s="10"/>
      <c r="AR53" s="10"/>
    </row>
    <row r="54" spans="1:44">
      <c r="A54" s="199" t="s">
        <v>16</v>
      </c>
      <c r="B54" s="200" t="str">
        <f t="shared" si="28"/>
        <v>TFHCV5</v>
      </c>
      <c r="C54" s="200" t="str">
        <f t="shared" si="29"/>
        <v>Transport Freight - HCV5</v>
      </c>
      <c r="D54" s="199" t="s">
        <v>149</v>
      </c>
      <c r="F54" s="10">
        <f t="shared" si="30"/>
        <v>2.9750185434856067</v>
      </c>
      <c r="G54" s="10">
        <f t="shared" si="27"/>
        <v>3.1180001765104728</v>
      </c>
      <c r="H54" s="10">
        <f t="shared" si="27"/>
        <v>3.1698557123999747</v>
      </c>
      <c r="I54" s="10">
        <f t="shared" si="27"/>
        <v>3.0148752793038378</v>
      </c>
      <c r="J54" s="10">
        <f t="shared" si="27"/>
        <v>3.8246109772181214</v>
      </c>
      <c r="K54" s="10">
        <f t="shared" si="27"/>
        <v>5.1275136518573197</v>
      </c>
      <c r="L54" s="10">
        <f t="shared" si="27"/>
        <v>7.1321661633181126</v>
      </c>
      <c r="N54" s="10">
        <f t="shared" si="31"/>
        <v>3.1180001765104728</v>
      </c>
      <c r="O54" s="10">
        <f t="shared" si="31"/>
        <v>3.0148752793038378</v>
      </c>
      <c r="P54" s="10">
        <f t="shared" si="31"/>
        <v>4.1571858448023056</v>
      </c>
      <c r="Q54" s="10">
        <f t="shared" si="31"/>
        <v>5.9928864561212238</v>
      </c>
      <c r="R54" s="10">
        <f t="shared" si="31"/>
        <v>8.9632957860397422</v>
      </c>
      <c r="S54" s="10"/>
      <c r="T54" s="10">
        <f t="shared" si="32"/>
        <v>3.1180001765104728</v>
      </c>
      <c r="U54" s="10">
        <f t="shared" si="32"/>
        <v>3.0148752793038378</v>
      </c>
      <c r="V54" s="10">
        <f t="shared" si="32"/>
        <v>3.8246109772181214</v>
      </c>
      <c r="W54" s="10">
        <f t="shared" si="32"/>
        <v>5.1275136518573197</v>
      </c>
      <c r="X54" s="10">
        <f t="shared" si="32"/>
        <v>7.1321661633181126</v>
      </c>
      <c r="Y54" s="10"/>
      <c r="Z54" s="10"/>
      <c r="AA54" s="10"/>
      <c r="AB54" s="10"/>
      <c r="AC54" s="10"/>
      <c r="AD54" s="10"/>
      <c r="AE54" s="10"/>
      <c r="AF54" s="10"/>
      <c r="AG54" s="10"/>
      <c r="AH54" s="10"/>
      <c r="AI54" s="10"/>
      <c r="AJ54" s="10"/>
      <c r="AK54" s="10"/>
      <c r="AL54" s="10"/>
      <c r="AM54" s="10"/>
      <c r="AN54" s="10"/>
      <c r="AO54" s="10"/>
      <c r="AP54" s="10"/>
      <c r="AQ54" s="10"/>
      <c r="AR54" s="10"/>
    </row>
    <row r="55" spans="1:44">
      <c r="A55" s="199" t="s">
        <v>16</v>
      </c>
      <c r="B55" s="200" t="str">
        <f t="shared" si="28"/>
        <v>TFHCV6</v>
      </c>
      <c r="C55" s="200" t="str">
        <f t="shared" si="29"/>
        <v>Transport Freight - HCV6</v>
      </c>
      <c r="D55" s="199" t="s">
        <v>149</v>
      </c>
      <c r="F55" s="10">
        <f>F69*F98</f>
        <v>98.309314568087203</v>
      </c>
      <c r="G55" s="10">
        <f t="shared" si="27"/>
        <v>103.03413430720434</v>
      </c>
      <c r="H55" s="10">
        <f t="shared" si="27"/>
        <v>104.74769747171659</v>
      </c>
      <c r="I55" s="10">
        <f t="shared" si="27"/>
        <v>99.626378082797544</v>
      </c>
      <c r="J55" s="10">
        <f t="shared" si="27"/>
        <v>126.38404707870174</v>
      </c>
      <c r="K55" s="10">
        <f t="shared" si="27"/>
        <v>169.43839010899313</v>
      </c>
      <c r="L55" s="10">
        <f t="shared" si="27"/>
        <v>235.68201564216574</v>
      </c>
      <c r="N55" s="10">
        <f t="shared" si="31"/>
        <v>103.03413430720434</v>
      </c>
      <c r="O55" s="10">
        <f t="shared" si="31"/>
        <v>99.626378082797544</v>
      </c>
      <c r="P55" s="10">
        <f t="shared" si="31"/>
        <v>137.37396421598015</v>
      </c>
      <c r="Q55" s="10">
        <f t="shared" si="31"/>
        <v>198.03458404510647</v>
      </c>
      <c r="R55" s="10">
        <f t="shared" si="31"/>
        <v>296.1915874192112</v>
      </c>
      <c r="S55" s="10"/>
      <c r="T55" s="10">
        <f t="shared" si="32"/>
        <v>103.03413430720434</v>
      </c>
      <c r="U55" s="10">
        <f t="shared" si="32"/>
        <v>99.626378082797544</v>
      </c>
      <c r="V55" s="10">
        <f t="shared" si="32"/>
        <v>126.38404707870174</v>
      </c>
      <c r="W55" s="10">
        <f t="shared" si="32"/>
        <v>169.43839010899313</v>
      </c>
      <c r="X55" s="10">
        <f t="shared" si="32"/>
        <v>235.68201564216574</v>
      </c>
      <c r="Y55" s="10"/>
      <c r="Z55" s="10"/>
      <c r="AA55" s="10"/>
      <c r="AB55" s="10"/>
      <c r="AC55" s="10"/>
      <c r="AD55" s="10"/>
      <c r="AE55" s="10"/>
      <c r="AF55" s="10"/>
      <c r="AG55" s="10"/>
      <c r="AH55" s="10"/>
      <c r="AI55" s="10"/>
      <c r="AJ55" s="10"/>
      <c r="AK55" s="10"/>
      <c r="AL55" s="10"/>
      <c r="AM55" s="10"/>
      <c r="AN55" s="10"/>
      <c r="AO55" s="10"/>
      <c r="AP55" s="10"/>
      <c r="AQ55" s="10"/>
      <c r="AR55" s="10"/>
    </row>
    <row r="56" spans="1:44">
      <c r="A56" s="199" t="s">
        <v>16</v>
      </c>
      <c r="B56" s="200" t="str">
        <f t="shared" si="28"/>
        <v>TFHCV7</v>
      </c>
      <c r="C56" s="200" t="str">
        <f t="shared" si="29"/>
        <v>Transport Freight - HCV7</v>
      </c>
      <c r="D56" s="199" t="s">
        <v>149</v>
      </c>
      <c r="F56" s="10">
        <f t="shared" si="30"/>
        <v>28.003212301240232</v>
      </c>
      <c r="G56" s="10">
        <f t="shared" si="27"/>
        <v>29.349067786255869</v>
      </c>
      <c r="H56" s="10">
        <f t="shared" si="27"/>
        <v>29.837172838134627</v>
      </c>
      <c r="I56" s="10">
        <f t="shared" si="27"/>
        <v>28.378375218189547</v>
      </c>
      <c r="J56" s="10">
        <f t="shared" si="27"/>
        <v>36.00024389737424</v>
      </c>
      <c r="K56" s="10">
        <f t="shared" si="27"/>
        <v>48.264187692167503</v>
      </c>
      <c r="L56" s="10">
        <f t="shared" si="27"/>
        <v>67.133552386237554</v>
      </c>
      <c r="N56" s="10">
        <f t="shared" si="31"/>
        <v>29.349067786255869</v>
      </c>
      <c r="O56" s="10">
        <f t="shared" si="31"/>
        <v>28.378375218189547</v>
      </c>
      <c r="P56" s="10">
        <f t="shared" si="31"/>
        <v>39.130699888450259</v>
      </c>
      <c r="Q56" s="10">
        <f t="shared" si="31"/>
        <v>56.409756535960142</v>
      </c>
      <c r="R56" s="10">
        <f t="shared" si="31"/>
        <v>84.369583297186324</v>
      </c>
      <c r="S56" s="10"/>
      <c r="T56" s="10">
        <f t="shared" si="32"/>
        <v>29.349067786255869</v>
      </c>
      <c r="U56" s="10">
        <f t="shared" si="32"/>
        <v>28.378375218189547</v>
      </c>
      <c r="V56" s="10">
        <f t="shared" si="32"/>
        <v>36.00024389737424</v>
      </c>
      <c r="W56" s="10">
        <f t="shared" si="32"/>
        <v>48.264187692167503</v>
      </c>
      <c r="X56" s="10">
        <f t="shared" si="32"/>
        <v>67.133552386237554</v>
      </c>
      <c r="Y56" s="10"/>
      <c r="Z56" s="10"/>
      <c r="AA56" s="10"/>
      <c r="AB56" s="10"/>
      <c r="AC56" s="10"/>
      <c r="AD56" s="10"/>
      <c r="AE56" s="10"/>
      <c r="AF56" s="10"/>
      <c r="AG56" s="10"/>
      <c r="AH56" s="10"/>
      <c r="AI56" s="10"/>
      <c r="AJ56" s="10"/>
      <c r="AK56" s="10"/>
      <c r="AL56" s="10"/>
      <c r="AM56" s="10"/>
      <c r="AN56" s="10"/>
      <c r="AO56" s="10"/>
      <c r="AP56" s="10"/>
      <c r="AQ56" s="10"/>
      <c r="AR56" s="10"/>
    </row>
    <row r="57" spans="1:44">
      <c r="A57" s="199" t="s">
        <v>16</v>
      </c>
      <c r="B57" s="200" t="str">
        <f t="shared" si="28"/>
        <v>TFHCV8</v>
      </c>
      <c r="C57" s="200" t="str">
        <f t="shared" si="29"/>
        <v>Transport Freight - HCV8</v>
      </c>
      <c r="D57" s="199" t="s">
        <v>149</v>
      </c>
      <c r="F57" s="10">
        <f t="shared" si="30"/>
        <v>1.0763192990282064</v>
      </c>
      <c r="G57" s="10">
        <f t="shared" si="27"/>
        <v>1.12804801559981</v>
      </c>
      <c r="H57" s="10">
        <f t="shared" si="27"/>
        <v>1.1468086092645235</v>
      </c>
      <c r="I57" s="10">
        <f t="shared" si="27"/>
        <v>1.0907388978745283</v>
      </c>
      <c r="J57" s="10">
        <f t="shared" si="27"/>
        <v>1.383689730293914</v>
      </c>
      <c r="K57" s="10">
        <f t="shared" si="27"/>
        <v>1.8550613446121968</v>
      </c>
      <c r="L57" s="10">
        <f t="shared" si="27"/>
        <v>2.5803160461854726</v>
      </c>
      <c r="N57" s="10">
        <f t="shared" si="31"/>
        <v>1.12804801559981</v>
      </c>
      <c r="O57" s="10">
        <f t="shared" si="31"/>
        <v>1.0907388978745283</v>
      </c>
      <c r="P57" s="10">
        <f t="shared" si="31"/>
        <v>1.504010576406428</v>
      </c>
      <c r="Q57" s="10">
        <f t="shared" si="31"/>
        <v>2.1681408889810623</v>
      </c>
      <c r="R57" s="10">
        <f t="shared" si="31"/>
        <v>3.2427926402467642</v>
      </c>
      <c r="S57" s="10"/>
      <c r="T57" s="10">
        <f t="shared" si="32"/>
        <v>1.12804801559981</v>
      </c>
      <c r="U57" s="10">
        <f t="shared" si="32"/>
        <v>1.0907388978745283</v>
      </c>
      <c r="V57" s="10">
        <f t="shared" si="32"/>
        <v>1.383689730293914</v>
      </c>
      <c r="W57" s="10">
        <f t="shared" si="32"/>
        <v>1.8550613446121968</v>
      </c>
      <c r="X57" s="10">
        <f t="shared" si="32"/>
        <v>2.5803160461854726</v>
      </c>
      <c r="Y57" s="10"/>
      <c r="Z57" s="10"/>
      <c r="AA57" s="10"/>
      <c r="AB57" s="10"/>
      <c r="AC57" s="10"/>
      <c r="AD57" s="10"/>
      <c r="AE57" s="10"/>
      <c r="AF57" s="10"/>
      <c r="AG57" s="10"/>
      <c r="AH57" s="10"/>
      <c r="AI57" s="10"/>
      <c r="AJ57" s="10"/>
      <c r="AK57" s="10"/>
      <c r="AL57" s="10"/>
      <c r="AM57" s="10"/>
      <c r="AN57" s="10"/>
      <c r="AO57" s="10"/>
      <c r="AP57" s="10"/>
      <c r="AQ57" s="10"/>
      <c r="AR57" s="10"/>
    </row>
    <row r="58" spans="1:44">
      <c r="A58" s="199" t="s">
        <v>16</v>
      </c>
      <c r="B58" s="200" t="str">
        <f t="shared" si="28"/>
        <v>TFHCV9</v>
      </c>
      <c r="C58" s="200" t="str">
        <f t="shared" si="29"/>
        <v>Transport Freight - HCV9</v>
      </c>
      <c r="D58" s="199" t="s">
        <v>149</v>
      </c>
      <c r="F58" s="10">
        <f t="shared" si="30"/>
        <v>0.87560973396075781</v>
      </c>
      <c r="G58" s="10">
        <f t="shared" si="27"/>
        <v>0.91769219759054577</v>
      </c>
      <c r="H58" s="10">
        <f t="shared" si="27"/>
        <v>0.93295435858917986</v>
      </c>
      <c r="I58" s="10">
        <f t="shared" si="27"/>
        <v>0.88734039894191019</v>
      </c>
      <c r="J58" s="10">
        <f t="shared" si="27"/>
        <v>1.1256624290958994</v>
      </c>
      <c r="K58" s="10">
        <f t="shared" si="27"/>
        <v>1.509133741170801</v>
      </c>
      <c r="L58" s="10">
        <f t="shared" si="27"/>
        <v>2.0991446021408993</v>
      </c>
      <c r="N58" s="10">
        <f t="shared" si="31"/>
        <v>0.91769219759054577</v>
      </c>
      <c r="O58" s="10">
        <f t="shared" si="31"/>
        <v>0.88734039894191019</v>
      </c>
      <c r="P58" s="10">
        <f t="shared" si="31"/>
        <v>1.2235461185824994</v>
      </c>
      <c r="Q58" s="10">
        <f t="shared" si="31"/>
        <v>1.7638309270345969</v>
      </c>
      <c r="R58" s="10">
        <f t="shared" si="31"/>
        <v>2.6380840737316942</v>
      </c>
      <c r="S58" s="10"/>
      <c r="T58" s="10">
        <f t="shared" si="32"/>
        <v>0.91769219759054577</v>
      </c>
      <c r="U58" s="10">
        <f t="shared" si="32"/>
        <v>0.88734039894191019</v>
      </c>
      <c r="V58" s="10">
        <f t="shared" si="32"/>
        <v>1.1256624290958994</v>
      </c>
      <c r="W58" s="10">
        <f t="shared" si="32"/>
        <v>1.509133741170801</v>
      </c>
      <c r="X58" s="10">
        <f t="shared" si="32"/>
        <v>2.0991446021408993</v>
      </c>
      <c r="Y58" s="10"/>
      <c r="Z58" s="10"/>
      <c r="AA58" s="10"/>
      <c r="AB58" s="10"/>
      <c r="AC58" s="10"/>
      <c r="AD58" s="10"/>
      <c r="AE58" s="10"/>
      <c r="AF58" s="10"/>
      <c r="AG58" s="10"/>
      <c r="AH58" s="10"/>
      <c r="AI58" s="10"/>
      <c r="AJ58" s="10"/>
      <c r="AK58" s="10"/>
      <c r="AL58" s="10"/>
      <c r="AM58" s="10"/>
      <c r="AN58" s="10"/>
      <c r="AO58" s="10"/>
      <c r="AP58" s="10"/>
      <c r="AQ58" s="10"/>
      <c r="AR58" s="10"/>
    </row>
    <row r="59" spans="1:44">
      <c r="A59" s="199" t="s">
        <v>16</v>
      </c>
      <c r="B59" s="200" t="str">
        <f>B23</f>
        <v>TFRCO</v>
      </c>
      <c r="C59" s="200" t="str">
        <f>C36</f>
        <v>Transport Freight - Rail Corridor</v>
      </c>
      <c r="D59" s="199" t="s">
        <v>149</v>
      </c>
      <c r="F59" s="10">
        <f>F102</f>
        <v>22</v>
      </c>
      <c r="G59" s="10">
        <f t="shared" si="27"/>
        <v>23.057336578097942</v>
      </c>
      <c r="H59" s="10">
        <f t="shared" si="27"/>
        <v>23.440803697006192</v>
      </c>
      <c r="I59" s="10">
        <f t="shared" si="27"/>
        <v>22.294737049596232</v>
      </c>
      <c r="J59" s="10">
        <f t="shared" si="27"/>
        <v>47.618755653587478</v>
      </c>
      <c r="K59" s="10">
        <f t="shared" si="27"/>
        <v>88.230785222976934</v>
      </c>
      <c r="L59" s="10">
        <f t="shared" si="27"/>
        <v>159.20467190461548</v>
      </c>
      <c r="N59" s="10">
        <f t="shared" si="31"/>
        <v>23.057336578097942</v>
      </c>
      <c r="O59" s="10">
        <f>O36*O$60</f>
        <v>22.294737049596232</v>
      </c>
      <c r="P59" s="10">
        <f>P36*P$60</f>
        <v>30.742023032399672</v>
      </c>
      <c r="Q59" s="10">
        <f>Q36*Q$60</f>
        <v>44.316867309403605</v>
      </c>
      <c r="R59" s="10">
        <f>R36*R$60</f>
        <v>66.282782581193089</v>
      </c>
      <c r="S59" s="10"/>
      <c r="T59" s="10">
        <f t="shared" si="32"/>
        <v>23.057336578097942</v>
      </c>
      <c r="U59" s="10">
        <f t="shared" si="32"/>
        <v>22.294737049596232</v>
      </c>
      <c r="V59" s="10">
        <f t="shared" si="32"/>
        <v>47.618755653587478</v>
      </c>
      <c r="W59" s="10">
        <f t="shared" si="32"/>
        <v>88.230785222976934</v>
      </c>
      <c r="X59" s="10">
        <f>X36*X$60</f>
        <v>159.20467190461548</v>
      </c>
      <c r="Y59" s="10"/>
      <c r="Z59" s="10"/>
      <c r="AA59" s="10"/>
      <c r="AB59" s="10"/>
      <c r="AC59" s="10"/>
      <c r="AD59" s="10"/>
      <c r="AE59" s="10"/>
      <c r="AF59" s="10"/>
      <c r="AG59" s="10"/>
      <c r="AH59" s="10"/>
      <c r="AI59" s="10"/>
      <c r="AJ59" s="10"/>
      <c r="AK59" s="10"/>
      <c r="AL59" s="10"/>
      <c r="AM59" s="10"/>
      <c r="AN59" s="10"/>
      <c r="AO59" s="10"/>
      <c r="AP59" s="10"/>
      <c r="AQ59" s="10"/>
      <c r="AR59" s="10"/>
    </row>
    <row r="60" spans="1:44">
      <c r="A60" s="199" t="s">
        <v>16</v>
      </c>
      <c r="B60" s="200"/>
      <c r="C60" s="3" t="s">
        <v>5</v>
      </c>
      <c r="D60" s="5" t="s">
        <v>149</v>
      </c>
      <c r="E60" s="5"/>
      <c r="F60" s="49">
        <f>SUM(F51:F59)</f>
        <v>172.96929261731697</v>
      </c>
      <c r="G60" s="49">
        <f>F60*(1+(F22+G22)/2*((G7/F7)^(1/(G$4-F$4))-1))^(G$4-F$4)</f>
        <v>181.28232716149964</v>
      </c>
      <c r="H60" s="49">
        <f>G60*(1+(G22+H22)/2*((H7/G7)^(1/(H$4-G$4))-1))^(H$4-G$4)</f>
        <v>184.29723790238876</v>
      </c>
      <c r="I60" s="49">
        <f>G60*(1+(G22+I22)/2*((I7/G7)^(1/(I$4-G$4))-1))^(I$4-G$4)</f>
        <v>175.28658620717053</v>
      </c>
      <c r="J60" s="49">
        <f>I60*(1+(I22+J22)/2*((J7/I7)^(1/(J$4-I$4))-1))^(J$4-I$4)</f>
        <v>241.7011807972473</v>
      </c>
      <c r="K60" s="49">
        <f>J60*(1+(J22+K22)/2*((K7/J7)^(1/(K$4-J$4))-1))^(K$4-J$4)</f>
        <v>348.42987225104758</v>
      </c>
      <c r="L60" s="49">
        <f>K60*(1+(K22+L22)/2*((L7/K7)^(1/(L$4-K$4))-1))^(L$4-K$4)</f>
        <v>521.13118253529069</v>
      </c>
      <c r="N60" s="85">
        <f>$G60</f>
        <v>181.28232716149964</v>
      </c>
      <c r="O60" s="49">
        <f>N60*(1+(N22+O22)/2*((O7/N7)^(1/(O$4-N$4))-1))^(O$4-N$4)</f>
        <v>175.28658620717053</v>
      </c>
      <c r="P60" s="49">
        <f>O60*(1+(O22+P22)/2*((P7/O7)^(1/(P$4-O$4))-1))^(P$4-O$4)</f>
        <v>241.7011807972473</v>
      </c>
      <c r="Q60" s="49">
        <f>P60*(1+(P22+Q22)/2*((Q7/P7)^(1/(Q$4-P$4))-1))^(Q$4-P$4)</f>
        <v>348.42987225104758</v>
      </c>
      <c r="R60" s="49">
        <f>Q60*(1+(Q22+R22)/2*((R7/Q7)^(1/(R$4-Q$4))-1))^(R$4-Q$4)</f>
        <v>521.13118253529069</v>
      </c>
      <c r="T60" s="85">
        <f>$G60</f>
        <v>181.28232716149964</v>
      </c>
      <c r="U60" s="49">
        <f>T60*(1+(T22+U22)/2*((U7/T7)^(1/(U$4-T$4))-1))^(U$4-T$4)</f>
        <v>175.28658620717053</v>
      </c>
      <c r="V60" s="49">
        <f>U60*(1+(U22+V22)/2*((V7/U7)^(1/(V$4-U$4))-1))^(V$4-U$4)</f>
        <v>241.7011807972473</v>
      </c>
      <c r="W60" s="49">
        <f>V60*(1+(V22+W22)/2*((W7/V7)^(1/(W$4-V$4))-1))^(W$4-V$4)</f>
        <v>348.42987225104758</v>
      </c>
      <c r="X60" s="49">
        <f>W60*(1+(W22+X22)/2*((X7/W7)^(1/(X$4-W$4))-1))^(X$4-W$4)</f>
        <v>521.13118253529069</v>
      </c>
    </row>
    <row r="61" spans="1:44">
      <c r="A61" s="199" t="s">
        <v>16</v>
      </c>
      <c r="B61" s="200"/>
      <c r="C61" s="3"/>
      <c r="D61" s="5"/>
      <c r="E61" s="5"/>
      <c r="F61" s="49"/>
      <c r="G61" s="10"/>
      <c r="H61" s="10"/>
      <c r="I61" s="10"/>
      <c r="J61" s="10"/>
      <c r="K61" s="10"/>
      <c r="L61" s="10"/>
    </row>
    <row r="62" spans="1:44" ht="15.75" thickBot="1">
      <c r="A62" s="199" t="s">
        <v>16</v>
      </c>
      <c r="B62" s="14" t="s">
        <v>148</v>
      </c>
      <c r="C62" s="14"/>
      <c r="D62" s="14"/>
    </row>
    <row r="63" spans="1:44">
      <c r="A63" s="199" t="s">
        <v>16</v>
      </c>
      <c r="B63" s="199" t="s">
        <v>151</v>
      </c>
      <c r="C63" s="199" t="s">
        <v>152</v>
      </c>
      <c r="D63" s="199" t="s">
        <v>147</v>
      </c>
      <c r="F63" s="51">
        <f>[2]Calib_1011!$AC$36</f>
        <v>0.39784000000000003</v>
      </c>
      <c r="G63" s="65">
        <f t="shared" ref="G63:H72" si="33">F63</f>
        <v>0.39784000000000003</v>
      </c>
      <c r="H63" s="65">
        <f t="shared" si="33"/>
        <v>0.39784000000000003</v>
      </c>
      <c r="I63" s="65">
        <f t="shared" ref="I63:L72" si="34">IF($D$4,U63,O63)</f>
        <v>0.39784000000000003</v>
      </c>
      <c r="J63" s="65">
        <f t="shared" si="34"/>
        <v>0.39784000000000003</v>
      </c>
      <c r="K63" s="65">
        <f t="shared" si="34"/>
        <v>0.39784000000000003</v>
      </c>
      <c r="L63" s="65">
        <f t="shared" si="34"/>
        <v>0.39784000000000003</v>
      </c>
      <c r="M63" s="200"/>
      <c r="N63" s="85">
        <f>$G63</f>
        <v>0.39784000000000003</v>
      </c>
      <c r="O63" s="47">
        <f t="shared" ref="O63:Q72" si="35">N63</f>
        <v>0.39784000000000003</v>
      </c>
      <c r="P63" s="47">
        <f t="shared" si="35"/>
        <v>0.39784000000000003</v>
      </c>
      <c r="Q63" s="47">
        <f t="shared" si="35"/>
        <v>0.39784000000000003</v>
      </c>
      <c r="R63" s="47">
        <f>P63</f>
        <v>0.39784000000000003</v>
      </c>
      <c r="S63" s="250"/>
      <c r="T63" s="85">
        <f>$G63</f>
        <v>0.39784000000000003</v>
      </c>
      <c r="U63" s="47">
        <f t="shared" ref="U63:W72" si="36">T63</f>
        <v>0.39784000000000003</v>
      </c>
      <c r="V63" s="47">
        <f t="shared" si="36"/>
        <v>0.39784000000000003</v>
      </c>
      <c r="W63" s="47">
        <f t="shared" si="36"/>
        <v>0.39784000000000003</v>
      </c>
      <c r="X63" s="47">
        <f>V63</f>
        <v>0.39784000000000003</v>
      </c>
      <c r="Y63" s="250"/>
      <c r="Z63" s="250"/>
      <c r="AA63" s="250"/>
      <c r="AB63" s="250"/>
      <c r="AC63" s="250"/>
      <c r="AD63" s="250"/>
      <c r="AE63" s="250"/>
      <c r="AF63" s="250"/>
      <c r="AG63" s="250"/>
      <c r="AH63" s="250"/>
      <c r="AI63" s="250"/>
      <c r="AJ63" s="250"/>
      <c r="AK63" s="250"/>
      <c r="AL63" s="250"/>
      <c r="AM63" s="250"/>
      <c r="AN63" s="250"/>
      <c r="AO63" s="250"/>
      <c r="AP63" s="250"/>
      <c r="AQ63" s="250"/>
      <c r="AR63" s="250"/>
    </row>
    <row r="64" spans="1:44">
      <c r="A64" s="199" t="s">
        <v>16</v>
      </c>
      <c r="B64" s="199" t="s">
        <v>412</v>
      </c>
      <c r="C64" s="199" t="s">
        <v>421</v>
      </c>
      <c r="D64" s="199" t="s">
        <v>147</v>
      </c>
      <c r="F64" s="51">
        <f>[2]Calib_1011!$AC$35</f>
        <v>1.4841</v>
      </c>
      <c r="G64" s="65">
        <f t="shared" si="33"/>
        <v>1.4841</v>
      </c>
      <c r="H64" s="65">
        <f t="shared" si="33"/>
        <v>1.4841</v>
      </c>
      <c r="I64" s="65">
        <f t="shared" si="34"/>
        <v>1.4841</v>
      </c>
      <c r="J64" s="65">
        <f t="shared" si="34"/>
        <v>1.4841</v>
      </c>
      <c r="K64" s="65">
        <f t="shared" si="34"/>
        <v>1.4841</v>
      </c>
      <c r="L64" s="65">
        <f t="shared" si="34"/>
        <v>1.4841</v>
      </c>
      <c r="M64" s="200"/>
      <c r="N64" s="85">
        <f t="shared" ref="N64:N70" si="37">$G64</f>
        <v>1.4841</v>
      </c>
      <c r="O64" s="47">
        <f t="shared" si="35"/>
        <v>1.4841</v>
      </c>
      <c r="P64" s="47">
        <f t="shared" si="35"/>
        <v>1.4841</v>
      </c>
      <c r="Q64" s="47">
        <f t="shared" si="35"/>
        <v>1.4841</v>
      </c>
      <c r="R64" s="47">
        <f t="shared" ref="R64:R70" si="38">P64</f>
        <v>1.4841</v>
      </c>
      <c r="S64" s="250"/>
      <c r="T64" s="85">
        <f t="shared" ref="T64:T70" si="39">$G64</f>
        <v>1.4841</v>
      </c>
      <c r="U64" s="47">
        <f t="shared" si="36"/>
        <v>1.4841</v>
      </c>
      <c r="V64" s="47">
        <f t="shared" si="36"/>
        <v>1.4841</v>
      </c>
      <c r="W64" s="47">
        <f t="shared" si="36"/>
        <v>1.4841</v>
      </c>
      <c r="X64" s="47">
        <f t="shared" ref="X64:X70" si="40">V64</f>
        <v>1.4841</v>
      </c>
      <c r="Y64" s="250"/>
      <c r="Z64" s="250"/>
      <c r="AA64" s="250"/>
      <c r="AB64" s="250"/>
      <c r="AC64" s="250"/>
      <c r="AD64" s="250"/>
      <c r="AE64" s="250"/>
      <c r="AF64" s="250"/>
      <c r="AG64" s="250"/>
      <c r="AH64" s="250"/>
      <c r="AI64" s="250"/>
      <c r="AJ64" s="250"/>
      <c r="AK64" s="250"/>
      <c r="AL64" s="250"/>
      <c r="AM64" s="250"/>
      <c r="AN64" s="250"/>
      <c r="AO64" s="250"/>
      <c r="AP64" s="250"/>
      <c r="AQ64" s="250"/>
      <c r="AR64" s="250"/>
    </row>
    <row r="65" spans="1:44">
      <c r="A65" s="199" t="s">
        <v>16</v>
      </c>
      <c r="B65" s="199" t="s">
        <v>413</v>
      </c>
      <c r="C65" s="199" t="s">
        <v>422</v>
      </c>
      <c r="D65" s="199" t="s">
        <v>147</v>
      </c>
      <c r="F65" s="51">
        <f>[2]Calib_1011!$AC27</f>
        <v>2.5009999999999999</v>
      </c>
      <c r="G65" s="65">
        <f t="shared" si="33"/>
        <v>2.5009999999999999</v>
      </c>
      <c r="H65" s="65">
        <f t="shared" si="33"/>
        <v>2.5009999999999999</v>
      </c>
      <c r="I65" s="65">
        <f t="shared" si="34"/>
        <v>2.5009999999999999</v>
      </c>
      <c r="J65" s="65">
        <f t="shared" si="34"/>
        <v>2.5009999999999999</v>
      </c>
      <c r="K65" s="65">
        <f t="shared" si="34"/>
        <v>2.5009999999999999</v>
      </c>
      <c r="L65" s="65">
        <f t="shared" si="34"/>
        <v>2.5009999999999999</v>
      </c>
      <c r="M65" s="200"/>
      <c r="N65" s="85">
        <f t="shared" si="37"/>
        <v>2.5009999999999999</v>
      </c>
      <c r="O65" s="47">
        <f t="shared" si="35"/>
        <v>2.5009999999999999</v>
      </c>
      <c r="P65" s="47">
        <f t="shared" si="35"/>
        <v>2.5009999999999999</v>
      </c>
      <c r="Q65" s="47">
        <f t="shared" si="35"/>
        <v>2.5009999999999999</v>
      </c>
      <c r="R65" s="47">
        <f t="shared" si="38"/>
        <v>2.5009999999999999</v>
      </c>
      <c r="S65" s="250"/>
      <c r="T65" s="85">
        <f t="shared" si="39"/>
        <v>2.5009999999999999</v>
      </c>
      <c r="U65" s="47">
        <f t="shared" si="36"/>
        <v>2.5009999999999999</v>
      </c>
      <c r="V65" s="47">
        <f t="shared" si="36"/>
        <v>2.5009999999999999</v>
      </c>
      <c r="W65" s="47">
        <f t="shared" si="36"/>
        <v>2.5009999999999999</v>
      </c>
      <c r="X65" s="47">
        <f t="shared" si="40"/>
        <v>2.5009999999999999</v>
      </c>
      <c r="Y65" s="250"/>
      <c r="Z65" s="250"/>
      <c r="AA65" s="250"/>
      <c r="AB65" s="250"/>
      <c r="AC65" s="250"/>
      <c r="AD65" s="250"/>
      <c r="AE65" s="250"/>
      <c r="AF65" s="250"/>
      <c r="AG65" s="250"/>
      <c r="AH65" s="250"/>
      <c r="AI65" s="250"/>
      <c r="AJ65" s="250"/>
      <c r="AK65" s="250"/>
      <c r="AL65" s="250"/>
      <c r="AM65" s="250"/>
      <c r="AN65" s="250"/>
      <c r="AO65" s="250"/>
      <c r="AP65" s="250"/>
      <c r="AQ65" s="250"/>
      <c r="AR65" s="250"/>
    </row>
    <row r="66" spans="1:44">
      <c r="A66" s="199" t="s">
        <v>16</v>
      </c>
      <c r="B66" s="199" t="s">
        <v>414</v>
      </c>
      <c r="C66" s="199" t="s">
        <v>423</v>
      </c>
      <c r="D66" s="199" t="s">
        <v>147</v>
      </c>
      <c r="F66" s="51">
        <f>[2]Calib_1011!$AC28</f>
        <v>5.0070955734014992</v>
      </c>
      <c r="G66" s="65">
        <f t="shared" si="33"/>
        <v>5.0070955734014992</v>
      </c>
      <c r="H66" s="65">
        <f t="shared" si="33"/>
        <v>5.0070955734014992</v>
      </c>
      <c r="I66" s="65">
        <f t="shared" si="34"/>
        <v>5.0070955734014992</v>
      </c>
      <c r="J66" s="65">
        <f t="shared" si="34"/>
        <v>5.0070955734014992</v>
      </c>
      <c r="K66" s="65">
        <f t="shared" si="34"/>
        <v>5.0070955734014992</v>
      </c>
      <c r="L66" s="65">
        <f t="shared" si="34"/>
        <v>5.0070955734014992</v>
      </c>
      <c r="M66" s="200"/>
      <c r="N66" s="85">
        <f t="shared" si="37"/>
        <v>5.0070955734014992</v>
      </c>
      <c r="O66" s="47">
        <f t="shared" si="35"/>
        <v>5.0070955734014992</v>
      </c>
      <c r="P66" s="47">
        <f t="shared" si="35"/>
        <v>5.0070955734014992</v>
      </c>
      <c r="Q66" s="47">
        <f t="shared" si="35"/>
        <v>5.0070955734014992</v>
      </c>
      <c r="R66" s="47">
        <f t="shared" si="38"/>
        <v>5.0070955734014992</v>
      </c>
      <c r="S66" s="250"/>
      <c r="T66" s="85">
        <f t="shared" si="39"/>
        <v>5.0070955734014992</v>
      </c>
      <c r="U66" s="47">
        <f t="shared" si="36"/>
        <v>5.0070955734014992</v>
      </c>
      <c r="V66" s="47">
        <f t="shared" si="36"/>
        <v>5.0070955734014992</v>
      </c>
      <c r="W66" s="47">
        <f t="shared" si="36"/>
        <v>5.0070955734014992</v>
      </c>
      <c r="X66" s="47">
        <f t="shared" si="40"/>
        <v>5.0070955734014992</v>
      </c>
      <c r="Y66" s="250"/>
      <c r="Z66" s="250"/>
      <c r="AA66" s="250"/>
      <c r="AB66" s="250"/>
      <c r="AC66" s="250"/>
      <c r="AD66" s="250"/>
      <c r="AE66" s="250"/>
      <c r="AF66" s="250"/>
      <c r="AG66" s="250"/>
      <c r="AH66" s="250"/>
      <c r="AI66" s="250"/>
      <c r="AJ66" s="250"/>
      <c r="AK66" s="250"/>
      <c r="AL66" s="250"/>
      <c r="AM66" s="250"/>
      <c r="AN66" s="250"/>
      <c r="AO66" s="250"/>
      <c r="AP66" s="250"/>
      <c r="AQ66" s="250"/>
      <c r="AR66" s="250"/>
    </row>
    <row r="67" spans="1:44">
      <c r="A67" s="199" t="s">
        <v>16</v>
      </c>
      <c r="B67" s="199" t="s">
        <v>415</v>
      </c>
      <c r="C67" s="199" t="s">
        <v>424</v>
      </c>
      <c r="D67" s="199" t="s">
        <v>147</v>
      </c>
      <c r="F67" s="51">
        <f>[2]Calib_1011!$AC29</f>
        <v>7.9193584801965402</v>
      </c>
      <c r="G67" s="65">
        <f t="shared" si="33"/>
        <v>7.9193584801965402</v>
      </c>
      <c r="H67" s="65">
        <f t="shared" si="33"/>
        <v>7.9193584801965402</v>
      </c>
      <c r="I67" s="65">
        <f t="shared" si="34"/>
        <v>7.9193584801965402</v>
      </c>
      <c r="J67" s="65">
        <f t="shared" si="34"/>
        <v>7.9193584801965402</v>
      </c>
      <c r="K67" s="65">
        <f t="shared" si="34"/>
        <v>7.9193584801965402</v>
      </c>
      <c r="L67" s="65">
        <f t="shared" si="34"/>
        <v>7.9193584801965402</v>
      </c>
      <c r="M67" s="200"/>
      <c r="N67" s="85">
        <f t="shared" si="37"/>
        <v>7.9193584801965402</v>
      </c>
      <c r="O67" s="47">
        <f t="shared" si="35"/>
        <v>7.9193584801965402</v>
      </c>
      <c r="P67" s="47">
        <f t="shared" si="35"/>
        <v>7.9193584801965402</v>
      </c>
      <c r="Q67" s="47">
        <f t="shared" si="35"/>
        <v>7.9193584801965402</v>
      </c>
      <c r="R67" s="47">
        <f t="shared" si="38"/>
        <v>7.9193584801965402</v>
      </c>
      <c r="S67" s="250"/>
      <c r="T67" s="85">
        <f t="shared" si="39"/>
        <v>7.9193584801965402</v>
      </c>
      <c r="U67" s="47">
        <f t="shared" si="36"/>
        <v>7.9193584801965402</v>
      </c>
      <c r="V67" s="47">
        <f t="shared" si="36"/>
        <v>7.9193584801965402</v>
      </c>
      <c r="W67" s="47">
        <f t="shared" si="36"/>
        <v>7.9193584801965402</v>
      </c>
      <c r="X67" s="47">
        <f t="shared" si="40"/>
        <v>7.9193584801965402</v>
      </c>
      <c r="Y67" s="250"/>
      <c r="Z67" s="250"/>
      <c r="AA67" s="250"/>
      <c r="AB67" s="250"/>
      <c r="AC67" s="250"/>
      <c r="AD67" s="250"/>
      <c r="AE67" s="250"/>
      <c r="AF67" s="250"/>
      <c r="AG67" s="250"/>
      <c r="AH67" s="250"/>
      <c r="AI67" s="250"/>
      <c r="AJ67" s="250"/>
      <c r="AK67" s="250"/>
      <c r="AL67" s="250"/>
      <c r="AM67" s="250"/>
      <c r="AN67" s="250"/>
      <c r="AO67" s="250"/>
      <c r="AP67" s="250"/>
      <c r="AQ67" s="250"/>
      <c r="AR67" s="250"/>
    </row>
    <row r="68" spans="1:44">
      <c r="A68" s="199" t="s">
        <v>16</v>
      </c>
      <c r="B68" s="199" t="s">
        <v>416</v>
      </c>
      <c r="C68" s="199" t="s">
        <v>425</v>
      </c>
      <c r="D68" s="199" t="s">
        <v>147</v>
      </c>
      <c r="F68" s="51">
        <f>[2]Calib_1011!$AC30</f>
        <v>10.886935146339562</v>
      </c>
      <c r="G68" s="65">
        <f t="shared" si="33"/>
        <v>10.886935146339562</v>
      </c>
      <c r="H68" s="65">
        <f t="shared" si="33"/>
        <v>10.886935146339562</v>
      </c>
      <c r="I68" s="65">
        <f t="shared" si="34"/>
        <v>10.886935146339562</v>
      </c>
      <c r="J68" s="65">
        <f t="shared" si="34"/>
        <v>10.886935146339562</v>
      </c>
      <c r="K68" s="65">
        <f t="shared" si="34"/>
        <v>10.886935146339562</v>
      </c>
      <c r="L68" s="65">
        <f t="shared" si="34"/>
        <v>10.886935146339562</v>
      </c>
      <c r="M68" s="200"/>
      <c r="N68" s="85">
        <f t="shared" si="37"/>
        <v>10.886935146339562</v>
      </c>
      <c r="O68" s="47">
        <f t="shared" si="35"/>
        <v>10.886935146339562</v>
      </c>
      <c r="P68" s="47">
        <f t="shared" si="35"/>
        <v>10.886935146339562</v>
      </c>
      <c r="Q68" s="47">
        <f t="shared" si="35"/>
        <v>10.886935146339562</v>
      </c>
      <c r="R68" s="47">
        <f t="shared" si="38"/>
        <v>10.886935146339562</v>
      </c>
      <c r="S68" s="250"/>
      <c r="T68" s="85">
        <f t="shared" si="39"/>
        <v>10.886935146339562</v>
      </c>
      <c r="U68" s="47">
        <f t="shared" si="36"/>
        <v>10.886935146339562</v>
      </c>
      <c r="V68" s="47">
        <f t="shared" si="36"/>
        <v>10.886935146339562</v>
      </c>
      <c r="W68" s="47">
        <f t="shared" si="36"/>
        <v>10.886935146339562</v>
      </c>
      <c r="X68" s="47">
        <f t="shared" si="40"/>
        <v>10.886935146339562</v>
      </c>
      <c r="Y68" s="250"/>
      <c r="Z68" s="250"/>
      <c r="AA68" s="250"/>
      <c r="AB68" s="250"/>
      <c r="AC68" s="250"/>
      <c r="AD68" s="250"/>
      <c r="AE68" s="250"/>
      <c r="AF68" s="250"/>
      <c r="AG68" s="250"/>
      <c r="AH68" s="250"/>
      <c r="AI68" s="250"/>
      <c r="AJ68" s="250"/>
      <c r="AK68" s="250"/>
      <c r="AL68" s="250"/>
      <c r="AM68" s="250"/>
      <c r="AN68" s="250"/>
      <c r="AO68" s="250"/>
      <c r="AP68" s="250"/>
      <c r="AQ68" s="250"/>
      <c r="AR68" s="250"/>
    </row>
    <row r="69" spans="1:44">
      <c r="A69" s="199" t="s">
        <v>16</v>
      </c>
      <c r="B69" s="199" t="s">
        <v>417</v>
      </c>
      <c r="C69" s="199" t="s">
        <v>426</v>
      </c>
      <c r="D69" s="199" t="s">
        <v>147</v>
      </c>
      <c r="F69" s="51">
        <f>[2]Calib_1011!$AC31</f>
        <v>19.520776457571557</v>
      </c>
      <c r="G69" s="65">
        <f t="shared" si="33"/>
        <v>19.520776457571557</v>
      </c>
      <c r="H69" s="65">
        <f t="shared" si="33"/>
        <v>19.520776457571557</v>
      </c>
      <c r="I69" s="65">
        <f t="shared" si="34"/>
        <v>19.520776457571557</v>
      </c>
      <c r="J69" s="65">
        <f t="shared" si="34"/>
        <v>19.520776457571557</v>
      </c>
      <c r="K69" s="65">
        <f t="shared" si="34"/>
        <v>19.520776457571557</v>
      </c>
      <c r="L69" s="65">
        <f t="shared" si="34"/>
        <v>19.520776457571557</v>
      </c>
      <c r="M69" s="200"/>
      <c r="N69" s="85">
        <f t="shared" si="37"/>
        <v>19.520776457571557</v>
      </c>
      <c r="O69" s="47">
        <f t="shared" si="35"/>
        <v>19.520776457571557</v>
      </c>
      <c r="P69" s="47">
        <f t="shared" si="35"/>
        <v>19.520776457571557</v>
      </c>
      <c r="Q69" s="47">
        <f t="shared" si="35"/>
        <v>19.520776457571557</v>
      </c>
      <c r="R69" s="47">
        <f t="shared" si="38"/>
        <v>19.520776457571557</v>
      </c>
      <c r="S69" s="250"/>
      <c r="T69" s="85">
        <f t="shared" si="39"/>
        <v>19.520776457571557</v>
      </c>
      <c r="U69" s="47">
        <f t="shared" si="36"/>
        <v>19.520776457571557</v>
      </c>
      <c r="V69" s="47">
        <f t="shared" si="36"/>
        <v>19.520776457571557</v>
      </c>
      <c r="W69" s="47">
        <f t="shared" si="36"/>
        <v>19.520776457571557</v>
      </c>
      <c r="X69" s="47">
        <f t="shared" si="40"/>
        <v>19.520776457571557</v>
      </c>
      <c r="Y69" s="250"/>
      <c r="Z69" s="250"/>
      <c r="AA69" s="250"/>
      <c r="AB69" s="250"/>
      <c r="AC69" s="250"/>
      <c r="AD69" s="250"/>
      <c r="AE69" s="250"/>
      <c r="AF69" s="250"/>
      <c r="AG69" s="250"/>
      <c r="AH69" s="250"/>
      <c r="AI69" s="250"/>
      <c r="AJ69" s="250"/>
      <c r="AK69" s="250"/>
      <c r="AL69" s="250"/>
      <c r="AM69" s="250"/>
      <c r="AN69" s="250"/>
      <c r="AO69" s="250"/>
      <c r="AP69" s="250"/>
      <c r="AQ69" s="250"/>
      <c r="AR69" s="250"/>
    </row>
    <row r="70" spans="1:44">
      <c r="A70" s="199" t="s">
        <v>16</v>
      </c>
      <c r="B70" s="199" t="s">
        <v>418</v>
      </c>
      <c r="C70" s="199" t="s">
        <v>427</v>
      </c>
      <c r="D70" s="199" t="s">
        <v>147</v>
      </c>
      <c r="F70" s="51">
        <f>[2]Calib_1011!$AC32</f>
        <v>17.889918497338776</v>
      </c>
      <c r="G70" s="65">
        <f t="shared" si="33"/>
        <v>17.889918497338776</v>
      </c>
      <c r="H70" s="65">
        <f t="shared" si="33"/>
        <v>17.889918497338776</v>
      </c>
      <c r="I70" s="65">
        <f t="shared" si="34"/>
        <v>17.889918497338776</v>
      </c>
      <c r="J70" s="65">
        <f t="shared" si="34"/>
        <v>17.889918497338776</v>
      </c>
      <c r="K70" s="65">
        <f t="shared" si="34"/>
        <v>17.889918497338776</v>
      </c>
      <c r="L70" s="65">
        <f t="shared" si="34"/>
        <v>17.889918497338776</v>
      </c>
      <c r="M70" s="200"/>
      <c r="N70" s="85">
        <f t="shared" si="37"/>
        <v>17.889918497338776</v>
      </c>
      <c r="O70" s="47">
        <f t="shared" si="35"/>
        <v>17.889918497338776</v>
      </c>
      <c r="P70" s="47">
        <f t="shared" si="35"/>
        <v>17.889918497338776</v>
      </c>
      <c r="Q70" s="47">
        <f t="shared" si="35"/>
        <v>17.889918497338776</v>
      </c>
      <c r="R70" s="47">
        <f t="shared" si="38"/>
        <v>17.889918497338776</v>
      </c>
      <c r="S70" s="250"/>
      <c r="T70" s="85">
        <f t="shared" si="39"/>
        <v>17.889918497338776</v>
      </c>
      <c r="U70" s="47">
        <f t="shared" si="36"/>
        <v>17.889918497338776</v>
      </c>
      <c r="V70" s="47">
        <f t="shared" si="36"/>
        <v>17.889918497338776</v>
      </c>
      <c r="W70" s="47">
        <f t="shared" si="36"/>
        <v>17.889918497338776</v>
      </c>
      <c r="X70" s="47">
        <f t="shared" si="40"/>
        <v>17.889918497338776</v>
      </c>
      <c r="Y70" s="250"/>
      <c r="Z70" s="250"/>
      <c r="AA70" s="250"/>
      <c r="AB70" s="250"/>
      <c r="AC70" s="250"/>
      <c r="AD70" s="250"/>
      <c r="AE70" s="250"/>
      <c r="AF70" s="250"/>
      <c r="AG70" s="250"/>
      <c r="AH70" s="250"/>
      <c r="AI70" s="250"/>
      <c r="AJ70" s="250"/>
      <c r="AK70" s="250"/>
      <c r="AL70" s="250"/>
      <c r="AM70" s="250"/>
      <c r="AN70" s="250"/>
      <c r="AO70" s="250"/>
      <c r="AP70" s="250"/>
      <c r="AQ70" s="250"/>
      <c r="AR70" s="250"/>
    </row>
    <row r="71" spans="1:44">
      <c r="A71" s="199" t="s">
        <v>16</v>
      </c>
      <c r="B71" s="199" t="s">
        <v>419</v>
      </c>
      <c r="C71" s="199" t="s">
        <v>428</v>
      </c>
      <c r="D71" s="199" t="s">
        <v>147</v>
      </c>
      <c r="F71" s="51">
        <f>[2]Calib_1011!$AC33</f>
        <v>18.402975262404723</v>
      </c>
      <c r="G71" s="65">
        <f t="shared" si="33"/>
        <v>18.402975262404723</v>
      </c>
      <c r="H71" s="65">
        <f t="shared" si="33"/>
        <v>18.402975262404723</v>
      </c>
      <c r="I71" s="65">
        <f t="shared" si="34"/>
        <v>18.402975262404723</v>
      </c>
      <c r="J71" s="65">
        <f t="shared" si="34"/>
        <v>18.402975262404723</v>
      </c>
      <c r="K71" s="65">
        <f t="shared" si="34"/>
        <v>18.402975262404723</v>
      </c>
      <c r="L71" s="65">
        <f t="shared" si="34"/>
        <v>18.402975262404723</v>
      </c>
      <c r="M71" s="200"/>
      <c r="N71" s="85">
        <f>$G71</f>
        <v>18.402975262404723</v>
      </c>
      <c r="O71" s="47">
        <f t="shared" si="35"/>
        <v>18.402975262404723</v>
      </c>
      <c r="P71" s="47">
        <f t="shared" si="35"/>
        <v>18.402975262404723</v>
      </c>
      <c r="Q71" s="47">
        <f t="shared" si="35"/>
        <v>18.402975262404723</v>
      </c>
      <c r="R71" s="47">
        <f>P71</f>
        <v>18.402975262404723</v>
      </c>
      <c r="S71" s="250"/>
      <c r="T71" s="85">
        <f>$G71</f>
        <v>18.402975262404723</v>
      </c>
      <c r="U71" s="47">
        <f t="shared" si="36"/>
        <v>18.402975262404723</v>
      </c>
      <c r="V71" s="47">
        <f t="shared" si="36"/>
        <v>18.402975262404723</v>
      </c>
      <c r="W71" s="47">
        <f t="shared" si="36"/>
        <v>18.402975262404723</v>
      </c>
      <c r="X71" s="47">
        <f>V71</f>
        <v>18.402975262404723</v>
      </c>
      <c r="Y71" s="250"/>
      <c r="Z71" s="250"/>
      <c r="AA71" s="250"/>
      <c r="AB71" s="250"/>
      <c r="AC71" s="250"/>
      <c r="AD71" s="250"/>
      <c r="AE71" s="250"/>
      <c r="AF71" s="250"/>
      <c r="AG71" s="250"/>
      <c r="AH71" s="250"/>
      <c r="AI71" s="250"/>
      <c r="AJ71" s="250"/>
      <c r="AK71" s="250"/>
      <c r="AL71" s="250"/>
      <c r="AM71" s="250"/>
      <c r="AN71" s="250"/>
      <c r="AO71" s="250"/>
      <c r="AP71" s="250"/>
      <c r="AQ71" s="250"/>
      <c r="AR71" s="250"/>
    </row>
    <row r="72" spans="1:44">
      <c r="A72" s="199" t="s">
        <v>16</v>
      </c>
      <c r="B72" s="199" t="s">
        <v>420</v>
      </c>
      <c r="C72" s="199" t="s">
        <v>429</v>
      </c>
      <c r="D72" s="199" t="s">
        <v>147</v>
      </c>
      <c r="F72" s="51">
        <f>[2]Calib_1011!$AC34</f>
        <v>21.907017031495844</v>
      </c>
      <c r="G72" s="65">
        <f t="shared" si="33"/>
        <v>21.907017031495844</v>
      </c>
      <c r="H72" s="65">
        <f t="shared" si="33"/>
        <v>21.907017031495844</v>
      </c>
      <c r="I72" s="65">
        <f t="shared" si="34"/>
        <v>21.907017031495844</v>
      </c>
      <c r="J72" s="65">
        <f t="shared" si="34"/>
        <v>21.907017031495844</v>
      </c>
      <c r="K72" s="65">
        <f t="shared" si="34"/>
        <v>21.907017031495844</v>
      </c>
      <c r="L72" s="65">
        <f t="shared" si="34"/>
        <v>21.907017031495844</v>
      </c>
      <c r="M72" s="200"/>
      <c r="N72" s="85">
        <f>$G72</f>
        <v>21.907017031495844</v>
      </c>
      <c r="O72" s="47">
        <f t="shared" si="35"/>
        <v>21.907017031495844</v>
      </c>
      <c r="P72" s="47">
        <f t="shared" si="35"/>
        <v>21.907017031495844</v>
      </c>
      <c r="Q72" s="47">
        <f t="shared" si="35"/>
        <v>21.907017031495844</v>
      </c>
      <c r="R72" s="47">
        <f>P72</f>
        <v>21.907017031495844</v>
      </c>
      <c r="S72" s="250"/>
      <c r="T72" s="85">
        <f>$G72</f>
        <v>21.907017031495844</v>
      </c>
      <c r="U72" s="47">
        <f t="shared" si="36"/>
        <v>21.907017031495844</v>
      </c>
      <c r="V72" s="47">
        <f t="shared" si="36"/>
        <v>21.907017031495844</v>
      </c>
      <c r="W72" s="47">
        <f t="shared" si="36"/>
        <v>21.907017031495844</v>
      </c>
      <c r="X72" s="47">
        <f>V72</f>
        <v>21.907017031495844</v>
      </c>
      <c r="Y72" s="250"/>
      <c r="Z72" s="250"/>
      <c r="AA72" s="250"/>
      <c r="AB72" s="250"/>
      <c r="AC72" s="250"/>
      <c r="AD72" s="250"/>
      <c r="AE72" s="250"/>
      <c r="AF72" s="250"/>
      <c r="AG72" s="250"/>
      <c r="AH72" s="250"/>
      <c r="AI72" s="250"/>
      <c r="AJ72" s="250"/>
      <c r="AK72" s="250"/>
      <c r="AL72" s="250"/>
      <c r="AM72" s="250"/>
      <c r="AN72" s="250"/>
      <c r="AO72" s="250"/>
      <c r="AP72" s="250"/>
      <c r="AQ72" s="250"/>
      <c r="AR72" s="250"/>
    </row>
    <row r="73" spans="1:44">
      <c r="A73" s="199" t="s">
        <v>16</v>
      </c>
      <c r="N73" s="204">
        <f>SUM(N86:N88)/N89</f>
        <v>0.42007695406549028</v>
      </c>
      <c r="AA73" s="199" t="s">
        <v>476</v>
      </c>
    </row>
    <row r="74" spans="1:44">
      <c r="A74" s="199" t="s">
        <v>16</v>
      </c>
      <c r="N74" s="5" t="s">
        <v>41</v>
      </c>
      <c r="T74" s="5" t="s">
        <v>197</v>
      </c>
      <c r="AA74" s="7" t="str">
        <f>N74</f>
        <v>Reference</v>
      </c>
      <c r="AG74" s="7" t="s">
        <v>633</v>
      </c>
    </row>
    <row r="75" spans="1:44" ht="15.75" thickBot="1">
      <c r="A75" s="199" t="s">
        <v>16</v>
      </c>
      <c r="B75" s="14" t="s">
        <v>210</v>
      </c>
      <c r="C75" s="14"/>
      <c r="D75" s="14"/>
      <c r="E75" s="279" t="s">
        <v>632</v>
      </c>
      <c r="F75" s="199">
        <f t="shared" ref="F75:L75" si="41">F$4</f>
        <v>2012</v>
      </c>
      <c r="G75" s="199">
        <f t="shared" si="41"/>
        <v>2015</v>
      </c>
      <c r="H75" s="199">
        <f t="shared" si="41"/>
        <v>2017</v>
      </c>
      <c r="I75" s="199">
        <f t="shared" si="41"/>
        <v>2020</v>
      </c>
      <c r="J75" s="199">
        <f t="shared" si="41"/>
        <v>2030</v>
      </c>
      <c r="K75" s="199">
        <f t="shared" si="41"/>
        <v>2040</v>
      </c>
      <c r="L75" s="199">
        <f t="shared" si="41"/>
        <v>2050</v>
      </c>
      <c r="N75" s="7">
        <f t="shared" ref="N75:S75" si="42">N$4</f>
        <v>2015</v>
      </c>
      <c r="O75" s="7">
        <f t="shared" si="42"/>
        <v>2020</v>
      </c>
      <c r="P75" s="7">
        <f t="shared" si="42"/>
        <v>2030</v>
      </c>
      <c r="Q75" s="7">
        <f t="shared" si="42"/>
        <v>2040</v>
      </c>
      <c r="R75" s="7">
        <f t="shared" si="42"/>
        <v>2050</v>
      </c>
      <c r="S75" s="199">
        <f t="shared" si="42"/>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199" t="s">
        <v>16</v>
      </c>
      <c r="B76" s="200" t="str">
        <f>B92</f>
        <v>TFLCV</v>
      </c>
      <c r="C76" s="200" t="str">
        <f>C92</f>
        <v>Transport Freight - LCV</v>
      </c>
      <c r="D76" s="199" t="s">
        <v>149</v>
      </c>
      <c r="E76" s="280">
        <v>21.7</v>
      </c>
      <c r="F76" s="251">
        <f>F63*F92</f>
        <v>17.151878492126293</v>
      </c>
      <c r="G76" s="251">
        <f t="shared" ref="G76:L76" si="43">G63*G92</f>
        <v>17.664096000000001</v>
      </c>
      <c r="H76" s="251">
        <f t="shared" si="43"/>
        <v>18.039187972530819</v>
      </c>
      <c r="I76" s="251">
        <f t="shared" si="43"/>
        <v>17.381664585844597</v>
      </c>
      <c r="J76" s="251">
        <f t="shared" si="43"/>
        <v>23.967429256993974</v>
      </c>
      <c r="K76" s="251">
        <f t="shared" si="43"/>
        <v>34.550796511026142</v>
      </c>
      <c r="L76" s="251">
        <f t="shared" si="43"/>
        <v>51.676101497847732</v>
      </c>
      <c r="M76" s="8"/>
      <c r="N76" s="251">
        <f>N43</f>
        <v>17.976210697254331</v>
      </c>
      <c r="O76" s="251">
        <f>O43</f>
        <v>17.381664585844597</v>
      </c>
      <c r="P76" s="251">
        <f>P43</f>
        <v>23.967429256993974</v>
      </c>
      <c r="Q76" s="251">
        <f>Q43</f>
        <v>34.550796511026142</v>
      </c>
      <c r="R76" s="251">
        <f>R43</f>
        <v>51.676101497847725</v>
      </c>
      <c r="S76" s="8"/>
      <c r="T76" s="251">
        <f>T43</f>
        <v>17.976210697254331</v>
      </c>
      <c r="U76" s="251">
        <f>U43</f>
        <v>17.381664585844597</v>
      </c>
      <c r="V76" s="251">
        <f>V43</f>
        <v>23.967429256993974</v>
      </c>
      <c r="W76" s="251">
        <f>W43</f>
        <v>34.550796511026142</v>
      </c>
      <c r="X76" s="251">
        <f>X43</f>
        <v>51.676101497847725</v>
      </c>
      <c r="Y76" s="200"/>
      <c r="Z76" s="199" t="s">
        <v>596</v>
      </c>
      <c r="AA76" s="200">
        <f>SUM(N78:N85)</f>
        <v>158.22499058340168</v>
      </c>
      <c r="AB76" s="200">
        <f>SUM(O78:O85)</f>
        <v>152.99184915757431</v>
      </c>
      <c r="AC76" s="200">
        <f>SUM(P78:P85)</f>
        <v>210.95915776484765</v>
      </c>
      <c r="AD76" s="200">
        <f>SUM(Q78:Q85)</f>
        <v>304.11300494164391</v>
      </c>
      <c r="AE76" s="200">
        <f>SUM(R78:R85)</f>
        <v>454.8483999540976</v>
      </c>
      <c r="AF76" s="200"/>
      <c r="AG76" s="200">
        <f>SUM(G78:G85)</f>
        <v>173.33384904646832</v>
      </c>
      <c r="AH76" s="200">
        <f>SUM(I78:I85)</f>
        <v>152.99184915757431</v>
      </c>
      <c r="AI76" s="200">
        <f t="shared" ref="AI76:AK76" si="44">SUM(J78:J85)</f>
        <v>194.08242514365986</v>
      </c>
      <c r="AJ76" s="200">
        <f t="shared" si="44"/>
        <v>260.19908702807061</v>
      </c>
      <c r="AK76" s="200">
        <f t="shared" si="44"/>
        <v>361.92651063067518</v>
      </c>
      <c r="AL76" s="200"/>
      <c r="AM76" s="200"/>
      <c r="AN76" s="200"/>
      <c r="AO76" s="200"/>
      <c r="AP76" s="200"/>
      <c r="AQ76" s="200"/>
      <c r="AR76" s="200"/>
    </row>
    <row r="77" spans="1:44">
      <c r="A77" s="199" t="s">
        <v>16</v>
      </c>
      <c r="B77" s="200" t="str">
        <f t="shared" ref="B77:C88" si="45">B93</f>
        <v>TFHCV1</v>
      </c>
      <c r="C77" s="200" t="str">
        <f t="shared" si="45"/>
        <v>Transport Freight - HCV1</v>
      </c>
      <c r="D77" s="199" t="s">
        <v>149</v>
      </c>
      <c r="E77" s="280">
        <v>7</v>
      </c>
      <c r="F77" s="251">
        <f t="shared" ref="F77:L77" si="46">F64*F93</f>
        <v>4.9123710000000003</v>
      </c>
      <c r="G77" s="251">
        <f t="shared" si="46"/>
        <v>5.0459399999999999</v>
      </c>
      <c r="H77" s="251">
        <f t="shared" si="46"/>
        <v>5.1201449999999999</v>
      </c>
      <c r="I77" s="251">
        <f t="shared" si="46"/>
        <v>4.7292735794685949</v>
      </c>
      <c r="J77" s="251">
        <f t="shared" si="46"/>
        <v>6.195097306326697</v>
      </c>
      <c r="K77" s="251">
        <f t="shared" si="46"/>
        <v>8.4841501729985076</v>
      </c>
      <c r="L77" s="251">
        <f t="shared" si="46"/>
        <v>12.054900530492588</v>
      </c>
      <c r="M77" s="8"/>
      <c r="N77" s="251">
        <f>N46</f>
        <v>5.1484632519767128</v>
      </c>
      <c r="O77" s="251">
        <f>O46</f>
        <v>4.9781827152301004</v>
      </c>
      <c r="P77" s="251">
        <f>P46</f>
        <v>6.8643737466223813</v>
      </c>
      <c r="Q77" s="251">
        <f>Q46</f>
        <v>9.8954951718892072</v>
      </c>
      <c r="R77" s="251">
        <f>R46</f>
        <v>14.800255406870839</v>
      </c>
      <c r="S77" s="8"/>
      <c r="T77" s="251">
        <f>T46</f>
        <v>5.1484632519767128</v>
      </c>
      <c r="U77" s="251">
        <f>U46</f>
        <v>4.7292735794685949</v>
      </c>
      <c r="V77" s="251">
        <f>V46</f>
        <v>6.1950973063266979</v>
      </c>
      <c r="W77" s="251">
        <f>W46</f>
        <v>8.4841501729985076</v>
      </c>
      <c r="X77" s="251">
        <f>X46</f>
        <v>12.054900530492588</v>
      </c>
      <c r="Y77" s="200"/>
      <c r="Z77" s="199" t="s">
        <v>631</v>
      </c>
      <c r="AA77" s="200">
        <f>N86</f>
        <v>23.057336578097942</v>
      </c>
      <c r="AB77" s="200">
        <f>O86</f>
        <v>22.294737049596232</v>
      </c>
      <c r="AC77" s="200">
        <f>P86</f>
        <v>30.742023032399672</v>
      </c>
      <c r="AD77" s="200">
        <f>Q86</f>
        <v>44.316867309403605</v>
      </c>
      <c r="AE77" s="200">
        <f>R86</f>
        <v>66.282782581193089</v>
      </c>
      <c r="AF77" s="200"/>
      <c r="AG77" s="200">
        <f>H86</f>
        <v>23.440803697006192</v>
      </c>
      <c r="AH77" s="200">
        <f>I86</f>
        <v>22.294737049596232</v>
      </c>
      <c r="AI77" s="200">
        <f t="shared" ref="AI77:AK77" si="47">J86</f>
        <v>47.618755653587478</v>
      </c>
      <c r="AJ77" s="200">
        <f t="shared" si="47"/>
        <v>88.230785222976934</v>
      </c>
      <c r="AK77" s="200">
        <f t="shared" si="47"/>
        <v>159.20467190461548</v>
      </c>
      <c r="AL77" s="200"/>
      <c r="AM77" s="200"/>
      <c r="AN77" s="200"/>
      <c r="AO77" s="200"/>
      <c r="AP77" s="200"/>
      <c r="AQ77" s="200"/>
      <c r="AR77" s="200"/>
    </row>
    <row r="78" spans="1:44">
      <c r="A78" s="199" t="s">
        <v>16</v>
      </c>
      <c r="B78" s="200" t="str">
        <f t="shared" si="45"/>
        <v>TFHCV2</v>
      </c>
      <c r="C78" s="200" t="str">
        <f t="shared" si="45"/>
        <v>Transport Freight - HCV2</v>
      </c>
      <c r="D78" s="199" t="s">
        <v>149</v>
      </c>
      <c r="E78" s="280">
        <v>2.011130021669262</v>
      </c>
      <c r="F78" s="251">
        <f t="shared" ref="F78:L78" si="48">F65*F94</f>
        <v>1.637614669131271</v>
      </c>
      <c r="G78" s="251">
        <f t="shared" si="48"/>
        <v>1.7610152149444733</v>
      </c>
      <c r="H78" s="251">
        <f t="shared" si="48"/>
        <v>1.8407596050545592</v>
      </c>
      <c r="I78" s="251">
        <f t="shared" si="48"/>
        <v>1.6595540198565117</v>
      </c>
      <c r="J78" s="251">
        <f t="shared" si="48"/>
        <v>2.1052773112044916</v>
      </c>
      <c r="K78" s="251">
        <f t="shared" si="48"/>
        <v>2.8224669694375719</v>
      </c>
      <c r="L78" s="251">
        <f t="shared" si="48"/>
        <v>3.9259385314779123</v>
      </c>
      <c r="M78" s="8"/>
      <c r="N78" s="251">
        <f>N51</f>
        <v>1.7163196641541021</v>
      </c>
      <c r="O78" s="251">
        <f>O51</f>
        <v>1.6595540198565115</v>
      </c>
      <c r="P78" s="251">
        <f>P51</f>
        <v>2.2883449034831425</v>
      </c>
      <c r="Q78" s="251">
        <f>Q51</f>
        <v>3.2988159998101585</v>
      </c>
      <c r="R78" s="251">
        <f>R51</f>
        <v>4.9338935029909345</v>
      </c>
      <c r="S78" s="8"/>
      <c r="T78" s="251">
        <f>T51</f>
        <v>1.7163196641541021</v>
      </c>
      <c r="U78" s="251">
        <f>U51</f>
        <v>1.6595540198565115</v>
      </c>
      <c r="V78" s="251">
        <f>V51</f>
        <v>2.1052773112044916</v>
      </c>
      <c r="W78" s="251">
        <f>W51</f>
        <v>2.8224669694375719</v>
      </c>
      <c r="X78" s="251">
        <f>X51</f>
        <v>3.9259385314779118</v>
      </c>
      <c r="Y78" s="200"/>
      <c r="Z78" s="200"/>
      <c r="AL78" s="200"/>
      <c r="AM78" s="200"/>
      <c r="AN78" s="200"/>
      <c r="AO78" s="200"/>
      <c r="AP78" s="200"/>
      <c r="AQ78" s="200"/>
      <c r="AR78" s="200"/>
    </row>
    <row r="79" spans="1:44">
      <c r="A79" s="199" t="s">
        <v>16</v>
      </c>
      <c r="B79" s="200" t="str">
        <f t="shared" si="45"/>
        <v>TFHCV3</v>
      </c>
      <c r="C79" s="200" t="str">
        <f t="shared" si="45"/>
        <v>Transport Freight - HCV3</v>
      </c>
      <c r="D79" s="199" t="s">
        <v>149</v>
      </c>
      <c r="E79" s="280">
        <v>16.207267472028231</v>
      </c>
      <c r="F79" s="251">
        <f t="shared" ref="F79:L79" si="49">F66*F95</f>
        <v>13.576270721867905</v>
      </c>
      <c r="G79" s="251">
        <f t="shared" si="49"/>
        <v>14.520577162864347</v>
      </c>
      <c r="H79" s="251">
        <f t="shared" si="49"/>
        <v>15.174488450030418</v>
      </c>
      <c r="I79" s="251">
        <f t="shared" si="49"/>
        <v>13.758153902644418</v>
      </c>
      <c r="J79" s="251">
        <f t="shared" si="49"/>
        <v>17.453321138531646</v>
      </c>
      <c r="K79" s="251">
        <f t="shared" si="49"/>
        <v>23.399018342295346</v>
      </c>
      <c r="L79" s="251">
        <f t="shared" si="49"/>
        <v>32.547097522661574</v>
      </c>
      <c r="M79" s="8"/>
      <c r="N79" s="251">
        <f t="shared" ref="N79:R85" si="50">N52</f>
        <v>14.22875652315842</v>
      </c>
      <c r="O79" s="251">
        <f t="shared" si="50"/>
        <v>13.758153902644418</v>
      </c>
      <c r="P79" s="251">
        <f t="shared" si="50"/>
        <v>18.971001237534399</v>
      </c>
      <c r="Q79" s="251">
        <f t="shared" si="50"/>
        <v>27.348081278980068</v>
      </c>
      <c r="R79" s="251">
        <f t="shared" si="50"/>
        <v>40.903318205499467</v>
      </c>
      <c r="S79" s="8"/>
      <c r="T79" s="251">
        <f t="shared" ref="T79:X85" si="51">T52</f>
        <v>14.22875652315842</v>
      </c>
      <c r="U79" s="251">
        <f>U52</f>
        <v>13.758153902644418</v>
      </c>
      <c r="V79" s="251">
        <f t="shared" si="51"/>
        <v>17.453321138531646</v>
      </c>
      <c r="W79" s="251">
        <f t="shared" si="51"/>
        <v>23.399018342295346</v>
      </c>
      <c r="X79" s="251">
        <f t="shared" si="51"/>
        <v>32.547097522661574</v>
      </c>
      <c r="Y79" s="200"/>
      <c r="Z79" s="200" t="s">
        <v>475</v>
      </c>
      <c r="AA79" s="200">
        <f>SUM(AA76:AA77)</f>
        <v>181.28232716149961</v>
      </c>
      <c r="AB79" s="200">
        <f>SUM(AB76:AB77)</f>
        <v>175.28658620717053</v>
      </c>
      <c r="AC79" s="200">
        <f>SUM(AC76:AC77)</f>
        <v>241.70118079724733</v>
      </c>
      <c r="AD79" s="200">
        <f>SUM(AD76:AD77)</f>
        <v>348.42987225104753</v>
      </c>
      <c r="AE79" s="200">
        <f>SUM(AE76:AE77)</f>
        <v>521.13118253529069</v>
      </c>
      <c r="AF79" s="200"/>
      <c r="AG79" s="200">
        <f>SUM(AG76:AG77)</f>
        <v>196.77465274347452</v>
      </c>
      <c r="AH79" s="200">
        <f>SUM(AH76:AH77)</f>
        <v>175.28658620717053</v>
      </c>
      <c r="AI79" s="200">
        <f>SUM(AI76:AI77)</f>
        <v>241.70118079724733</v>
      </c>
      <c r="AJ79" s="200">
        <f>SUM(AJ76:AJ77)</f>
        <v>348.42987225104753</v>
      </c>
      <c r="AK79" s="200">
        <f>SUM(AK76:AK77)</f>
        <v>521.13118253529069</v>
      </c>
      <c r="AL79" s="200"/>
      <c r="AM79" s="200"/>
      <c r="AN79" s="200"/>
      <c r="AO79" s="200"/>
      <c r="AP79" s="200"/>
      <c r="AQ79" s="200"/>
      <c r="AR79" s="200"/>
    </row>
    <row r="80" spans="1:44">
      <c r="A80" s="199" t="s">
        <v>16</v>
      </c>
      <c r="B80" s="200" t="str">
        <f t="shared" si="45"/>
        <v>TFHCV4</v>
      </c>
      <c r="C80" s="200" t="str">
        <f t="shared" si="45"/>
        <v>Transport Freight - HCV4</v>
      </c>
      <c r="D80" s="199" t="s">
        <v>149</v>
      </c>
      <c r="E80" s="280">
        <v>5.3871747310586002</v>
      </c>
      <c r="F80" s="251">
        <f t="shared" ref="F80:L80" si="52">F67*F96</f>
        <v>4.515932780515814</v>
      </c>
      <c r="G80" s="251">
        <f t="shared" si="52"/>
        <v>4.2489873256924318</v>
      </c>
      <c r="H80" s="251">
        <f t="shared" si="52"/>
        <v>4.3066025770402403</v>
      </c>
      <c r="I80" s="251">
        <f t="shared" si="52"/>
        <v>4.5764333579660059</v>
      </c>
      <c r="J80" s="251">
        <f t="shared" si="52"/>
        <v>5.8055725812397769</v>
      </c>
      <c r="K80" s="251">
        <f t="shared" si="52"/>
        <v>7.7833151775367577</v>
      </c>
      <c r="L80" s="251">
        <f t="shared" si="52"/>
        <v>10.826279736487901</v>
      </c>
      <c r="M80" s="8"/>
      <c r="N80" s="251">
        <f t="shared" si="50"/>
        <v>4.7329719129281322</v>
      </c>
      <c r="O80" s="251">
        <f t="shared" si="50"/>
        <v>4.5764333579660059</v>
      </c>
      <c r="P80" s="251">
        <f t="shared" si="50"/>
        <v>6.3104049796084523</v>
      </c>
      <c r="Q80" s="251">
        <f t="shared" si="50"/>
        <v>9.0969088096502535</v>
      </c>
      <c r="R80" s="251">
        <f t="shared" si="50"/>
        <v>13.605845029191485</v>
      </c>
      <c r="S80" s="8"/>
      <c r="T80" s="251">
        <f t="shared" si="51"/>
        <v>4.7329719129281322</v>
      </c>
      <c r="U80" s="251">
        <f t="shared" si="51"/>
        <v>4.5764333579660059</v>
      </c>
      <c r="V80" s="251">
        <f t="shared" si="51"/>
        <v>5.8055725812397769</v>
      </c>
      <c r="W80" s="251">
        <f t="shared" si="51"/>
        <v>7.7833151775367577</v>
      </c>
      <c r="X80" s="251">
        <f t="shared" si="51"/>
        <v>10.826279736487901</v>
      </c>
      <c r="Y80" s="200"/>
      <c r="Z80" s="199" t="s">
        <v>474</v>
      </c>
      <c r="AA80" s="204">
        <f>AA77/AA79</f>
        <v>0.12719020623315794</v>
      </c>
      <c r="AB80" s="204">
        <f>AB77/AB79</f>
        <v>0.12719020623315791</v>
      </c>
      <c r="AC80" s="204">
        <f>AC77/AC79</f>
        <v>0.12719020623315791</v>
      </c>
      <c r="AD80" s="204">
        <f>AD77/AD79</f>
        <v>0.12719020623315794</v>
      </c>
      <c r="AE80" s="204">
        <f>AE77/AE79</f>
        <v>0.12719020623315791</v>
      </c>
      <c r="AF80" s="204"/>
      <c r="AG80" s="204">
        <f>AG77/AG79</f>
        <v>0.11912511784515671</v>
      </c>
      <c r="AH80" s="204">
        <f>AH77/AH79</f>
        <v>0.12719020623315791</v>
      </c>
      <c r="AI80" s="204">
        <f>AI77/AI79</f>
        <v>0.19701498973450524</v>
      </c>
      <c r="AJ80" s="204">
        <f>AJ77/AJ79</f>
        <v>0.25322394045308977</v>
      </c>
      <c r="AK80" s="204">
        <f>AK77/AK79</f>
        <v>0.30549826462137342</v>
      </c>
      <c r="AL80" s="200"/>
      <c r="AM80" s="200"/>
      <c r="AN80" s="200"/>
      <c r="AO80" s="200"/>
      <c r="AP80" s="200"/>
      <c r="AQ80" s="200"/>
      <c r="AR80" s="200"/>
    </row>
    <row r="81" spans="1:44">
      <c r="A81" s="199" t="s">
        <v>16</v>
      </c>
      <c r="B81" s="200" t="str">
        <f t="shared" si="45"/>
        <v>TFHCV5</v>
      </c>
      <c r="C81" s="200" t="str">
        <f t="shared" si="45"/>
        <v>Transport Freight - HCV5</v>
      </c>
      <c r="D81" s="199" t="s">
        <v>149</v>
      </c>
      <c r="E81" s="280">
        <v>3.9725286670479121</v>
      </c>
      <c r="F81" s="251">
        <f t="shared" ref="F81:L81" si="53">F68*F97</f>
        <v>2.9750185434856067</v>
      </c>
      <c r="G81" s="251">
        <f t="shared" si="53"/>
        <v>3.1102185642863693</v>
      </c>
      <c r="H81" s="251">
        <f t="shared" si="53"/>
        <v>3.1523923845431949</v>
      </c>
      <c r="I81" s="251">
        <f t="shared" si="53"/>
        <v>3.0148752793038378</v>
      </c>
      <c r="J81" s="251">
        <f t="shared" si="53"/>
        <v>3.8246109772181214</v>
      </c>
      <c r="K81" s="251">
        <f t="shared" si="53"/>
        <v>5.1275136518573197</v>
      </c>
      <c r="L81" s="251">
        <f t="shared" si="53"/>
        <v>7.1321661633181117</v>
      </c>
      <c r="M81" s="8"/>
      <c r="N81" s="251">
        <f t="shared" si="50"/>
        <v>3.1180001765104728</v>
      </c>
      <c r="O81" s="251">
        <f t="shared" si="50"/>
        <v>3.0148752793038378</v>
      </c>
      <c r="P81" s="251">
        <f t="shared" si="50"/>
        <v>4.1571858448023056</v>
      </c>
      <c r="Q81" s="251">
        <f t="shared" si="50"/>
        <v>5.9928864561212238</v>
      </c>
      <c r="R81" s="251">
        <f t="shared" si="50"/>
        <v>8.9632957860397422</v>
      </c>
      <c r="S81" s="8"/>
      <c r="T81" s="251">
        <f t="shared" si="51"/>
        <v>3.1180001765104728</v>
      </c>
      <c r="U81" s="251">
        <f t="shared" si="51"/>
        <v>3.0148752793038378</v>
      </c>
      <c r="V81" s="251">
        <f t="shared" si="51"/>
        <v>3.8246109772181214</v>
      </c>
      <c r="W81" s="251">
        <f t="shared" si="51"/>
        <v>5.1275136518573197</v>
      </c>
      <c r="X81" s="251">
        <f t="shared" si="51"/>
        <v>7.1321661633181126</v>
      </c>
      <c r="Y81" s="200"/>
      <c r="Z81" s="200"/>
      <c r="AA81" s="200"/>
      <c r="AB81" s="200"/>
      <c r="AC81" s="200"/>
      <c r="AD81" s="200"/>
      <c r="AE81" s="200"/>
      <c r="AF81" s="200"/>
      <c r="AG81" s="200"/>
      <c r="AH81" s="200"/>
      <c r="AI81" s="200"/>
      <c r="AJ81" s="200"/>
      <c r="AK81" s="200"/>
      <c r="AL81" s="200"/>
      <c r="AM81" s="200"/>
      <c r="AN81" s="200"/>
      <c r="AO81" s="200"/>
      <c r="AP81" s="200"/>
      <c r="AQ81" s="200"/>
      <c r="AR81" s="200"/>
    </row>
    <row r="82" spans="1:44">
      <c r="A82" s="199" t="s">
        <v>16</v>
      </c>
      <c r="B82" s="200" t="str">
        <f t="shared" si="45"/>
        <v>TFHCV6</v>
      </c>
      <c r="C82" s="200" t="str">
        <f t="shared" si="45"/>
        <v>Transport Freight - HCV6</v>
      </c>
      <c r="D82" s="199" t="s">
        <v>149</v>
      </c>
      <c r="E82" s="280">
        <v>140.25526500597067</v>
      </c>
      <c r="F82" s="251">
        <f>F69*F98</f>
        <v>98.309314568087203</v>
      </c>
      <c r="G82" s="251">
        <f t="shared" ref="G82:L82" si="54">G69*G98</f>
        <v>117.31986651000506</v>
      </c>
      <c r="H82" s="251">
        <f t="shared" si="54"/>
        <v>129.63325694576622</v>
      </c>
      <c r="I82" s="251">
        <f t="shared" si="54"/>
        <v>99.626378082797544</v>
      </c>
      <c r="J82" s="251">
        <f t="shared" si="54"/>
        <v>126.38404707870176</v>
      </c>
      <c r="K82" s="251">
        <f t="shared" si="54"/>
        <v>169.43839010899313</v>
      </c>
      <c r="L82" s="251">
        <f t="shared" si="54"/>
        <v>235.68201564216577</v>
      </c>
      <c r="M82" s="8"/>
      <c r="N82" s="251">
        <f t="shared" si="50"/>
        <v>103.03413430720434</v>
      </c>
      <c r="O82" s="251">
        <f t="shared" si="50"/>
        <v>99.626378082797544</v>
      </c>
      <c r="P82" s="251">
        <f t="shared" si="50"/>
        <v>137.37396421598015</v>
      </c>
      <c r="Q82" s="251">
        <f t="shared" si="50"/>
        <v>198.03458404510647</v>
      </c>
      <c r="R82" s="251">
        <f t="shared" si="50"/>
        <v>296.1915874192112</v>
      </c>
      <c r="S82" s="8"/>
      <c r="T82" s="251">
        <f t="shared" si="51"/>
        <v>103.03413430720434</v>
      </c>
      <c r="U82" s="251">
        <f t="shared" si="51"/>
        <v>99.626378082797544</v>
      </c>
      <c r="V82" s="251">
        <f t="shared" si="51"/>
        <v>126.38404707870174</v>
      </c>
      <c r="W82" s="251">
        <f t="shared" si="51"/>
        <v>169.43839010899313</v>
      </c>
      <c r="X82" s="251">
        <f t="shared" si="51"/>
        <v>235.68201564216574</v>
      </c>
      <c r="Y82" s="200"/>
      <c r="Z82" s="200"/>
      <c r="AA82" s="200"/>
      <c r="AB82" s="200"/>
      <c r="AC82" s="200"/>
      <c r="AD82" s="200"/>
      <c r="AE82" s="200"/>
      <c r="AF82" s="200"/>
      <c r="AG82" s="200"/>
      <c r="AH82" s="200"/>
      <c r="AI82" s="200"/>
      <c r="AJ82" s="200"/>
      <c r="AK82" s="200"/>
      <c r="AL82" s="200"/>
      <c r="AM82" s="200"/>
      <c r="AN82" s="200"/>
      <c r="AO82" s="200"/>
      <c r="AP82" s="200"/>
      <c r="AQ82" s="200"/>
      <c r="AR82" s="200"/>
    </row>
    <row r="83" spans="1:44">
      <c r="A83" s="199" t="s">
        <v>16</v>
      </c>
      <c r="B83" s="200" t="str">
        <f t="shared" si="45"/>
        <v>TFHCV7</v>
      </c>
      <c r="C83" s="200" t="str">
        <f t="shared" si="45"/>
        <v>Transport Freight - HCV7</v>
      </c>
      <c r="D83" s="199" t="s">
        <v>149</v>
      </c>
      <c r="E83" s="280">
        <v>32.638769732712682</v>
      </c>
      <c r="F83" s="251">
        <f t="shared" ref="F83:L83" si="55">F70*F99</f>
        <v>28.003212301240232</v>
      </c>
      <c r="G83" s="251">
        <f t="shared" si="55"/>
        <v>30.412861445475919</v>
      </c>
      <c r="H83" s="251">
        <f t="shared" si="55"/>
        <v>31.844054925263023</v>
      </c>
      <c r="I83" s="251">
        <f t="shared" si="55"/>
        <v>28.378375218189547</v>
      </c>
      <c r="J83" s="251">
        <f t="shared" si="55"/>
        <v>36.00024389737424</v>
      </c>
      <c r="K83" s="251">
        <f t="shared" si="55"/>
        <v>48.264187692167503</v>
      </c>
      <c r="L83" s="251">
        <f t="shared" si="55"/>
        <v>67.133552386237554</v>
      </c>
      <c r="M83" s="8"/>
      <c r="N83" s="251">
        <f t="shared" si="50"/>
        <v>29.349067786255869</v>
      </c>
      <c r="O83" s="251">
        <f t="shared" si="50"/>
        <v>28.378375218189547</v>
      </c>
      <c r="P83" s="251">
        <f t="shared" si="50"/>
        <v>39.130699888450259</v>
      </c>
      <c r="Q83" s="251">
        <f t="shared" si="50"/>
        <v>56.409756535960142</v>
      </c>
      <c r="R83" s="251">
        <f t="shared" si="50"/>
        <v>84.369583297186324</v>
      </c>
      <c r="S83" s="8"/>
      <c r="T83" s="251">
        <f t="shared" si="51"/>
        <v>29.349067786255869</v>
      </c>
      <c r="U83" s="251">
        <f t="shared" si="51"/>
        <v>28.378375218189547</v>
      </c>
      <c r="V83" s="251">
        <f t="shared" si="51"/>
        <v>36.00024389737424</v>
      </c>
      <c r="W83" s="251">
        <f t="shared" si="51"/>
        <v>48.264187692167503</v>
      </c>
      <c r="X83" s="251">
        <f t="shared" si="51"/>
        <v>67.133552386237554</v>
      </c>
      <c r="Y83" s="200"/>
      <c r="Z83" s="200"/>
      <c r="AA83" s="200"/>
      <c r="AB83" s="200"/>
      <c r="AC83" s="200"/>
      <c r="AD83" s="200"/>
      <c r="AE83" s="200"/>
      <c r="AF83" s="200"/>
      <c r="AG83" s="200"/>
      <c r="AH83" s="200"/>
      <c r="AI83" s="200"/>
      <c r="AJ83" s="200"/>
      <c r="AK83" s="200"/>
      <c r="AL83" s="200"/>
      <c r="AM83" s="200"/>
      <c r="AN83" s="200"/>
      <c r="AO83" s="200"/>
      <c r="AP83" s="200"/>
      <c r="AQ83" s="200"/>
      <c r="AR83" s="200"/>
    </row>
    <row r="84" spans="1:44">
      <c r="A84" s="199" t="s">
        <v>16</v>
      </c>
      <c r="B84" s="200" t="str">
        <f>B100</f>
        <v>TFHCV8</v>
      </c>
      <c r="C84" s="200" t="str">
        <f>C100</f>
        <v>Transport Freight - HCV8</v>
      </c>
      <c r="D84" s="199" t="s">
        <v>149</v>
      </c>
      <c r="E84" s="280">
        <v>1.371120760523014</v>
      </c>
      <c r="F84" s="251">
        <f t="shared" ref="F84:L84" si="56">F71*F100</f>
        <v>1.0763192990282064</v>
      </c>
      <c r="G84" s="251">
        <f t="shared" si="56"/>
        <v>1.4702862493909399</v>
      </c>
      <c r="H84" s="251">
        <f t="shared" si="56"/>
        <v>1.8779533896770146</v>
      </c>
      <c r="I84" s="251">
        <f t="shared" si="56"/>
        <v>1.0907388978745283</v>
      </c>
      <c r="J84" s="251">
        <f t="shared" si="56"/>
        <v>1.383689730293914</v>
      </c>
      <c r="K84" s="251">
        <f t="shared" si="56"/>
        <v>1.8550613446121968</v>
      </c>
      <c r="L84" s="251">
        <f t="shared" si="56"/>
        <v>2.5803160461854726</v>
      </c>
      <c r="M84" s="8"/>
      <c r="N84" s="251">
        <f t="shared" si="50"/>
        <v>1.12804801559981</v>
      </c>
      <c r="O84" s="251">
        <f t="shared" si="50"/>
        <v>1.0907388978745283</v>
      </c>
      <c r="P84" s="251">
        <f t="shared" si="50"/>
        <v>1.504010576406428</v>
      </c>
      <c r="Q84" s="251">
        <f t="shared" si="50"/>
        <v>2.1681408889810623</v>
      </c>
      <c r="R84" s="251">
        <f t="shared" si="50"/>
        <v>3.2427926402467642</v>
      </c>
      <c r="S84" s="8"/>
      <c r="T84" s="251">
        <f t="shared" si="51"/>
        <v>1.12804801559981</v>
      </c>
      <c r="U84" s="251">
        <f t="shared" si="51"/>
        <v>1.0907388978745283</v>
      </c>
      <c r="V84" s="251">
        <f t="shared" si="51"/>
        <v>1.383689730293914</v>
      </c>
      <c r="W84" s="251">
        <f t="shared" si="51"/>
        <v>1.8550613446121968</v>
      </c>
      <c r="X84" s="251">
        <f t="shared" si="51"/>
        <v>2.5803160461854726</v>
      </c>
      <c r="Y84" s="200"/>
      <c r="Z84" s="200"/>
      <c r="AA84" s="200"/>
      <c r="AB84" s="200"/>
      <c r="AC84" s="200"/>
      <c r="AD84" s="200"/>
      <c r="AE84" s="200"/>
      <c r="AF84" s="200"/>
      <c r="AG84" s="200"/>
      <c r="AH84" s="200"/>
      <c r="AI84" s="200"/>
      <c r="AJ84" s="200"/>
      <c r="AK84" s="200"/>
      <c r="AL84" s="200"/>
      <c r="AM84" s="200"/>
      <c r="AN84" s="200"/>
      <c r="AO84" s="200"/>
      <c r="AP84" s="200"/>
      <c r="AQ84" s="200"/>
      <c r="AR84" s="200"/>
    </row>
    <row r="85" spans="1:44">
      <c r="A85" s="199" t="s">
        <v>16</v>
      </c>
      <c r="B85" s="200" t="str">
        <f t="shared" si="45"/>
        <v>TFHCV9</v>
      </c>
      <c r="C85" s="200" t="str">
        <f t="shared" si="45"/>
        <v>Transport Freight - HCV9</v>
      </c>
      <c r="D85" s="199" t="s">
        <v>149</v>
      </c>
      <c r="E85" s="280">
        <v>0.85603927035432403</v>
      </c>
      <c r="F85" s="251">
        <f t="shared" ref="F85:L85" si="57">F72*F101</f>
        <v>0.87560973396075781</v>
      </c>
      <c r="G85" s="251">
        <f t="shared" si="57"/>
        <v>0.49003657380877025</v>
      </c>
      <c r="H85" s="251">
        <f t="shared" si="57"/>
        <v>0.4966539831210422</v>
      </c>
      <c r="I85" s="251">
        <f t="shared" si="57"/>
        <v>0.88734039894191019</v>
      </c>
      <c r="J85" s="251">
        <f t="shared" si="57"/>
        <v>1.1256624290958994</v>
      </c>
      <c r="K85" s="251">
        <f t="shared" si="57"/>
        <v>1.509133741170801</v>
      </c>
      <c r="L85" s="251">
        <f t="shared" si="57"/>
        <v>2.0991446021408993</v>
      </c>
      <c r="M85" s="8"/>
      <c r="N85" s="251">
        <f t="shared" si="50"/>
        <v>0.91769219759054577</v>
      </c>
      <c r="O85" s="251">
        <f t="shared" si="50"/>
        <v>0.88734039894191019</v>
      </c>
      <c r="P85" s="251">
        <f t="shared" si="50"/>
        <v>1.2235461185824994</v>
      </c>
      <c r="Q85" s="251">
        <f t="shared" si="50"/>
        <v>1.7638309270345969</v>
      </c>
      <c r="R85" s="251">
        <f t="shared" si="50"/>
        <v>2.6380840737316942</v>
      </c>
      <c r="S85" s="8"/>
      <c r="T85" s="251">
        <f t="shared" si="51"/>
        <v>0.91769219759054577</v>
      </c>
      <c r="U85" s="251">
        <f t="shared" si="51"/>
        <v>0.88734039894191019</v>
      </c>
      <c r="V85" s="251">
        <f t="shared" si="51"/>
        <v>1.1256624290958994</v>
      </c>
      <c r="W85" s="251">
        <f t="shared" si="51"/>
        <v>1.509133741170801</v>
      </c>
      <c r="X85" s="251">
        <f t="shared" si="51"/>
        <v>2.0991446021408993</v>
      </c>
      <c r="Y85" s="200"/>
      <c r="Z85" s="200"/>
      <c r="AA85" s="200"/>
      <c r="AB85" s="200"/>
      <c r="AC85" s="200"/>
      <c r="AD85" s="200"/>
      <c r="AE85" s="200"/>
      <c r="AF85" s="200"/>
      <c r="AG85" s="200"/>
      <c r="AH85" s="200"/>
      <c r="AI85" s="200"/>
      <c r="AJ85" s="200"/>
      <c r="AK85" s="200"/>
      <c r="AL85" s="200"/>
      <c r="AM85" s="200"/>
      <c r="AN85" s="200"/>
      <c r="AO85" s="200"/>
      <c r="AP85" s="200"/>
      <c r="AQ85" s="200"/>
      <c r="AR85" s="200"/>
    </row>
    <row r="86" spans="1:44">
      <c r="A86" s="199" t="s">
        <v>16</v>
      </c>
      <c r="B86" s="200" t="str">
        <f t="shared" si="45"/>
        <v>TFRCO</v>
      </c>
      <c r="C86" s="200" t="str">
        <f t="shared" si="45"/>
        <v>Transport Freight - Rail Corridor</v>
      </c>
      <c r="D86" s="199" t="s">
        <v>149</v>
      </c>
      <c r="E86" s="49"/>
      <c r="F86" s="251">
        <f t="shared" ref="F86:L86" si="58">F59</f>
        <v>22</v>
      </c>
      <c r="G86" s="251">
        <f t="shared" si="58"/>
        <v>23.057336578097942</v>
      </c>
      <c r="H86" s="251">
        <f t="shared" si="58"/>
        <v>23.440803697006192</v>
      </c>
      <c r="I86" s="251">
        <f t="shared" si="58"/>
        <v>22.294737049596232</v>
      </c>
      <c r="J86" s="251">
        <f t="shared" si="58"/>
        <v>47.618755653587478</v>
      </c>
      <c r="K86" s="251">
        <f t="shared" si="58"/>
        <v>88.230785222976934</v>
      </c>
      <c r="L86" s="251">
        <f t="shared" si="58"/>
        <v>159.20467190461548</v>
      </c>
      <c r="M86" s="8"/>
      <c r="N86" s="251">
        <f>N59</f>
        <v>23.057336578097942</v>
      </c>
      <c r="O86" s="251">
        <f>O59</f>
        <v>22.294737049596232</v>
      </c>
      <c r="P86" s="251">
        <f>P59</f>
        <v>30.742023032399672</v>
      </c>
      <c r="Q86" s="251">
        <f>Q59</f>
        <v>44.316867309403605</v>
      </c>
      <c r="R86" s="251">
        <f>R59</f>
        <v>66.282782581193089</v>
      </c>
      <c r="S86" s="8"/>
      <c r="T86" s="251">
        <f>T59</f>
        <v>23.057336578097942</v>
      </c>
      <c r="U86" s="251">
        <f>U59</f>
        <v>22.294737049596232</v>
      </c>
      <c r="V86" s="251">
        <f>V59</f>
        <v>47.618755653587478</v>
      </c>
      <c r="W86" s="251">
        <f>W59</f>
        <v>88.230785222976934</v>
      </c>
      <c r="X86" s="251">
        <f>X59</f>
        <v>159.20467190461548</v>
      </c>
      <c r="Y86" s="200"/>
      <c r="Z86" s="200"/>
      <c r="AA86" s="200"/>
      <c r="AB86" s="200"/>
      <c r="AC86" s="200"/>
      <c r="AD86" s="200"/>
      <c r="AE86" s="200"/>
      <c r="AF86" s="200"/>
      <c r="AG86" s="200"/>
      <c r="AH86" s="200"/>
      <c r="AI86" s="200"/>
      <c r="AJ86" s="200"/>
      <c r="AK86" s="200"/>
      <c r="AL86" s="200"/>
      <c r="AM86" s="200"/>
      <c r="AN86" s="200"/>
      <c r="AO86" s="200"/>
      <c r="AP86" s="200"/>
      <c r="AQ86" s="200"/>
      <c r="AR86" s="200"/>
    </row>
    <row r="87" spans="1:44">
      <c r="A87" s="199" t="s">
        <v>16</v>
      </c>
      <c r="B87" s="200" t="str">
        <f t="shared" si="45"/>
        <v>TFROT</v>
      </c>
      <c r="C87" s="200" t="str">
        <f t="shared" si="45"/>
        <v>Transport Freight - Rail Other</v>
      </c>
      <c r="D87" s="199" t="s">
        <v>149</v>
      </c>
      <c r="E87" s="49"/>
      <c r="F87" s="251">
        <f t="shared" ref="F87:L87" si="59">F47</f>
        <v>25.1</v>
      </c>
      <c r="G87" s="251">
        <f t="shared" si="59"/>
        <v>26.306324914102674</v>
      </c>
      <c r="H87" s="251">
        <f t="shared" si="59"/>
        <v>27.00553040953406</v>
      </c>
      <c r="I87" s="251">
        <f t="shared" si="59"/>
        <v>25.685177315073595</v>
      </c>
      <c r="J87" s="251">
        <f t="shared" si="59"/>
        <v>35.743129990897167</v>
      </c>
      <c r="K87" s="251">
        <f t="shared" si="59"/>
        <v>51.972861792801233</v>
      </c>
      <c r="L87" s="251">
        <f t="shared" si="59"/>
        <v>78.367984094012272</v>
      </c>
      <c r="M87" s="8"/>
      <c r="N87" s="251">
        <f>N47</f>
        <v>26.306324914102674</v>
      </c>
      <c r="O87" s="251">
        <f>O47</f>
        <v>25.436268179312091</v>
      </c>
      <c r="P87" s="251">
        <f>P47</f>
        <v>35.073853550601477</v>
      </c>
      <c r="Q87" s="251">
        <f>Q47</f>
        <v>50.561516793910535</v>
      </c>
      <c r="R87" s="251">
        <f>R47</f>
        <v>75.622629217634014</v>
      </c>
      <c r="S87" s="8"/>
      <c r="T87" s="251">
        <f>T47</f>
        <v>26.306324914102674</v>
      </c>
      <c r="U87" s="251">
        <f>U47</f>
        <v>25.685177315073595</v>
      </c>
      <c r="V87" s="251">
        <f>V47</f>
        <v>35.743129990897167</v>
      </c>
      <c r="W87" s="251">
        <f>W47</f>
        <v>51.972861792801233</v>
      </c>
      <c r="X87" s="251">
        <f>X47</f>
        <v>78.367984094012272</v>
      </c>
      <c r="Y87" s="200"/>
      <c r="Z87" s="200"/>
      <c r="AA87" s="200"/>
      <c r="AB87" s="200"/>
      <c r="AC87" s="200"/>
      <c r="AD87" s="200"/>
      <c r="AE87" s="200"/>
      <c r="AF87" s="200"/>
      <c r="AG87" s="200"/>
      <c r="AH87" s="200"/>
      <c r="AI87" s="200"/>
      <c r="AJ87" s="200"/>
      <c r="AK87" s="200"/>
      <c r="AL87" s="200"/>
      <c r="AM87" s="200"/>
      <c r="AN87" s="200"/>
      <c r="AO87" s="200"/>
      <c r="AP87" s="200"/>
      <c r="AQ87" s="200"/>
      <c r="AR87" s="200"/>
    </row>
    <row r="88" spans="1:44">
      <c r="A88" s="199" t="s">
        <v>16</v>
      </c>
      <c r="B88" s="200" t="str">
        <f t="shared" si="45"/>
        <v>TFREX</v>
      </c>
      <c r="C88" s="200" t="str">
        <f t="shared" si="45"/>
        <v>Transport Freight - Rail Export (bulk mining)</v>
      </c>
      <c r="D88" s="199" t="s">
        <v>149</v>
      </c>
      <c r="F88" s="251">
        <f t="shared" ref="F88:J88" si="60">F104</f>
        <v>82</v>
      </c>
      <c r="G88" s="251">
        <f t="shared" si="60"/>
        <v>82</v>
      </c>
      <c r="H88" s="251">
        <f t="shared" si="60"/>
        <v>82</v>
      </c>
      <c r="I88" s="251">
        <f t="shared" si="60"/>
        <v>75.296230147600639</v>
      </c>
      <c r="J88" s="251">
        <f t="shared" si="60"/>
        <v>96.184817778094512</v>
      </c>
      <c r="K88" s="251">
        <f>K104</f>
        <v>128.81187086314046</v>
      </c>
      <c r="L88" s="251">
        <f>L104</f>
        <v>186.96214976435544</v>
      </c>
      <c r="M88" s="8"/>
      <c r="N88" s="251">
        <f>F104</f>
        <v>82</v>
      </c>
      <c r="O88" s="251">
        <f>I104</f>
        <v>75.296230147600639</v>
      </c>
      <c r="P88" s="251">
        <f>J104</f>
        <v>96.184817778094512</v>
      </c>
      <c r="Q88" s="251">
        <f>K104</f>
        <v>128.81187086314046</v>
      </c>
      <c r="R88" s="251">
        <f>L104</f>
        <v>186.96214976435544</v>
      </c>
      <c r="S88" s="8"/>
      <c r="T88" s="251">
        <f t="shared" ref="T88:W88" si="61">N88</f>
        <v>82</v>
      </c>
      <c r="U88" s="251">
        <f t="shared" si="61"/>
        <v>75.296230147600639</v>
      </c>
      <c r="V88" s="251">
        <f t="shared" si="61"/>
        <v>96.184817778094512</v>
      </c>
      <c r="W88" s="251">
        <f t="shared" si="61"/>
        <v>128.81187086314046</v>
      </c>
      <c r="X88" s="251">
        <f>R88</f>
        <v>186.96214976435544</v>
      </c>
      <c r="Y88" s="200"/>
      <c r="Z88" s="200"/>
      <c r="AA88" s="200"/>
      <c r="AB88" s="200"/>
      <c r="AC88" s="200"/>
      <c r="AD88" s="200"/>
      <c r="AE88" s="200"/>
      <c r="AF88" s="200"/>
      <c r="AG88" s="200"/>
      <c r="AH88" s="200"/>
      <c r="AI88" s="200"/>
      <c r="AJ88" s="200"/>
      <c r="AK88" s="200"/>
      <c r="AL88" s="200"/>
      <c r="AM88" s="200"/>
      <c r="AN88" s="200"/>
      <c r="AO88" s="200"/>
      <c r="AP88" s="200"/>
      <c r="AQ88" s="200"/>
      <c r="AR88" s="200"/>
    </row>
    <row r="89" spans="1:44">
      <c r="A89" s="199" t="s">
        <v>16</v>
      </c>
      <c r="C89" s="5" t="s">
        <v>211</v>
      </c>
      <c r="E89" s="281">
        <f>SUM(E76:E85)-SUM(G76:G85)</f>
        <v>35.355410614896385</v>
      </c>
      <c r="F89" s="86">
        <f>SUM(F76:F88)</f>
        <v>302.13354210944328</v>
      </c>
      <c r="G89" s="86">
        <f>SUM(G76:G88)</f>
        <v>327.40754653866895</v>
      </c>
      <c r="H89" s="86">
        <f>SUM(H76:H88)</f>
        <v>343.93182933956678</v>
      </c>
      <c r="I89" s="86">
        <f>SUM(I76:I88)</f>
        <v>298.37893183515797</v>
      </c>
      <c r="J89" s="86">
        <f t="shared" ref="J89:L89" si="62">SUM(J76:J88)</f>
        <v>403.79165512955967</v>
      </c>
      <c r="K89" s="86">
        <f t="shared" si="62"/>
        <v>572.24955159101387</v>
      </c>
      <c r="L89" s="86">
        <f t="shared" si="62"/>
        <v>850.19231842199872</v>
      </c>
      <c r="M89" s="86"/>
      <c r="N89" s="86">
        <f>SUM(N76:N88)</f>
        <v>312.71332602483335</v>
      </c>
      <c r="O89" s="86">
        <f>SUM(O76:O88)</f>
        <v>298.37893183515797</v>
      </c>
      <c r="P89" s="86">
        <f>SUM(P76:P88)</f>
        <v>403.79165512955962</v>
      </c>
      <c r="Q89" s="86">
        <f>SUM(Q76:Q88)</f>
        <v>572.24955159101387</v>
      </c>
      <c r="R89" s="86">
        <f>SUM(R76:R88)</f>
        <v>850.19231842199872</v>
      </c>
      <c r="S89" s="86"/>
      <c r="T89" s="86">
        <f>SUM(T76:T88)</f>
        <v>312.71332602483335</v>
      </c>
      <c r="U89" s="86">
        <f>SUM(U76:U88)</f>
        <v>298.37893183515797</v>
      </c>
      <c r="V89" s="86">
        <f>SUM(V76:V88)</f>
        <v>403.79165512955967</v>
      </c>
      <c r="W89" s="86">
        <f>SUM(W76:W88)</f>
        <v>572.24955159101387</v>
      </c>
      <c r="X89" s="86">
        <f>SUM(X76:X88)</f>
        <v>850.19231842199872</v>
      </c>
    </row>
    <row r="90" spans="1:44">
      <c r="A90" s="199" t="s">
        <v>16</v>
      </c>
      <c r="L90" s="199">
        <f>L89/F89</f>
        <v>2.8139620397196068</v>
      </c>
      <c r="N90" s="5" t="s">
        <v>41</v>
      </c>
      <c r="T90" s="5" t="s">
        <v>197</v>
      </c>
    </row>
    <row r="91" spans="1:44" ht="15.75" thickBot="1">
      <c r="A91" s="199" t="s">
        <v>16</v>
      </c>
      <c r="B91" s="14" t="s">
        <v>209</v>
      </c>
      <c r="C91" s="14"/>
      <c r="D91" s="14"/>
      <c r="F91" s="199">
        <f t="shared" ref="F91:L91" si="63">F$4</f>
        <v>2012</v>
      </c>
      <c r="G91" s="199">
        <f t="shared" si="63"/>
        <v>2015</v>
      </c>
      <c r="H91" s="199">
        <f t="shared" si="63"/>
        <v>2017</v>
      </c>
      <c r="I91" s="199">
        <f t="shared" si="63"/>
        <v>2020</v>
      </c>
      <c r="J91" s="199">
        <f t="shared" si="63"/>
        <v>2030</v>
      </c>
      <c r="K91" s="199">
        <f t="shared" si="63"/>
        <v>2040</v>
      </c>
      <c r="L91" s="199">
        <f t="shared" si="63"/>
        <v>2050</v>
      </c>
      <c r="N91" s="7">
        <v>2012</v>
      </c>
      <c r="O91" s="7">
        <v>2020</v>
      </c>
      <c r="P91" s="7">
        <v>2030</v>
      </c>
      <c r="Q91" s="7">
        <v>2040</v>
      </c>
      <c r="R91" s="7">
        <v>2050</v>
      </c>
      <c r="T91" s="7">
        <f>N91</f>
        <v>2012</v>
      </c>
      <c r="U91" s="7">
        <f>O91</f>
        <v>2020</v>
      </c>
      <c r="V91" s="7">
        <f>P91</f>
        <v>2030</v>
      </c>
      <c r="W91" s="7">
        <f>Q91</f>
        <v>2040</v>
      </c>
      <c r="X91" s="7">
        <f>R91</f>
        <v>2050</v>
      </c>
    </row>
    <row r="92" spans="1:44">
      <c r="A92" s="199" t="s">
        <v>16</v>
      </c>
      <c r="B92" s="200" t="str">
        <f>'[2]TS BYDem'!D19</f>
        <v>TFLCV</v>
      </c>
      <c r="C92" s="200" t="str">
        <f>C13</f>
        <v>Transport Freight - LCV</v>
      </c>
      <c r="D92" s="199" t="s">
        <v>150</v>
      </c>
      <c r="F92" s="252">
        <v>43.112503750568798</v>
      </c>
      <c r="G92" s="253">
        <v>44.4</v>
      </c>
      <c r="H92" s="200">
        <v>45.342821165621402</v>
      </c>
      <c r="I92" s="200">
        <f>I43/I63</f>
        <v>43.690087939484705</v>
      </c>
      <c r="J92" s="10">
        <f>J43/J63</f>
        <v>60.243890149291104</v>
      </c>
      <c r="K92" s="10">
        <f>K43/K63</f>
        <v>86.845959458642014</v>
      </c>
      <c r="L92" s="10">
        <f>L43/L63</f>
        <v>129.89166875590118</v>
      </c>
      <c r="N92" s="10">
        <f>N43/N63</f>
        <v>45.18452316824434</v>
      </c>
      <c r="O92" s="10">
        <f>O43/O63</f>
        <v>43.690087939484705</v>
      </c>
      <c r="P92" s="10">
        <f>P43/P63</f>
        <v>60.243890149291104</v>
      </c>
      <c r="Q92" s="10">
        <f>Q43/Q63</f>
        <v>86.845959458642014</v>
      </c>
      <c r="R92" s="10">
        <f>R43/R63</f>
        <v>129.89166875590118</v>
      </c>
      <c r="T92" s="10">
        <f>T43/T63</f>
        <v>45.18452316824434</v>
      </c>
      <c r="U92" s="10">
        <f>U43/U63</f>
        <v>43.690087939484705</v>
      </c>
      <c r="V92" s="10">
        <f>V43/V63</f>
        <v>60.243890149291104</v>
      </c>
      <c r="W92" s="10">
        <f>W43/W63</f>
        <v>86.845959458642014</v>
      </c>
      <c r="X92" s="10">
        <f>X43/X63</f>
        <v>129.89166875590118</v>
      </c>
    </row>
    <row r="93" spans="1:44">
      <c r="A93" s="199" t="s">
        <v>16</v>
      </c>
      <c r="B93" s="200" t="str">
        <f>'[2]TS BYDem'!D20</f>
        <v>TFHCV1</v>
      </c>
      <c r="C93" s="200" t="str">
        <f t="shared" ref="C93:C99" si="64">C14</f>
        <v>Transport Freight - HCV1</v>
      </c>
      <c r="D93" s="199" t="s">
        <v>150</v>
      </c>
      <c r="F93" s="252">
        <v>3.31</v>
      </c>
      <c r="G93" s="10">
        <v>3.4</v>
      </c>
      <c r="H93" s="10">
        <v>3.45</v>
      </c>
      <c r="I93" s="10">
        <f>I46/I64</f>
        <v>3.1866273023843372</v>
      </c>
      <c r="J93" s="10">
        <f>J46/J64</f>
        <v>4.1743125842778097</v>
      </c>
      <c r="K93" s="10">
        <f>K46/K64</f>
        <v>5.7166971046415389</v>
      </c>
      <c r="L93" s="10">
        <f>L46/L64</f>
        <v>8.1227009840931128</v>
      </c>
      <c r="N93" s="10">
        <f>N46/N64</f>
        <v>3.469081094250194</v>
      </c>
      <c r="O93" s="10">
        <f>O46/O64</f>
        <v>3.3543445288256186</v>
      </c>
      <c r="P93" s="10">
        <f>P46/P64</f>
        <v>4.6252771016928653</v>
      </c>
      <c r="Q93" s="10">
        <f>Q46/Q64</f>
        <v>6.667674127005732</v>
      </c>
      <c r="R93" s="10">
        <f>R46/R64</f>
        <v>9.972545924715881</v>
      </c>
      <c r="T93" s="10">
        <f>T46/T64</f>
        <v>3.469081094250194</v>
      </c>
      <c r="U93" s="10">
        <f>U46/U64</f>
        <v>3.1866273023843372</v>
      </c>
      <c r="V93" s="10">
        <f>V46/V64</f>
        <v>4.1743125842778097</v>
      </c>
      <c r="W93" s="10">
        <f>W46/W64</f>
        <v>5.7166971046415389</v>
      </c>
      <c r="X93" s="10">
        <f>X46/X64</f>
        <v>8.1227009840931128</v>
      </c>
    </row>
    <row r="94" spans="1:44">
      <c r="A94" s="199" t="s">
        <v>16</v>
      </c>
      <c r="B94" s="200" t="str">
        <f>'[2]TS BYDem'!D21</f>
        <v>TFHCV2</v>
      </c>
      <c r="C94" s="200" t="str">
        <f t="shared" si="64"/>
        <v>Transport Freight - HCV2</v>
      </c>
      <c r="D94" s="199" t="s">
        <v>150</v>
      </c>
      <c r="F94" s="252">
        <v>0.65478395407088008</v>
      </c>
      <c r="G94" s="10">
        <v>0.704124436203308</v>
      </c>
      <c r="H94" s="10">
        <v>0.73600943824652509</v>
      </c>
      <c r="I94" s="10">
        <f>I51/I65</f>
        <v>0.66355618546841733</v>
      </c>
      <c r="J94" s="10">
        <f>J51/J65</f>
        <v>0.84177421479587833</v>
      </c>
      <c r="K94" s="10">
        <f>K51/K65</f>
        <v>1.1285353736255785</v>
      </c>
      <c r="L94" s="10">
        <f>L51/L65</f>
        <v>1.5697475135857306</v>
      </c>
      <c r="N94" s="10">
        <f t="shared" ref="N94:R101" si="65">N51/N65</f>
        <v>0.68625336431591455</v>
      </c>
      <c r="O94" s="10">
        <f t="shared" si="65"/>
        <v>0.66355618546841733</v>
      </c>
      <c r="P94" s="10">
        <f t="shared" si="65"/>
        <v>0.91497197260421537</v>
      </c>
      <c r="Q94" s="10">
        <f t="shared" si="65"/>
        <v>1.3189988004039019</v>
      </c>
      <c r="R94" s="10">
        <f t="shared" si="65"/>
        <v>1.9727682938788225</v>
      </c>
      <c r="T94" s="10">
        <f t="shared" ref="T94:X101" si="66">T51/T65</f>
        <v>0.68625336431591455</v>
      </c>
      <c r="U94" s="10">
        <f t="shared" si="66"/>
        <v>0.66355618546841733</v>
      </c>
      <c r="V94" s="10">
        <f t="shared" si="66"/>
        <v>0.84177421479587833</v>
      </c>
      <c r="W94" s="10">
        <f t="shared" si="66"/>
        <v>1.1285353736255785</v>
      </c>
      <c r="X94" s="10">
        <f t="shared" si="66"/>
        <v>1.5697475135857306</v>
      </c>
    </row>
    <row r="95" spans="1:44">
      <c r="A95" s="199" t="s">
        <v>16</v>
      </c>
      <c r="B95" s="200" t="str">
        <f>'[2]TS BYDem'!D22</f>
        <v>TFHCV3</v>
      </c>
      <c r="C95" s="200" t="str">
        <f t="shared" si="64"/>
        <v>Transport Freight - HCV3</v>
      </c>
      <c r="D95" s="199" t="s">
        <v>150</v>
      </c>
      <c r="F95" s="252">
        <v>2.7114063478211299</v>
      </c>
      <c r="G95" s="10">
        <v>2.9</v>
      </c>
      <c r="H95" s="10">
        <v>3.0305969254191498</v>
      </c>
      <c r="I95" s="10">
        <f t="shared" ref="I95:L101" si="67">I52/I66</f>
        <v>2.7477314345126453</v>
      </c>
      <c r="J95" s="10">
        <f t="shared" si="67"/>
        <v>3.4857175946963159</v>
      </c>
      <c r="K95" s="10">
        <f t="shared" si="67"/>
        <v>4.6731719016099298</v>
      </c>
      <c r="L95" s="10">
        <f t="shared" si="67"/>
        <v>6.5001949824079679</v>
      </c>
      <c r="N95" s="10">
        <f t="shared" si="65"/>
        <v>2.8417185800774152</v>
      </c>
      <c r="O95" s="10">
        <f t="shared" si="65"/>
        <v>2.7477314345126453</v>
      </c>
      <c r="P95" s="10">
        <f t="shared" si="65"/>
        <v>3.7888234724959959</v>
      </c>
      <c r="Q95" s="10">
        <f t="shared" si="65"/>
        <v>5.4618652426483516</v>
      </c>
      <c r="R95" s="10">
        <f t="shared" si="65"/>
        <v>8.1690707928134039</v>
      </c>
      <c r="T95" s="10">
        <f t="shared" si="66"/>
        <v>2.8417185800774152</v>
      </c>
      <c r="U95" s="10">
        <f t="shared" si="66"/>
        <v>2.7477314345126453</v>
      </c>
      <c r="V95" s="10">
        <f t="shared" si="66"/>
        <v>3.4857175946963159</v>
      </c>
      <c r="W95" s="10">
        <f t="shared" si="66"/>
        <v>4.6731719016099298</v>
      </c>
      <c r="X95" s="10">
        <f t="shared" si="66"/>
        <v>6.5001949824079679</v>
      </c>
    </row>
    <row r="96" spans="1:44">
      <c r="A96" s="199" t="s">
        <v>16</v>
      </c>
      <c r="B96" s="200" t="str">
        <f>'[2]TS BYDem'!D23</f>
        <v>TFHCV4</v>
      </c>
      <c r="C96" s="200" t="str">
        <f t="shared" si="64"/>
        <v>Transport Freight - HCV4</v>
      </c>
      <c r="D96" s="199" t="s">
        <v>150</v>
      </c>
      <c r="F96" s="252">
        <v>0.57023972229676601</v>
      </c>
      <c r="G96" s="200">
        <v>0.53653175775760331</v>
      </c>
      <c r="H96" s="200">
        <v>0.54380700000000004</v>
      </c>
      <c r="I96" s="10">
        <f t="shared" si="67"/>
        <v>0.57787930290187206</v>
      </c>
      <c r="J96" s="10">
        <f t="shared" si="67"/>
        <v>0.73308622103133991</v>
      </c>
      <c r="K96" s="10">
        <f t="shared" si="67"/>
        <v>0.98282142385649318</v>
      </c>
      <c r="L96" s="10">
        <f t="shared" si="67"/>
        <v>1.3670652444336904</v>
      </c>
      <c r="N96" s="10">
        <f t="shared" si="65"/>
        <v>0.5976458730544385</v>
      </c>
      <c r="O96" s="10">
        <f t="shared" si="65"/>
        <v>0.57787930290187206</v>
      </c>
      <c r="P96" s="10">
        <f t="shared" si="65"/>
        <v>0.79683284894710849</v>
      </c>
      <c r="Q96" s="10">
        <f t="shared" si="65"/>
        <v>1.1486926412534983</v>
      </c>
      <c r="R96" s="10">
        <f t="shared" si="65"/>
        <v>1.7180488878252951</v>
      </c>
      <c r="T96" s="10">
        <f t="shared" si="66"/>
        <v>0.5976458730544385</v>
      </c>
      <c r="U96" s="10">
        <f t="shared" si="66"/>
        <v>0.57787930290187206</v>
      </c>
      <c r="V96" s="10">
        <f t="shared" si="66"/>
        <v>0.73308622103133991</v>
      </c>
      <c r="W96" s="10">
        <f t="shared" si="66"/>
        <v>0.98282142385649318</v>
      </c>
      <c r="X96" s="10">
        <f t="shared" si="66"/>
        <v>1.3670652444336904</v>
      </c>
    </row>
    <row r="97" spans="1:78">
      <c r="A97" s="199" t="s">
        <v>16</v>
      </c>
      <c r="B97" s="200" t="str">
        <f>'[2]TS BYDem'!D24</f>
        <v>TFHCV5</v>
      </c>
      <c r="C97" s="200" t="str">
        <f t="shared" si="64"/>
        <v>Transport Freight - HCV5</v>
      </c>
      <c r="D97" s="199" t="s">
        <v>150</v>
      </c>
      <c r="F97" s="252">
        <v>0.27326501935541303</v>
      </c>
      <c r="G97" s="10">
        <v>0.28568357599999999</v>
      </c>
      <c r="H97" s="10">
        <v>0.289557377</v>
      </c>
      <c r="I97" s="10">
        <f t="shared" si="67"/>
        <v>0.27692598869917107</v>
      </c>
      <c r="J97" s="10">
        <f t="shared" si="67"/>
        <v>0.35130281624797255</v>
      </c>
      <c r="K97" s="10">
        <f t="shared" si="67"/>
        <v>0.47097861638142557</v>
      </c>
      <c r="L97" s="10">
        <f t="shared" si="67"/>
        <v>0.65511239549508204</v>
      </c>
      <c r="N97" s="10">
        <f t="shared" si="65"/>
        <v>0.28639834210446419</v>
      </c>
      <c r="O97" s="10">
        <f t="shared" si="65"/>
        <v>0.27692598869917107</v>
      </c>
      <c r="P97" s="10">
        <f t="shared" si="65"/>
        <v>0.38185088722605709</v>
      </c>
      <c r="Q97" s="10">
        <f t="shared" si="65"/>
        <v>0.55046589104888444</v>
      </c>
      <c r="R97" s="10">
        <f t="shared" si="65"/>
        <v>0.82330753931728973</v>
      </c>
      <c r="T97" s="10">
        <f t="shared" si="66"/>
        <v>0.28639834210446419</v>
      </c>
      <c r="U97" s="10">
        <f t="shared" si="66"/>
        <v>0.27692598869917107</v>
      </c>
      <c r="V97" s="10">
        <f t="shared" si="66"/>
        <v>0.35130281624797255</v>
      </c>
      <c r="W97" s="10">
        <f t="shared" si="66"/>
        <v>0.47097861638142557</v>
      </c>
      <c r="X97" s="10">
        <f t="shared" si="66"/>
        <v>0.65511239549508204</v>
      </c>
    </row>
    <row r="98" spans="1:78">
      <c r="A98" s="199" t="s">
        <v>16</v>
      </c>
      <c r="B98" s="200" t="str">
        <f>'[2]TS BYDem'!D25</f>
        <v>TFHCV6</v>
      </c>
      <c r="C98" s="200" t="str">
        <f t="shared" si="64"/>
        <v>Transport Freight - HCV6</v>
      </c>
      <c r="D98" s="199" t="s">
        <v>150</v>
      </c>
      <c r="F98" s="252">
        <v>5.0361375113209599</v>
      </c>
      <c r="G98" s="10">
        <v>6.01</v>
      </c>
      <c r="H98" s="10">
        <v>6.6407838452289196</v>
      </c>
      <c r="I98" s="10">
        <f>I55/I69</f>
        <v>5.1036073436594931</v>
      </c>
      <c r="J98" s="10">
        <f>J55/J69</f>
        <v>6.4743350426350972</v>
      </c>
      <c r="K98" s="10">
        <f t="shared" si="67"/>
        <v>8.6799001298574261</v>
      </c>
      <c r="L98" s="10">
        <f t="shared" si="67"/>
        <v>12.073393502272875</v>
      </c>
      <c r="N98" s="10">
        <f t="shared" si="65"/>
        <v>5.2781780750959992</v>
      </c>
      <c r="O98" s="10">
        <f t="shared" si="65"/>
        <v>5.1036073436594931</v>
      </c>
      <c r="P98" s="10">
        <f t="shared" si="65"/>
        <v>7.0373206985164094</v>
      </c>
      <c r="Q98" s="10">
        <f t="shared" si="65"/>
        <v>10.144810810960056</v>
      </c>
      <c r="R98" s="10">
        <f t="shared" si="65"/>
        <v>15.173145805085374</v>
      </c>
      <c r="T98" s="10">
        <f t="shared" si="66"/>
        <v>5.2781780750959992</v>
      </c>
      <c r="U98" s="10">
        <f t="shared" si="66"/>
        <v>5.1036073436594931</v>
      </c>
      <c r="V98" s="10">
        <f t="shared" si="66"/>
        <v>6.4743350426350972</v>
      </c>
      <c r="W98" s="10">
        <f t="shared" si="66"/>
        <v>8.6799001298574261</v>
      </c>
      <c r="X98" s="10">
        <f t="shared" si="66"/>
        <v>12.073393502272875</v>
      </c>
    </row>
    <row r="99" spans="1:78">
      <c r="A99" s="199" t="s">
        <v>16</v>
      </c>
      <c r="B99" s="200" t="str">
        <f>'[2]TS BYDem'!D26</f>
        <v>TFHCV7</v>
      </c>
      <c r="C99" s="200" t="str">
        <f t="shared" si="64"/>
        <v>Transport Freight - HCV7</v>
      </c>
      <c r="D99" s="199" t="s">
        <v>150</v>
      </c>
      <c r="F99" s="252">
        <v>1.5653068685251901</v>
      </c>
      <c r="G99" s="10">
        <v>1.7</v>
      </c>
      <c r="H99" s="10">
        <v>1.78</v>
      </c>
      <c r="I99" s="10">
        <f t="shared" si="67"/>
        <v>1.5862775016225472</v>
      </c>
      <c r="J99" s="10">
        <f t="shared" si="67"/>
        <v>2.0123201736625842</v>
      </c>
      <c r="K99" s="10">
        <f t="shared" si="67"/>
        <v>2.697842793378129</v>
      </c>
      <c r="L99" s="10">
        <f t="shared" si="67"/>
        <v>3.7525912930360215</v>
      </c>
      <c r="N99" s="10">
        <f t="shared" si="65"/>
        <v>1.6405366961633561</v>
      </c>
      <c r="O99" s="10">
        <f t="shared" si="65"/>
        <v>1.5862775016225472</v>
      </c>
      <c r="P99" s="10">
        <f t="shared" si="65"/>
        <v>2.1873045365897652</v>
      </c>
      <c r="Q99" s="10">
        <f t="shared" si="65"/>
        <v>3.1531589450422262</v>
      </c>
      <c r="R99" s="10">
        <f t="shared" si="65"/>
        <v>4.7160406745137919</v>
      </c>
      <c r="T99" s="10">
        <f t="shared" si="66"/>
        <v>1.6405366961633561</v>
      </c>
      <c r="U99" s="10">
        <f t="shared" si="66"/>
        <v>1.5862775016225472</v>
      </c>
      <c r="V99" s="10">
        <f t="shared" si="66"/>
        <v>2.0123201736625842</v>
      </c>
      <c r="W99" s="10">
        <f t="shared" si="66"/>
        <v>2.697842793378129</v>
      </c>
      <c r="X99" s="10">
        <f t="shared" si="66"/>
        <v>3.7525912930360215</v>
      </c>
    </row>
    <row r="100" spans="1:78">
      <c r="A100" s="199" t="s">
        <v>16</v>
      </c>
      <c r="B100" s="200" t="str">
        <f>'[2]TS BYDem'!D27</f>
        <v>TFHCV8</v>
      </c>
      <c r="C100" s="200" t="str">
        <f>C21</f>
        <v>Transport Freight - HCV8</v>
      </c>
      <c r="D100" s="199" t="s">
        <v>150</v>
      </c>
      <c r="F100" s="252">
        <v>5.8486156921973897E-2</v>
      </c>
      <c r="G100" s="10">
        <v>7.9893942605822804E-2</v>
      </c>
      <c r="H100" s="10">
        <v>0.102046183451296</v>
      </c>
      <c r="I100" s="10">
        <f>I57/I71</f>
        <v>5.9269704073492357E-2</v>
      </c>
      <c r="J100" s="10">
        <f>J57/J71</f>
        <v>7.5188370932641607E-2</v>
      </c>
      <c r="K100" s="10">
        <f>K57/K71</f>
        <v>0.10080225170991157</v>
      </c>
      <c r="L100" s="10">
        <f>L57/L71</f>
        <v>0.14021189559803288</v>
      </c>
      <c r="N100" s="10">
        <f t="shared" si="65"/>
        <v>6.1297045695882089E-2</v>
      </c>
      <c r="O100" s="10">
        <f t="shared" si="65"/>
        <v>5.9269704073492357E-2</v>
      </c>
      <c r="P100" s="10">
        <f t="shared" si="65"/>
        <v>8.1726490144175656E-2</v>
      </c>
      <c r="Q100" s="10">
        <f t="shared" si="65"/>
        <v>0.11781469344309441</v>
      </c>
      <c r="R100" s="10">
        <f t="shared" si="65"/>
        <v>0.17621023742130637</v>
      </c>
      <c r="T100" s="10">
        <f t="shared" si="66"/>
        <v>6.1297045695882089E-2</v>
      </c>
      <c r="U100" s="10">
        <f t="shared" si="66"/>
        <v>5.9269704073492357E-2</v>
      </c>
      <c r="V100" s="10">
        <f t="shared" si="66"/>
        <v>7.5188370932641607E-2</v>
      </c>
      <c r="W100" s="10">
        <f t="shared" si="66"/>
        <v>0.10080225170991157</v>
      </c>
      <c r="X100" s="10">
        <f t="shared" si="66"/>
        <v>0.14021189559803288</v>
      </c>
    </row>
    <row r="101" spans="1:78">
      <c r="A101" s="199" t="s">
        <v>16</v>
      </c>
      <c r="B101" s="200" t="str">
        <f>'[2]TS BYDem'!D28</f>
        <v>TFHCV9</v>
      </c>
      <c r="C101" s="200" t="str">
        <f>C22</f>
        <v>Transport Freight - HCV9</v>
      </c>
      <c r="D101" s="199" t="s">
        <v>150</v>
      </c>
      <c r="F101" s="252">
        <v>3.9969372950314899E-2</v>
      </c>
      <c r="G101" s="24">
        <v>2.2368931977559604E-2</v>
      </c>
      <c r="H101" s="200">
        <v>2.2670999999999997E-2</v>
      </c>
      <c r="I101" s="200">
        <f t="shared" si="67"/>
        <v>4.0504848180205263E-2</v>
      </c>
      <c r="J101" s="200">
        <f t="shared" si="67"/>
        <v>5.138364696012826E-2</v>
      </c>
      <c r="K101" s="10">
        <f t="shared" si="67"/>
        <v>6.8888143876508184E-2</v>
      </c>
      <c r="L101" s="10">
        <f t="shared" si="67"/>
        <v>9.5820649571913288E-2</v>
      </c>
      <c r="N101" s="10">
        <f t="shared" si="65"/>
        <v>4.1890331133224316E-2</v>
      </c>
      <c r="O101" s="10">
        <f t="shared" si="65"/>
        <v>4.0504848180205263E-2</v>
      </c>
      <c r="P101" s="10">
        <f t="shared" si="65"/>
        <v>5.5851790174052458E-2</v>
      </c>
      <c r="Q101" s="10">
        <f t="shared" si="65"/>
        <v>8.0514427158144219E-2</v>
      </c>
      <c r="R101" s="10">
        <f t="shared" si="65"/>
        <v>0.12042187532601566</v>
      </c>
      <c r="T101" s="10">
        <f t="shared" si="66"/>
        <v>4.1890331133224316E-2</v>
      </c>
      <c r="U101" s="10">
        <f t="shared" si="66"/>
        <v>4.0504848180205263E-2</v>
      </c>
      <c r="V101" s="10">
        <f t="shared" si="66"/>
        <v>5.138364696012826E-2</v>
      </c>
      <c r="W101" s="10">
        <f t="shared" si="66"/>
        <v>6.8888143876508184E-2</v>
      </c>
      <c r="X101" s="10">
        <f t="shared" si="66"/>
        <v>9.5820649571913288E-2</v>
      </c>
    </row>
    <row r="102" spans="1:78">
      <c r="A102" s="199" t="s">
        <v>16</v>
      </c>
      <c r="B102" s="200" t="str">
        <f>'[2]TS BYDem'!D29</f>
        <v>TFRCO</v>
      </c>
      <c r="C102" s="200" t="str">
        <f>C23</f>
        <v>Transport Freight - Rail Corridor</v>
      </c>
      <c r="D102" s="199" t="s">
        <v>149</v>
      </c>
      <c r="F102" s="252">
        <f>'[2]TS BYDem'!J29</f>
        <v>22</v>
      </c>
      <c r="G102" s="10">
        <f t="shared" ref="G102:L102" si="68">G59</f>
        <v>23.057336578097942</v>
      </c>
      <c r="H102" s="10">
        <f t="shared" si="68"/>
        <v>23.440803697006192</v>
      </c>
      <c r="I102" s="10">
        <f t="shared" si="68"/>
        <v>22.294737049596232</v>
      </c>
      <c r="J102" s="10">
        <f t="shared" si="68"/>
        <v>47.618755653587478</v>
      </c>
      <c r="K102" s="10">
        <f t="shared" si="68"/>
        <v>88.230785222976934</v>
      </c>
      <c r="L102" s="10">
        <f t="shared" si="68"/>
        <v>159.20467190461548</v>
      </c>
      <c r="N102" s="10"/>
    </row>
    <row r="103" spans="1:78">
      <c r="A103" s="199" t="s">
        <v>16</v>
      </c>
      <c r="B103" s="200" t="str">
        <f>'[2]TS BYDem'!D30</f>
        <v>TFROT</v>
      </c>
      <c r="C103" s="200" t="str">
        <f>C24</f>
        <v>Transport Freight - Rail Other</v>
      </c>
      <c r="D103" s="199" t="s">
        <v>149</v>
      </c>
      <c r="F103" s="252">
        <f>'[2]TS BYDem'!J30</f>
        <v>25.1</v>
      </c>
      <c r="G103" s="10">
        <f t="shared" ref="G103:L103" si="69">G47</f>
        <v>26.306324914102674</v>
      </c>
      <c r="H103" s="10">
        <f t="shared" si="69"/>
        <v>27.00553040953406</v>
      </c>
      <c r="I103" s="10">
        <f t="shared" si="69"/>
        <v>25.685177315073595</v>
      </c>
      <c r="J103" s="10">
        <f t="shared" si="69"/>
        <v>35.743129990897167</v>
      </c>
      <c r="K103" s="10">
        <f t="shared" si="69"/>
        <v>51.972861792801233</v>
      </c>
      <c r="L103" s="10">
        <f t="shared" si="69"/>
        <v>78.367984094012272</v>
      </c>
      <c r="N103" s="10"/>
    </row>
    <row r="104" spans="1:78">
      <c r="A104" s="199" t="s">
        <v>16</v>
      </c>
      <c r="B104" s="200" t="str">
        <f>'[2]TS BYDem'!D31</f>
        <v>TFREX</v>
      </c>
      <c r="C104" s="200" t="str">
        <f>C25</f>
        <v>Transport Freight - Rail Export (bulk mining)</v>
      </c>
      <c r="D104" s="199" t="s">
        <v>149</v>
      </c>
      <c r="F104" s="252">
        <f>'[2]TS BYDem'!J31</f>
        <v>82</v>
      </c>
      <c r="G104" s="10">
        <f>F104</f>
        <v>82</v>
      </c>
      <c r="H104" s="10">
        <f>G104</f>
        <v>82</v>
      </c>
      <c r="I104" s="10">
        <f>G104*(1+(G25+I25)/2*((I8/G8)^(1/(I$4-G$4))-1))^(I$4-G$4)</f>
        <v>75.296230147600639</v>
      </c>
      <c r="J104" s="10">
        <f>I104*(1+(I25+J25)/2*((J8/I8)^(1/(J$4-I$4))-1))^(J$4-I$4)</f>
        <v>96.184817778094512</v>
      </c>
      <c r="K104" s="10">
        <f>J104*(1+(J25+K25)/2*((K8/J8)^(1/(K$4-J$4))-1))^(K$4-J$4)</f>
        <v>128.81187086314046</v>
      </c>
      <c r="L104" s="10">
        <f>K104*(1+(K25+L25)/2*((L8/K8)^(1/(L$4-K$4))-1))^(L$4-K$4)</f>
        <v>186.96214976435544</v>
      </c>
      <c r="N104" s="10"/>
    </row>
    <row r="105" spans="1:78">
      <c r="B105" s="200"/>
      <c r="C105" s="200"/>
      <c r="F105" s="252"/>
      <c r="G105" s="10"/>
      <c r="H105" s="10"/>
      <c r="I105" s="10"/>
      <c r="J105" s="10"/>
      <c r="K105" s="10"/>
      <c r="L105" s="10"/>
      <c r="N105" s="10"/>
    </row>
    <row r="106" spans="1:78" ht="23.25">
      <c r="A106" s="124" t="s">
        <v>16</v>
      </c>
      <c r="B106" s="128" t="s">
        <v>18</v>
      </c>
      <c r="C106" s="128" t="s">
        <v>19</v>
      </c>
      <c r="D106" s="128" t="s">
        <v>20</v>
      </c>
      <c r="E106" s="128" t="s">
        <v>21</v>
      </c>
      <c r="F106" s="128" t="s">
        <v>22</v>
      </c>
      <c r="G106" s="128" t="s">
        <v>23</v>
      </c>
      <c r="H106" s="128" t="s">
        <v>24</v>
      </c>
      <c r="I106" s="128" t="s">
        <v>618</v>
      </c>
      <c r="J106" s="129" t="s">
        <v>25</v>
      </c>
      <c r="K106" s="199">
        <v>2012</v>
      </c>
      <c r="L106" s="199">
        <f>1+K106</f>
        <v>2013</v>
      </c>
      <c r="M106" s="199">
        <f t="shared" ref="M106:AW106" si="70">1+L106</f>
        <v>2014</v>
      </c>
      <c r="N106" s="199">
        <f t="shared" si="70"/>
        <v>2015</v>
      </c>
      <c r="O106" s="199">
        <f t="shared" si="70"/>
        <v>2016</v>
      </c>
      <c r="P106" s="199">
        <f t="shared" si="70"/>
        <v>2017</v>
      </c>
      <c r="Q106" s="199">
        <f t="shared" si="70"/>
        <v>2018</v>
      </c>
      <c r="R106" s="199">
        <f t="shared" si="70"/>
        <v>2019</v>
      </c>
      <c r="S106" s="199">
        <f t="shared" si="70"/>
        <v>2020</v>
      </c>
      <c r="T106" s="199">
        <f t="shared" si="70"/>
        <v>2021</v>
      </c>
      <c r="U106" s="199">
        <f t="shared" si="70"/>
        <v>2022</v>
      </c>
      <c r="V106" s="199">
        <f t="shared" si="70"/>
        <v>2023</v>
      </c>
      <c r="W106" s="199">
        <f t="shared" si="70"/>
        <v>2024</v>
      </c>
      <c r="X106" s="199">
        <f t="shared" si="70"/>
        <v>2025</v>
      </c>
      <c r="Y106" s="199">
        <f t="shared" si="70"/>
        <v>2026</v>
      </c>
      <c r="Z106" s="199">
        <f>1+Y106</f>
        <v>2027</v>
      </c>
      <c r="AA106" s="199">
        <f>1+Z106</f>
        <v>2028</v>
      </c>
      <c r="AB106" s="199">
        <f t="shared" si="70"/>
        <v>2029</v>
      </c>
      <c r="AC106" s="199">
        <f t="shared" si="70"/>
        <v>2030</v>
      </c>
      <c r="AD106" s="199">
        <f t="shared" si="70"/>
        <v>2031</v>
      </c>
      <c r="AE106" s="199">
        <f t="shared" si="70"/>
        <v>2032</v>
      </c>
      <c r="AF106" s="199">
        <f t="shared" si="70"/>
        <v>2033</v>
      </c>
      <c r="AG106" s="199">
        <f t="shared" si="70"/>
        <v>2034</v>
      </c>
      <c r="AH106" s="199">
        <f t="shared" si="70"/>
        <v>2035</v>
      </c>
      <c r="AI106" s="199">
        <f t="shared" si="70"/>
        <v>2036</v>
      </c>
      <c r="AJ106" s="199">
        <f t="shared" si="70"/>
        <v>2037</v>
      </c>
      <c r="AK106" s="199">
        <f t="shared" si="70"/>
        <v>2038</v>
      </c>
      <c r="AL106" s="199">
        <f t="shared" si="70"/>
        <v>2039</v>
      </c>
      <c r="AM106" s="199">
        <f t="shared" si="70"/>
        <v>2040</v>
      </c>
      <c r="AN106" s="199">
        <f t="shared" si="70"/>
        <v>2041</v>
      </c>
      <c r="AO106" s="199">
        <f t="shared" si="70"/>
        <v>2042</v>
      </c>
      <c r="AP106" s="199">
        <f t="shared" si="70"/>
        <v>2043</v>
      </c>
      <c r="AQ106" s="199">
        <f t="shared" si="70"/>
        <v>2044</v>
      </c>
      <c r="AR106" s="199">
        <f t="shared" si="70"/>
        <v>2045</v>
      </c>
      <c r="AS106" s="199">
        <f t="shared" si="70"/>
        <v>2046</v>
      </c>
      <c r="AT106" s="199">
        <f t="shared" si="70"/>
        <v>2047</v>
      </c>
      <c r="AU106" s="199">
        <f t="shared" si="70"/>
        <v>2048</v>
      </c>
      <c r="AV106" s="199">
        <f t="shared" si="70"/>
        <v>2049</v>
      </c>
      <c r="AW106" s="199">
        <f t="shared" si="70"/>
        <v>2050</v>
      </c>
      <c r="AX106" s="199">
        <v>2060</v>
      </c>
      <c r="AY106" s="199">
        <v>2070</v>
      </c>
    </row>
    <row r="107" spans="1:78" s="205" customFormat="1">
      <c r="A107" s="124" t="s">
        <v>16</v>
      </c>
      <c r="B107" s="205" t="s">
        <v>392</v>
      </c>
      <c r="C107" s="205">
        <v>1</v>
      </c>
      <c r="D107" s="205">
        <v>2012</v>
      </c>
      <c r="E107" s="205">
        <v>2015</v>
      </c>
      <c r="F107" s="205">
        <v>2017</v>
      </c>
      <c r="G107" s="205">
        <v>2020</v>
      </c>
      <c r="H107" s="205">
        <v>2030</v>
      </c>
      <c r="I107" s="205">
        <v>2040</v>
      </c>
      <c r="J107" s="254">
        <v>2050</v>
      </c>
      <c r="K107" s="205">
        <f t="shared" ref="K107:T108" si="71">MATCH(K$106,$D$107:$J$107,$C107)</f>
        <v>1</v>
      </c>
      <c r="L107" s="205">
        <f t="shared" si="71"/>
        <v>1</v>
      </c>
      <c r="M107" s="205">
        <f t="shared" si="71"/>
        <v>1</v>
      </c>
      <c r="N107" s="205">
        <f t="shared" si="71"/>
        <v>2</v>
      </c>
      <c r="O107" s="205">
        <f t="shared" si="71"/>
        <v>2</v>
      </c>
      <c r="P107" s="205">
        <f t="shared" si="71"/>
        <v>3</v>
      </c>
      <c r="Q107" s="205">
        <f t="shared" si="71"/>
        <v>3</v>
      </c>
      <c r="R107" s="205">
        <f t="shared" si="71"/>
        <v>3</v>
      </c>
      <c r="S107" s="205">
        <f t="shared" si="71"/>
        <v>4</v>
      </c>
      <c r="T107" s="205">
        <f t="shared" si="71"/>
        <v>4</v>
      </c>
      <c r="U107" s="205">
        <f t="shared" ref="U107:AD108" si="72">MATCH(U$106,$D$107:$J$107,$C107)</f>
        <v>4</v>
      </c>
      <c r="V107" s="205">
        <f t="shared" si="72"/>
        <v>4</v>
      </c>
      <c r="W107" s="205">
        <f t="shared" si="72"/>
        <v>4</v>
      </c>
      <c r="X107" s="205">
        <f t="shared" si="72"/>
        <v>4</v>
      </c>
      <c r="Y107" s="205">
        <f t="shared" si="72"/>
        <v>4</v>
      </c>
      <c r="Z107" s="205">
        <f>MATCH(Z$106,$D$107:$J$107,$C107)</f>
        <v>4</v>
      </c>
      <c r="AA107" s="205">
        <f t="shared" si="72"/>
        <v>4</v>
      </c>
      <c r="AB107" s="205">
        <f t="shared" si="72"/>
        <v>4</v>
      </c>
      <c r="AC107" s="205">
        <f t="shared" si="72"/>
        <v>5</v>
      </c>
      <c r="AD107" s="205">
        <f t="shared" si="72"/>
        <v>5</v>
      </c>
      <c r="AE107" s="205">
        <f t="shared" ref="AE107:AN108" si="73">MATCH(AE$106,$D$107:$J$107,$C107)</f>
        <v>5</v>
      </c>
      <c r="AF107" s="205">
        <f t="shared" si="73"/>
        <v>5</v>
      </c>
      <c r="AG107" s="205">
        <f t="shared" si="73"/>
        <v>5</v>
      </c>
      <c r="AH107" s="205">
        <f t="shared" si="73"/>
        <v>5</v>
      </c>
      <c r="AI107" s="205">
        <f t="shared" si="73"/>
        <v>5</v>
      </c>
      <c r="AJ107" s="205">
        <f t="shared" si="73"/>
        <v>5</v>
      </c>
      <c r="AK107" s="205">
        <f t="shared" si="73"/>
        <v>5</v>
      </c>
      <c r="AL107" s="205">
        <f t="shared" si="73"/>
        <v>5</v>
      </c>
      <c r="AM107" s="205">
        <f t="shared" si="73"/>
        <v>6</v>
      </c>
      <c r="AN107" s="205">
        <f t="shared" si="73"/>
        <v>6</v>
      </c>
      <c r="AO107" s="205">
        <f t="shared" ref="AO107:AY108" si="74">MATCH(AO$106,$D$107:$J$107,$C107)</f>
        <v>6</v>
      </c>
      <c r="AP107" s="205">
        <f t="shared" si="74"/>
        <v>6</v>
      </c>
      <c r="AQ107" s="205">
        <f t="shared" si="74"/>
        <v>6</v>
      </c>
      <c r="AR107" s="205">
        <f t="shared" si="74"/>
        <v>6</v>
      </c>
      <c r="AS107" s="205">
        <f t="shared" si="74"/>
        <v>6</v>
      </c>
      <c r="AT107" s="205">
        <f t="shared" si="74"/>
        <v>6</v>
      </c>
      <c r="AU107" s="205">
        <f t="shared" si="74"/>
        <v>6</v>
      </c>
      <c r="AV107" s="205">
        <f t="shared" si="74"/>
        <v>6</v>
      </c>
      <c r="AW107" s="205">
        <f t="shared" si="74"/>
        <v>7</v>
      </c>
      <c r="AX107" s="205">
        <f t="shared" si="74"/>
        <v>7</v>
      </c>
      <c r="AY107" s="205">
        <f t="shared" si="74"/>
        <v>7</v>
      </c>
      <c r="AZ107" s="199"/>
      <c r="BA107" s="199"/>
      <c r="BB107" s="199"/>
      <c r="BC107" s="199"/>
      <c r="BD107" s="199"/>
      <c r="BE107" s="199"/>
      <c r="BF107" s="199"/>
      <c r="BG107" s="199"/>
      <c r="BH107" s="199"/>
      <c r="BI107" s="199"/>
      <c r="BJ107" s="199"/>
      <c r="BK107" s="199"/>
      <c r="BL107" s="199"/>
      <c r="BM107" s="199"/>
      <c r="BN107" s="199"/>
      <c r="BO107" s="199"/>
      <c r="BP107" s="199"/>
      <c r="BQ107" s="199"/>
      <c r="BR107" s="199"/>
      <c r="BS107" s="199"/>
      <c r="BT107" s="199"/>
      <c r="BU107" s="199"/>
      <c r="BV107" s="199"/>
      <c r="BW107" s="199"/>
      <c r="BX107" s="199"/>
      <c r="BY107" s="199"/>
      <c r="BZ107" s="199"/>
    </row>
    <row r="108" spans="1:78">
      <c r="A108" s="41" t="s">
        <v>16</v>
      </c>
      <c r="B108" s="199" t="s">
        <v>393</v>
      </c>
      <c r="C108" s="199">
        <v>0</v>
      </c>
      <c r="D108" s="199">
        <f t="shared" ref="D108:I108" si="75">INDEX($D107:$J107,0,COUNT($D107:$J107)-D109)</f>
        <v>2050</v>
      </c>
      <c r="E108" s="199">
        <f t="shared" si="75"/>
        <v>2040</v>
      </c>
      <c r="F108" s="199">
        <f t="shared" si="75"/>
        <v>2030</v>
      </c>
      <c r="G108" s="199">
        <f t="shared" si="75"/>
        <v>2020</v>
      </c>
      <c r="H108" s="199">
        <f t="shared" si="75"/>
        <v>2017</v>
      </c>
      <c r="I108" s="199">
        <f t="shared" si="75"/>
        <v>2015</v>
      </c>
      <c r="J108" s="131">
        <v>2012</v>
      </c>
      <c r="K108" s="41">
        <f t="shared" si="71"/>
        <v>1</v>
      </c>
      <c r="L108" s="41" t="e">
        <f t="shared" si="71"/>
        <v>#N/A</v>
      </c>
      <c r="M108" s="41" t="e">
        <f t="shared" si="71"/>
        <v>#N/A</v>
      </c>
      <c r="N108" s="41">
        <f t="shared" si="71"/>
        <v>2</v>
      </c>
      <c r="O108" s="41" t="e">
        <f t="shared" si="71"/>
        <v>#N/A</v>
      </c>
      <c r="P108" s="41">
        <f t="shared" si="71"/>
        <v>3</v>
      </c>
      <c r="Q108" s="41" t="e">
        <f t="shared" si="71"/>
        <v>#N/A</v>
      </c>
      <c r="R108" s="41" t="e">
        <f t="shared" si="71"/>
        <v>#N/A</v>
      </c>
      <c r="S108" s="41">
        <f t="shared" si="71"/>
        <v>4</v>
      </c>
      <c r="T108" s="41" t="e">
        <f t="shared" si="71"/>
        <v>#N/A</v>
      </c>
      <c r="U108" s="41" t="e">
        <f t="shared" si="72"/>
        <v>#N/A</v>
      </c>
      <c r="V108" s="41" t="e">
        <f t="shared" si="72"/>
        <v>#N/A</v>
      </c>
      <c r="W108" s="41" t="e">
        <f t="shared" si="72"/>
        <v>#N/A</v>
      </c>
      <c r="X108" s="41" t="e">
        <f t="shared" si="72"/>
        <v>#N/A</v>
      </c>
      <c r="Y108" s="41" t="e">
        <f t="shared" si="72"/>
        <v>#N/A</v>
      </c>
      <c r="Z108" s="41" t="e">
        <f>MATCH(Z$106,$D$107:$J$107,$C108)</f>
        <v>#N/A</v>
      </c>
      <c r="AA108" s="41" t="e">
        <f t="shared" si="72"/>
        <v>#N/A</v>
      </c>
      <c r="AB108" s="41" t="e">
        <f t="shared" si="72"/>
        <v>#N/A</v>
      </c>
      <c r="AC108" s="41">
        <f t="shared" si="72"/>
        <v>5</v>
      </c>
      <c r="AD108" s="41" t="e">
        <f t="shared" si="72"/>
        <v>#N/A</v>
      </c>
      <c r="AE108" s="41" t="e">
        <f t="shared" si="73"/>
        <v>#N/A</v>
      </c>
      <c r="AF108" s="41" t="e">
        <f t="shared" si="73"/>
        <v>#N/A</v>
      </c>
      <c r="AG108" s="41" t="e">
        <f t="shared" si="73"/>
        <v>#N/A</v>
      </c>
      <c r="AH108" s="41" t="e">
        <f t="shared" si="73"/>
        <v>#N/A</v>
      </c>
      <c r="AI108" s="41" t="e">
        <f t="shared" si="73"/>
        <v>#N/A</v>
      </c>
      <c r="AJ108" s="41" t="e">
        <f t="shared" si="73"/>
        <v>#N/A</v>
      </c>
      <c r="AK108" s="41" t="e">
        <f t="shared" si="73"/>
        <v>#N/A</v>
      </c>
      <c r="AL108" s="41" t="e">
        <f t="shared" si="73"/>
        <v>#N/A</v>
      </c>
      <c r="AM108" s="41">
        <f t="shared" si="73"/>
        <v>6</v>
      </c>
      <c r="AN108" s="41" t="e">
        <f t="shared" si="73"/>
        <v>#N/A</v>
      </c>
      <c r="AO108" s="41" t="e">
        <f t="shared" si="74"/>
        <v>#N/A</v>
      </c>
      <c r="AP108" s="41" t="e">
        <f t="shared" si="74"/>
        <v>#N/A</v>
      </c>
      <c r="AQ108" s="41" t="e">
        <f t="shared" si="74"/>
        <v>#N/A</v>
      </c>
      <c r="AR108" s="41" t="e">
        <f t="shared" si="74"/>
        <v>#N/A</v>
      </c>
      <c r="AS108" s="41" t="e">
        <f t="shared" si="74"/>
        <v>#N/A</v>
      </c>
      <c r="AT108" s="41" t="e">
        <f t="shared" si="74"/>
        <v>#N/A</v>
      </c>
      <c r="AU108" s="41" t="e">
        <f t="shared" si="74"/>
        <v>#N/A</v>
      </c>
      <c r="AV108" s="41" t="e">
        <f t="shared" si="74"/>
        <v>#N/A</v>
      </c>
      <c r="AW108" s="41">
        <f t="shared" si="74"/>
        <v>7</v>
      </c>
      <c r="AX108" s="41" t="e">
        <f t="shared" si="74"/>
        <v>#N/A</v>
      </c>
      <c r="AY108" s="41" t="e">
        <f t="shared" si="74"/>
        <v>#N/A</v>
      </c>
    </row>
    <row r="109" spans="1:78">
      <c r="A109" s="41" t="s">
        <v>16</v>
      </c>
      <c r="B109" s="199" t="s">
        <v>391</v>
      </c>
      <c r="C109" s="199">
        <v>-1</v>
      </c>
      <c r="D109" s="199">
        <v>0</v>
      </c>
      <c r="E109" s="199">
        <v>1</v>
      </c>
      <c r="F109" s="202">
        <v>2</v>
      </c>
      <c r="G109" s="199">
        <v>3</v>
      </c>
      <c r="H109" s="199">
        <v>4</v>
      </c>
      <c r="I109" s="199">
        <v>5</v>
      </c>
      <c r="J109" s="199">
        <v>6</v>
      </c>
      <c r="K109" s="41">
        <f t="shared" ref="K109:AY109" si="76">MATCH(K$106,$D$108:$J$108,$C109)</f>
        <v>7</v>
      </c>
      <c r="L109" s="41">
        <f t="shared" si="76"/>
        <v>6</v>
      </c>
      <c r="M109" s="41">
        <f t="shared" si="76"/>
        <v>6</v>
      </c>
      <c r="N109" s="41">
        <f t="shared" si="76"/>
        <v>6</v>
      </c>
      <c r="O109" s="41">
        <f t="shared" si="76"/>
        <v>5</v>
      </c>
      <c r="P109" s="41">
        <f t="shared" si="76"/>
        <v>5</v>
      </c>
      <c r="Q109" s="41">
        <f t="shared" si="76"/>
        <v>4</v>
      </c>
      <c r="R109" s="41">
        <f t="shared" si="76"/>
        <v>4</v>
      </c>
      <c r="S109" s="41">
        <f t="shared" si="76"/>
        <v>4</v>
      </c>
      <c r="T109" s="41">
        <f t="shared" si="76"/>
        <v>3</v>
      </c>
      <c r="U109" s="41">
        <f t="shared" si="76"/>
        <v>3</v>
      </c>
      <c r="V109" s="41">
        <f t="shared" si="76"/>
        <v>3</v>
      </c>
      <c r="W109" s="41">
        <f t="shared" si="76"/>
        <v>3</v>
      </c>
      <c r="X109" s="41">
        <f t="shared" si="76"/>
        <v>3</v>
      </c>
      <c r="Y109" s="41">
        <f t="shared" si="76"/>
        <v>3</v>
      </c>
      <c r="Z109" s="41">
        <f>MATCH(Z$106,$D$108:$J$108,$C109)</f>
        <v>3</v>
      </c>
      <c r="AA109" s="41">
        <f t="shared" si="76"/>
        <v>3</v>
      </c>
      <c r="AB109" s="41">
        <f t="shared" si="76"/>
        <v>3</v>
      </c>
      <c r="AC109" s="41">
        <f t="shared" si="76"/>
        <v>3</v>
      </c>
      <c r="AD109" s="41">
        <f t="shared" si="76"/>
        <v>2</v>
      </c>
      <c r="AE109" s="41">
        <f t="shared" si="76"/>
        <v>2</v>
      </c>
      <c r="AF109" s="41">
        <f t="shared" si="76"/>
        <v>2</v>
      </c>
      <c r="AG109" s="41">
        <f t="shared" si="76"/>
        <v>2</v>
      </c>
      <c r="AH109" s="41">
        <f t="shared" si="76"/>
        <v>2</v>
      </c>
      <c r="AI109" s="41">
        <f t="shared" si="76"/>
        <v>2</v>
      </c>
      <c r="AJ109" s="41">
        <f t="shared" si="76"/>
        <v>2</v>
      </c>
      <c r="AK109" s="41">
        <f t="shared" si="76"/>
        <v>2</v>
      </c>
      <c r="AL109" s="41">
        <f t="shared" si="76"/>
        <v>2</v>
      </c>
      <c r="AM109" s="41">
        <f t="shared" si="76"/>
        <v>2</v>
      </c>
      <c r="AN109" s="41">
        <f t="shared" si="76"/>
        <v>1</v>
      </c>
      <c r="AO109" s="41">
        <f t="shared" si="76"/>
        <v>1</v>
      </c>
      <c r="AP109" s="41">
        <f t="shared" si="76"/>
        <v>1</v>
      </c>
      <c r="AQ109" s="41">
        <f t="shared" si="76"/>
        <v>1</v>
      </c>
      <c r="AR109" s="41">
        <f t="shared" si="76"/>
        <v>1</v>
      </c>
      <c r="AS109" s="41">
        <f t="shared" si="76"/>
        <v>1</v>
      </c>
      <c r="AT109" s="41">
        <f t="shared" si="76"/>
        <v>1</v>
      </c>
      <c r="AU109" s="41">
        <f t="shared" si="76"/>
        <v>1</v>
      </c>
      <c r="AV109" s="41">
        <f t="shared" si="76"/>
        <v>1</v>
      </c>
      <c r="AW109" s="41">
        <f t="shared" si="76"/>
        <v>1</v>
      </c>
      <c r="AX109" s="41" t="e">
        <f t="shared" si="76"/>
        <v>#N/A</v>
      </c>
      <c r="AY109" s="41" t="e">
        <f t="shared" si="76"/>
        <v>#N/A</v>
      </c>
    </row>
    <row r="110" spans="1:78" s="127" customFormat="1">
      <c r="A110" s="126" t="s">
        <v>16</v>
      </c>
      <c r="B110" s="127" t="s">
        <v>394</v>
      </c>
      <c r="J110" s="132"/>
      <c r="K110" s="203">
        <f>IF(ISNA(K107),-1,IF(ISNA(K109),99,IF(ISNA(K108),K107,0)))</f>
        <v>0</v>
      </c>
      <c r="L110" s="203">
        <f t="shared" ref="L110:AY110" si="77">IF(ISNA(L107),-1,IF(ISNA(L109),99,IF(ISNA(L108),L107,0)))</f>
        <v>1</v>
      </c>
      <c r="M110" s="203">
        <f t="shared" si="77"/>
        <v>1</v>
      </c>
      <c r="N110" s="203">
        <f t="shared" si="77"/>
        <v>0</v>
      </c>
      <c r="O110" s="203">
        <f t="shared" si="77"/>
        <v>2</v>
      </c>
      <c r="P110" s="203">
        <f t="shared" si="77"/>
        <v>0</v>
      </c>
      <c r="Q110" s="203">
        <f t="shared" si="77"/>
        <v>3</v>
      </c>
      <c r="R110" s="203">
        <f t="shared" si="77"/>
        <v>3</v>
      </c>
      <c r="S110" s="203">
        <f t="shared" si="77"/>
        <v>0</v>
      </c>
      <c r="T110" s="203">
        <f t="shared" si="77"/>
        <v>4</v>
      </c>
      <c r="U110" s="203">
        <f t="shared" si="77"/>
        <v>4</v>
      </c>
      <c r="V110" s="203">
        <f t="shared" si="77"/>
        <v>4</v>
      </c>
      <c r="W110" s="203">
        <f t="shared" si="77"/>
        <v>4</v>
      </c>
      <c r="X110" s="203">
        <f t="shared" si="77"/>
        <v>4</v>
      </c>
      <c r="Y110" s="203">
        <f t="shared" si="77"/>
        <v>4</v>
      </c>
      <c r="Z110" s="203">
        <f t="shared" si="77"/>
        <v>4</v>
      </c>
      <c r="AA110" s="203">
        <f t="shared" si="77"/>
        <v>4</v>
      </c>
      <c r="AB110" s="203">
        <f t="shared" si="77"/>
        <v>4</v>
      </c>
      <c r="AC110" s="203">
        <f t="shared" si="77"/>
        <v>0</v>
      </c>
      <c r="AD110" s="203">
        <f t="shared" si="77"/>
        <v>5</v>
      </c>
      <c r="AE110" s="203">
        <f t="shared" si="77"/>
        <v>5</v>
      </c>
      <c r="AF110" s="203">
        <f t="shared" si="77"/>
        <v>5</v>
      </c>
      <c r="AG110" s="203">
        <f t="shared" si="77"/>
        <v>5</v>
      </c>
      <c r="AH110" s="203">
        <f t="shared" si="77"/>
        <v>5</v>
      </c>
      <c r="AI110" s="203">
        <f t="shared" si="77"/>
        <v>5</v>
      </c>
      <c r="AJ110" s="203">
        <f t="shared" si="77"/>
        <v>5</v>
      </c>
      <c r="AK110" s="203">
        <f t="shared" si="77"/>
        <v>5</v>
      </c>
      <c r="AL110" s="203">
        <f t="shared" si="77"/>
        <v>5</v>
      </c>
      <c r="AM110" s="203">
        <f t="shared" si="77"/>
        <v>0</v>
      </c>
      <c r="AN110" s="203">
        <f t="shared" si="77"/>
        <v>6</v>
      </c>
      <c r="AO110" s="203">
        <f t="shared" si="77"/>
        <v>6</v>
      </c>
      <c r="AP110" s="203">
        <f t="shared" si="77"/>
        <v>6</v>
      </c>
      <c r="AQ110" s="203">
        <f t="shared" si="77"/>
        <v>6</v>
      </c>
      <c r="AR110" s="203">
        <f t="shared" si="77"/>
        <v>6</v>
      </c>
      <c r="AS110" s="203">
        <f t="shared" si="77"/>
        <v>6</v>
      </c>
      <c r="AT110" s="203">
        <f t="shared" si="77"/>
        <v>6</v>
      </c>
      <c r="AU110" s="203">
        <f t="shared" si="77"/>
        <v>6</v>
      </c>
      <c r="AV110" s="203">
        <f t="shared" si="77"/>
        <v>6</v>
      </c>
      <c r="AW110" s="203">
        <f t="shared" si="77"/>
        <v>0</v>
      </c>
      <c r="AX110" s="203">
        <f t="shared" si="77"/>
        <v>99</v>
      </c>
      <c r="AY110" s="203">
        <f t="shared" si="77"/>
        <v>99</v>
      </c>
      <c r="AZ110" s="199"/>
      <c r="BA110" s="199"/>
      <c r="BB110" s="199"/>
      <c r="BC110" s="199"/>
      <c r="BD110" s="199"/>
      <c r="BE110" s="199"/>
      <c r="BF110" s="199"/>
      <c r="BG110" s="199"/>
      <c r="BH110" s="199"/>
      <c r="BI110" s="199"/>
      <c r="BJ110" s="199"/>
      <c r="BK110" s="199"/>
      <c r="BL110" s="199"/>
      <c r="BM110" s="199"/>
      <c r="BN110" s="199"/>
      <c r="BO110" s="199"/>
      <c r="BP110" s="199"/>
      <c r="BQ110" s="199"/>
      <c r="BR110" s="199"/>
      <c r="BS110" s="199"/>
      <c r="BT110" s="199"/>
      <c r="BU110" s="199"/>
      <c r="BV110" s="199"/>
      <c r="BW110" s="199"/>
      <c r="BX110" s="199"/>
      <c r="BY110" s="199"/>
      <c r="BZ110" s="199"/>
    </row>
    <row r="111" spans="1:78">
      <c r="A111" s="126" t="s">
        <v>16</v>
      </c>
      <c r="B111" s="22" t="str">
        <f t="shared" ref="B111:B123" si="78">IF(A111="*","","COM_PROJ")</f>
        <v/>
      </c>
      <c r="C111" s="23" t="str">
        <f t="shared" ref="C111:C123" si="79">IF($A111="*","","-")</f>
        <v/>
      </c>
      <c r="D111" s="61" t="str">
        <f>ITEMS_TRA!C15</f>
        <v>TFLCV</v>
      </c>
      <c r="E111" s="23" t="str">
        <f t="shared" ref="E111:I123" si="80">IF($A111="*","","-")</f>
        <v/>
      </c>
      <c r="G111" s="23" t="str">
        <f t="shared" si="80"/>
        <v/>
      </c>
      <c r="H111" s="23" t="str">
        <f t="shared" si="80"/>
        <v/>
      </c>
      <c r="I111" s="23" t="str">
        <f t="shared" si="80"/>
        <v/>
      </c>
      <c r="J111" s="135" t="str">
        <f t="shared" ref="J111:J123" si="81">IF(A111="*","",0)</f>
        <v/>
      </c>
      <c r="K111" s="200">
        <f>INDEX('[2]TS BYDem'!J$10:J$59,MATCH($D111,'[2]TS BYDem'!D$10:D$59,0))</f>
        <v>43.11250375056882</v>
      </c>
      <c r="L111" s="200">
        <f t="shared" ref="L111:AY117" si="82">IF(L$110=-1,M111,IF(L$110=99,K111,IF(L$110=0,INDEX($F92:$L92,0,L$108),(INDEX($F92:$L92,0,L$110+1)-INDEX($F92:$L92,0,L$110))/(INDEX($F$4:$L$4,0,L$110+1)-INDEX($F$4:$L$4,0,L$110))+K111)))</f>
        <v>43.541669167045889</v>
      </c>
      <c r="M111" s="200">
        <f t="shared" si="82"/>
        <v>43.970834583522958</v>
      </c>
      <c r="N111" s="200">
        <f t="shared" si="82"/>
        <v>44.4</v>
      </c>
      <c r="O111" s="200">
        <f t="shared" si="82"/>
        <v>44.871410582810697</v>
      </c>
      <c r="P111" s="200">
        <f t="shared" si="82"/>
        <v>45.342821165621402</v>
      </c>
      <c r="Q111" s="200">
        <f t="shared" si="82"/>
        <v>44.791910090242503</v>
      </c>
      <c r="R111" s="200">
        <f t="shared" si="82"/>
        <v>44.240999014863604</v>
      </c>
      <c r="S111" s="200">
        <f t="shared" si="82"/>
        <v>43.690087939484705</v>
      </c>
      <c r="T111" s="200">
        <f t="shared" si="82"/>
        <v>45.345468160465344</v>
      </c>
      <c r="U111" s="200">
        <f t="shared" si="82"/>
        <v>47.000848381445984</v>
      </c>
      <c r="V111" s="200">
        <f t="shared" si="82"/>
        <v>48.656228602426623</v>
      </c>
      <c r="W111" s="200">
        <f t="shared" si="82"/>
        <v>50.311608823407262</v>
      </c>
      <c r="X111" s="200">
        <f t="shared" si="82"/>
        <v>51.966989044387901</v>
      </c>
      <c r="Y111" s="200">
        <f t="shared" ref="Y111:AA123" si="83">IF(Y$110=-1,Z111,IF(Y$110=99,X111,IF(Y$110=0,INDEX($F92:$L92,0,Y$108),(INDEX($F92:$L92,0,Y$110+1)-INDEX($F92:$L92,0,Y$110))/(INDEX($F$4:$L$4,0,Y$110+1)-INDEX($F$4:$L$4,0,Y$110))+X111)))</f>
        <v>53.62236926536854</v>
      </c>
      <c r="Z111" s="200">
        <f t="shared" si="83"/>
        <v>55.27774948634918</v>
      </c>
      <c r="AA111" s="200">
        <f t="shared" si="83"/>
        <v>56.933129707329819</v>
      </c>
      <c r="AB111" s="200">
        <f t="shared" si="82"/>
        <v>58.588509928310458</v>
      </c>
      <c r="AC111" s="200">
        <f t="shared" si="82"/>
        <v>60.243890149291104</v>
      </c>
      <c r="AD111" s="200">
        <f t="shared" si="82"/>
        <v>62.904097080226194</v>
      </c>
      <c r="AE111" s="200">
        <f t="shared" si="82"/>
        <v>65.564304011161283</v>
      </c>
      <c r="AF111" s="200">
        <f t="shared" si="82"/>
        <v>68.224510942096373</v>
      </c>
      <c r="AG111" s="200">
        <f t="shared" si="82"/>
        <v>70.884717873031462</v>
      </c>
      <c r="AH111" s="200">
        <f t="shared" si="82"/>
        <v>73.544924803966552</v>
      </c>
      <c r="AI111" s="200">
        <f t="shared" si="82"/>
        <v>76.205131734901641</v>
      </c>
      <c r="AJ111" s="200">
        <f t="shared" si="82"/>
        <v>78.865338665836731</v>
      </c>
      <c r="AK111" s="200">
        <f t="shared" si="82"/>
        <v>81.525545596771821</v>
      </c>
      <c r="AL111" s="200">
        <f t="shared" si="82"/>
        <v>84.18575252770691</v>
      </c>
      <c r="AM111" s="200">
        <f t="shared" si="82"/>
        <v>86.845959458642014</v>
      </c>
      <c r="AN111" s="200">
        <f t="shared" si="82"/>
        <v>91.150530388367926</v>
      </c>
      <c r="AO111" s="200">
        <f t="shared" si="82"/>
        <v>95.455101318093838</v>
      </c>
      <c r="AP111" s="200">
        <f t="shared" si="82"/>
        <v>99.759672247819751</v>
      </c>
      <c r="AQ111" s="200">
        <f t="shared" si="82"/>
        <v>104.06424317754566</v>
      </c>
      <c r="AR111" s="200">
        <f t="shared" si="82"/>
        <v>108.36881410727158</v>
      </c>
      <c r="AS111" s="200">
        <f t="shared" si="82"/>
        <v>112.67338503699749</v>
      </c>
      <c r="AT111" s="200">
        <f t="shared" si="82"/>
        <v>116.9779559667234</v>
      </c>
      <c r="AU111" s="200">
        <f t="shared" si="82"/>
        <v>121.28252689644931</v>
      </c>
      <c r="AV111" s="200">
        <f t="shared" si="82"/>
        <v>125.58709782617522</v>
      </c>
      <c r="AW111" s="200">
        <f t="shared" si="82"/>
        <v>129.89166875590118</v>
      </c>
      <c r="AX111" s="200">
        <f t="shared" si="82"/>
        <v>129.89166875590118</v>
      </c>
      <c r="AY111" s="200">
        <f t="shared" si="82"/>
        <v>129.89166875590118</v>
      </c>
    </row>
    <row r="112" spans="1:78">
      <c r="A112" s="126" t="s">
        <v>16</v>
      </c>
      <c r="B112" s="22" t="str">
        <f t="shared" si="78"/>
        <v/>
      </c>
      <c r="C112" s="23" t="str">
        <f t="shared" si="79"/>
        <v/>
      </c>
      <c r="D112" s="61" t="str">
        <f>ITEMS_TRA!C16</f>
        <v>TFHCV1</v>
      </c>
      <c r="E112" s="23" t="str">
        <f t="shared" si="80"/>
        <v/>
      </c>
      <c r="G112" s="23" t="str">
        <f t="shared" si="80"/>
        <v/>
      </c>
      <c r="H112" s="23" t="str">
        <f t="shared" si="80"/>
        <v/>
      </c>
      <c r="I112" s="23" t="str">
        <f t="shared" si="80"/>
        <v/>
      </c>
      <c r="J112" s="135" t="str">
        <f t="shared" si="81"/>
        <v/>
      </c>
      <c r="K112" s="200">
        <f>INDEX('[2]TS BYDem'!J$10:J$59,MATCH($D112,'[2]TS BYDem'!D$10:D$59,0))</f>
        <v>3.310563752317667</v>
      </c>
      <c r="L112" s="200">
        <f t="shared" si="82"/>
        <v>3.3405637523176668</v>
      </c>
      <c r="M112" s="200">
        <f t="shared" si="82"/>
        <v>3.3705637523176666</v>
      </c>
      <c r="N112" s="200">
        <f>IF(N$110=-1,O112,IF(N$110=99,M112,IF(N$110=0,INDEX($F93:$L93,0,N$108),(INDEX($F93:$L93,0,N$110+1)-INDEX($F93:$L93,0,N$110))/(INDEX($F$4:$L$4,0,N$110+1)-INDEX($F$4:$L$4,0,N$110))+M112)))</f>
        <v>3.4</v>
      </c>
      <c r="O112" s="200">
        <f t="shared" si="82"/>
        <v>3.4249999999999998</v>
      </c>
      <c r="P112" s="200">
        <f t="shared" si="82"/>
        <v>3.45</v>
      </c>
      <c r="Q112" s="200">
        <f t="shared" si="82"/>
        <v>3.3622091007947792</v>
      </c>
      <c r="R112" s="200">
        <f t="shared" si="82"/>
        <v>3.2744182015895582</v>
      </c>
      <c r="S112" s="200">
        <f t="shared" si="82"/>
        <v>3.1866273023843372</v>
      </c>
      <c r="T112" s="200">
        <f t="shared" si="82"/>
        <v>3.2853958305736843</v>
      </c>
      <c r="U112" s="200">
        <f t="shared" si="82"/>
        <v>3.3841643587630315</v>
      </c>
      <c r="V112" s="200">
        <f t="shared" si="82"/>
        <v>3.4829328869523786</v>
      </c>
      <c r="W112" s="200">
        <f t="shared" si="82"/>
        <v>3.5817014151417257</v>
      </c>
      <c r="X112" s="200">
        <f t="shared" si="82"/>
        <v>3.6804699433310728</v>
      </c>
      <c r="Y112" s="200">
        <f t="shared" si="83"/>
        <v>3.7792384715204199</v>
      </c>
      <c r="Z112" s="200">
        <f t="shared" si="83"/>
        <v>3.878006999709767</v>
      </c>
      <c r="AA112" s="200">
        <f t="shared" si="83"/>
        <v>3.9767755278991141</v>
      </c>
      <c r="AB112" s="200">
        <f t="shared" si="82"/>
        <v>4.0755440560884617</v>
      </c>
      <c r="AC112" s="200">
        <f t="shared" si="82"/>
        <v>4.1743125842778097</v>
      </c>
      <c r="AD112" s="200">
        <f t="shared" si="82"/>
        <v>4.3285510363141828</v>
      </c>
      <c r="AE112" s="200">
        <f t="shared" si="82"/>
        <v>4.4827894883505559</v>
      </c>
      <c r="AF112" s="200">
        <f t="shared" si="82"/>
        <v>4.637027940386929</v>
      </c>
      <c r="AG112" s="200">
        <f t="shared" si="82"/>
        <v>4.7912663924233021</v>
      </c>
      <c r="AH112" s="200">
        <f t="shared" si="82"/>
        <v>4.9455048444596752</v>
      </c>
      <c r="AI112" s="200">
        <f t="shared" si="82"/>
        <v>5.0997432964960483</v>
      </c>
      <c r="AJ112" s="200">
        <f t="shared" si="82"/>
        <v>5.2539817485324214</v>
      </c>
      <c r="AK112" s="200">
        <f t="shared" si="82"/>
        <v>5.4082202005687945</v>
      </c>
      <c r="AL112" s="200">
        <f t="shared" si="82"/>
        <v>5.5624586526051676</v>
      </c>
      <c r="AM112" s="200">
        <f t="shared" si="82"/>
        <v>5.7166971046415389</v>
      </c>
      <c r="AN112" s="200">
        <f t="shared" si="82"/>
        <v>5.9572974925866964</v>
      </c>
      <c r="AO112" s="200">
        <f t="shared" si="82"/>
        <v>6.1978978805318539</v>
      </c>
      <c r="AP112" s="200">
        <f t="shared" si="82"/>
        <v>6.4384982684770113</v>
      </c>
      <c r="AQ112" s="200">
        <f t="shared" si="82"/>
        <v>6.6790986564221688</v>
      </c>
      <c r="AR112" s="200">
        <f t="shared" si="82"/>
        <v>6.9196990443673263</v>
      </c>
      <c r="AS112" s="200">
        <f t="shared" si="82"/>
        <v>7.1602994323124838</v>
      </c>
      <c r="AT112" s="200">
        <f t="shared" si="82"/>
        <v>7.4008998202576413</v>
      </c>
      <c r="AU112" s="200">
        <f t="shared" si="82"/>
        <v>7.6415002082027987</v>
      </c>
      <c r="AV112" s="200">
        <f t="shared" si="82"/>
        <v>7.8821005961479562</v>
      </c>
      <c r="AW112" s="200">
        <f t="shared" si="82"/>
        <v>8.1227009840931128</v>
      </c>
      <c r="AX112" s="200">
        <f t="shared" si="82"/>
        <v>8.1227009840931128</v>
      </c>
      <c r="AY112" s="200">
        <f t="shared" si="82"/>
        <v>8.1227009840931128</v>
      </c>
    </row>
    <row r="113" spans="1:78">
      <c r="A113" s="126" t="s">
        <v>16</v>
      </c>
      <c r="B113" s="22" t="str">
        <f t="shared" si="78"/>
        <v/>
      </c>
      <c r="C113" s="23" t="str">
        <f t="shared" si="79"/>
        <v/>
      </c>
      <c r="D113" s="61" t="str">
        <f>ITEMS_TRA!C17</f>
        <v>TFHCV2</v>
      </c>
      <c r="E113" s="23" t="str">
        <f t="shared" si="80"/>
        <v/>
      </c>
      <c r="G113" s="23" t="str">
        <f t="shared" si="80"/>
        <v/>
      </c>
      <c r="H113" s="23" t="str">
        <f t="shared" si="80"/>
        <v/>
      </c>
      <c r="I113" s="23" t="str">
        <f t="shared" si="80"/>
        <v/>
      </c>
      <c r="J113" s="135" t="str">
        <f t="shared" si="81"/>
        <v/>
      </c>
      <c r="K113" s="200">
        <f>INDEX('[2]TS BYDem'!J$10:J$59,MATCH($D113,'[2]TS BYDem'!D$10:D$59,0))</f>
        <v>0.6547839540708813</v>
      </c>
      <c r="L113" s="200">
        <f t="shared" si="82"/>
        <v>0.67123078144835724</v>
      </c>
      <c r="M113" s="200">
        <f t="shared" si="82"/>
        <v>0.68767760882583318</v>
      </c>
      <c r="N113" s="200">
        <f t="shared" si="82"/>
        <v>0.704124436203308</v>
      </c>
      <c r="O113" s="200">
        <f t="shared" si="82"/>
        <v>0.72006693722491655</v>
      </c>
      <c r="P113" s="200">
        <f t="shared" si="82"/>
        <v>0.73600943824652509</v>
      </c>
      <c r="Q113" s="200">
        <f t="shared" si="82"/>
        <v>0.7118583539871558</v>
      </c>
      <c r="R113" s="200">
        <f t="shared" si="82"/>
        <v>0.68770726972778651</v>
      </c>
      <c r="S113" s="200">
        <f t="shared" si="82"/>
        <v>0.66355618546841733</v>
      </c>
      <c r="T113" s="200">
        <f t="shared" si="82"/>
        <v>0.68137798840116348</v>
      </c>
      <c r="U113" s="200">
        <f t="shared" si="82"/>
        <v>0.69919979133390964</v>
      </c>
      <c r="V113" s="200">
        <f t="shared" si="82"/>
        <v>0.71702159426665579</v>
      </c>
      <c r="W113" s="200">
        <f t="shared" si="82"/>
        <v>0.73484339719940195</v>
      </c>
      <c r="X113" s="200">
        <f t="shared" si="82"/>
        <v>0.7526652001321481</v>
      </c>
      <c r="Y113" s="200">
        <f t="shared" si="83"/>
        <v>0.77048700306489426</v>
      </c>
      <c r="Z113" s="200">
        <f t="shared" si="83"/>
        <v>0.78830880599764042</v>
      </c>
      <c r="AA113" s="200">
        <f t="shared" si="83"/>
        <v>0.80613060893038657</v>
      </c>
      <c r="AB113" s="200">
        <f t="shared" si="82"/>
        <v>0.82395241186313273</v>
      </c>
      <c r="AC113" s="200">
        <f t="shared" si="82"/>
        <v>0.84177421479587833</v>
      </c>
      <c r="AD113" s="200">
        <f t="shared" si="82"/>
        <v>0.87045033067884836</v>
      </c>
      <c r="AE113" s="200">
        <f t="shared" si="82"/>
        <v>0.89912644656181839</v>
      </c>
      <c r="AF113" s="200">
        <f t="shared" si="82"/>
        <v>0.92780256244478843</v>
      </c>
      <c r="AG113" s="200">
        <f t="shared" si="82"/>
        <v>0.95647867832775846</v>
      </c>
      <c r="AH113" s="200">
        <f t="shared" si="82"/>
        <v>0.98515479421072849</v>
      </c>
      <c r="AI113" s="200">
        <f t="shared" si="82"/>
        <v>1.0138309100936984</v>
      </c>
      <c r="AJ113" s="200">
        <f t="shared" si="82"/>
        <v>1.0425070259766684</v>
      </c>
      <c r="AK113" s="200">
        <f t="shared" si="82"/>
        <v>1.0711831418596385</v>
      </c>
      <c r="AL113" s="200">
        <f t="shared" si="82"/>
        <v>1.0998592577426085</v>
      </c>
      <c r="AM113" s="200">
        <f t="shared" si="82"/>
        <v>1.1285353736255785</v>
      </c>
      <c r="AN113" s="200">
        <f t="shared" si="82"/>
        <v>1.1726565876215937</v>
      </c>
      <c r="AO113" s="200">
        <f t="shared" si="82"/>
        <v>1.216777801617609</v>
      </c>
      <c r="AP113" s="200">
        <f t="shared" si="82"/>
        <v>1.2608990156136242</v>
      </c>
      <c r="AQ113" s="200">
        <f t="shared" si="82"/>
        <v>1.3050202296096394</v>
      </c>
      <c r="AR113" s="200">
        <f t="shared" si="82"/>
        <v>1.3491414436056546</v>
      </c>
      <c r="AS113" s="200">
        <f t="shared" si="82"/>
        <v>1.3932626576016698</v>
      </c>
      <c r="AT113" s="200">
        <f t="shared" si="82"/>
        <v>1.437383871597685</v>
      </c>
      <c r="AU113" s="200">
        <f t="shared" si="82"/>
        <v>1.4815050855937002</v>
      </c>
      <c r="AV113" s="200">
        <f t="shared" si="82"/>
        <v>1.5256262995897154</v>
      </c>
      <c r="AW113" s="200">
        <f t="shared" si="82"/>
        <v>1.5697475135857306</v>
      </c>
      <c r="AX113" s="200">
        <f t="shared" si="82"/>
        <v>1.5697475135857306</v>
      </c>
      <c r="AY113" s="200">
        <f t="shared" si="82"/>
        <v>1.5697475135857306</v>
      </c>
    </row>
    <row r="114" spans="1:78">
      <c r="A114" s="126" t="s">
        <v>16</v>
      </c>
      <c r="B114" s="22" t="str">
        <f t="shared" si="78"/>
        <v/>
      </c>
      <c r="C114" s="23" t="str">
        <f t="shared" si="79"/>
        <v/>
      </c>
      <c r="D114" s="61" t="str">
        <f>ITEMS_TRA!C18</f>
        <v>TFHCV3</v>
      </c>
      <c r="E114" s="23" t="str">
        <f t="shared" si="80"/>
        <v/>
      </c>
      <c r="G114" s="23" t="str">
        <f t="shared" si="80"/>
        <v/>
      </c>
      <c r="H114" s="23" t="str">
        <f t="shared" si="80"/>
        <v/>
      </c>
      <c r="I114" s="23" t="str">
        <f t="shared" si="80"/>
        <v/>
      </c>
      <c r="J114" s="135" t="str">
        <f t="shared" si="81"/>
        <v/>
      </c>
      <c r="K114" s="200">
        <f>INDEX('[2]TS BYDem'!J$10:J$59,MATCH($D114,'[2]TS BYDem'!D$10:D$59,0))</f>
        <v>2.7114063478211388</v>
      </c>
      <c r="L114" s="200">
        <f t="shared" si="82"/>
        <v>2.7742708985474289</v>
      </c>
      <c r="M114" s="200">
        <f t="shared" si="82"/>
        <v>2.8371354492737191</v>
      </c>
      <c r="N114" s="200">
        <f t="shared" si="82"/>
        <v>2.9</v>
      </c>
      <c r="O114" s="200">
        <f t="shared" si="82"/>
        <v>2.9652984627095749</v>
      </c>
      <c r="P114" s="200">
        <f t="shared" si="82"/>
        <v>3.0305969254191498</v>
      </c>
      <c r="Q114" s="200">
        <f t="shared" si="82"/>
        <v>2.9363084284503151</v>
      </c>
      <c r="R114" s="200">
        <f t="shared" si="82"/>
        <v>2.8420199314814805</v>
      </c>
      <c r="S114" s="200">
        <f t="shared" si="82"/>
        <v>2.7477314345126453</v>
      </c>
      <c r="T114" s="200">
        <f t="shared" si="82"/>
        <v>2.8215300505310124</v>
      </c>
      <c r="U114" s="200">
        <f t="shared" si="82"/>
        <v>2.8953286665493794</v>
      </c>
      <c r="V114" s="200">
        <f t="shared" si="82"/>
        <v>2.9691272825677464</v>
      </c>
      <c r="W114" s="200">
        <f t="shared" si="82"/>
        <v>3.0429258985861134</v>
      </c>
      <c r="X114" s="200">
        <f t="shared" si="82"/>
        <v>3.1167245146044804</v>
      </c>
      <c r="Y114" s="200">
        <f t="shared" si="83"/>
        <v>3.1905231306228474</v>
      </c>
      <c r="Z114" s="200">
        <f t="shared" si="83"/>
        <v>3.2643217466412144</v>
      </c>
      <c r="AA114" s="200">
        <f t="shared" si="83"/>
        <v>3.3381203626595815</v>
      </c>
      <c r="AB114" s="200">
        <f t="shared" si="82"/>
        <v>3.4119189786779485</v>
      </c>
      <c r="AC114" s="200">
        <f t="shared" si="82"/>
        <v>3.4857175946963159</v>
      </c>
      <c r="AD114" s="200">
        <f t="shared" si="82"/>
        <v>3.6044630253876773</v>
      </c>
      <c r="AE114" s="200">
        <f t="shared" si="82"/>
        <v>3.7232084560790386</v>
      </c>
      <c r="AF114" s="200">
        <f t="shared" si="82"/>
        <v>3.8419538867704</v>
      </c>
      <c r="AG114" s="200">
        <f t="shared" si="82"/>
        <v>3.9606993174617613</v>
      </c>
      <c r="AH114" s="200">
        <f t="shared" si="82"/>
        <v>4.0794447481531231</v>
      </c>
      <c r="AI114" s="200">
        <f t="shared" si="82"/>
        <v>4.1981901788444844</v>
      </c>
      <c r="AJ114" s="200">
        <f t="shared" si="82"/>
        <v>4.3169356095358458</v>
      </c>
      <c r="AK114" s="200">
        <f t="shared" si="82"/>
        <v>4.4356810402272071</v>
      </c>
      <c r="AL114" s="200">
        <f t="shared" si="82"/>
        <v>4.5544264709185684</v>
      </c>
      <c r="AM114" s="200">
        <f t="shared" si="82"/>
        <v>4.6731719016099298</v>
      </c>
      <c r="AN114" s="200">
        <f t="shared" si="82"/>
        <v>4.855874209689734</v>
      </c>
      <c r="AO114" s="200">
        <f t="shared" si="82"/>
        <v>5.0385765177695383</v>
      </c>
      <c r="AP114" s="200">
        <f t="shared" si="82"/>
        <v>5.2212788258493426</v>
      </c>
      <c r="AQ114" s="200">
        <f t="shared" si="82"/>
        <v>5.4039811339291468</v>
      </c>
      <c r="AR114" s="200">
        <f t="shared" si="82"/>
        <v>5.5866834420089511</v>
      </c>
      <c r="AS114" s="200">
        <f t="shared" si="82"/>
        <v>5.7693857500887553</v>
      </c>
      <c r="AT114" s="200">
        <f t="shared" si="82"/>
        <v>5.9520880581685596</v>
      </c>
      <c r="AU114" s="200">
        <f t="shared" si="82"/>
        <v>6.1347903662483638</v>
      </c>
      <c r="AV114" s="200">
        <f t="shared" si="82"/>
        <v>6.3174926743281681</v>
      </c>
      <c r="AW114" s="200">
        <f t="shared" si="82"/>
        <v>6.5001949824079679</v>
      </c>
      <c r="AX114" s="200">
        <f t="shared" si="82"/>
        <v>6.5001949824079679</v>
      </c>
      <c r="AY114" s="200">
        <f t="shared" si="82"/>
        <v>6.5001949824079679</v>
      </c>
    </row>
    <row r="115" spans="1:78">
      <c r="A115" s="126" t="s">
        <v>16</v>
      </c>
      <c r="B115" s="22" t="str">
        <f t="shared" si="78"/>
        <v/>
      </c>
      <c r="C115" s="23" t="str">
        <f t="shared" si="79"/>
        <v/>
      </c>
      <c r="D115" s="61" t="str">
        <f>ITEMS_TRA!C19</f>
        <v>TFHCV4</v>
      </c>
      <c r="E115" s="23" t="str">
        <f t="shared" si="80"/>
        <v/>
      </c>
      <c r="G115" s="23" t="str">
        <f t="shared" si="80"/>
        <v/>
      </c>
      <c r="H115" s="23" t="str">
        <f t="shared" si="80"/>
        <v/>
      </c>
      <c r="I115" s="23" t="str">
        <f t="shared" si="80"/>
        <v/>
      </c>
      <c r="J115" s="135" t="str">
        <f t="shared" si="81"/>
        <v/>
      </c>
      <c r="K115" s="200">
        <f>INDEX('[2]TS BYDem'!J$10:J$59,MATCH($D115,'[2]TS BYDem'!D$10:D$59,0))</f>
        <v>0.57023972229676956</v>
      </c>
      <c r="L115" s="200">
        <f t="shared" si="82"/>
        <v>0.55900373411704862</v>
      </c>
      <c r="M115" s="200">
        <f t="shared" si="82"/>
        <v>0.54776774593732769</v>
      </c>
      <c r="N115" s="200">
        <f t="shared" si="82"/>
        <v>0.53653175775760331</v>
      </c>
      <c r="O115" s="200">
        <f t="shared" si="82"/>
        <v>0.54016937887880168</v>
      </c>
      <c r="P115" s="200">
        <f t="shared" si="82"/>
        <v>0.54380700000000004</v>
      </c>
      <c r="Q115" s="200">
        <f t="shared" si="82"/>
        <v>0.55516443430062401</v>
      </c>
      <c r="R115" s="200">
        <f t="shared" si="82"/>
        <v>0.56652186860124798</v>
      </c>
      <c r="S115" s="200">
        <f t="shared" si="82"/>
        <v>0.57787930290187206</v>
      </c>
      <c r="T115" s="200">
        <f t="shared" si="82"/>
        <v>0.59339999471481886</v>
      </c>
      <c r="U115" s="200">
        <f t="shared" si="82"/>
        <v>0.60892068652776565</v>
      </c>
      <c r="V115" s="200">
        <f t="shared" si="82"/>
        <v>0.62444137834071245</v>
      </c>
      <c r="W115" s="200">
        <f t="shared" si="82"/>
        <v>0.63996207015365925</v>
      </c>
      <c r="X115" s="200">
        <f t="shared" si="82"/>
        <v>0.65548276196660604</v>
      </c>
      <c r="Y115" s="200">
        <f t="shared" si="83"/>
        <v>0.67100345377955284</v>
      </c>
      <c r="Z115" s="200">
        <f t="shared" si="83"/>
        <v>0.68652414559249963</v>
      </c>
      <c r="AA115" s="200">
        <f t="shared" si="83"/>
        <v>0.70204483740544643</v>
      </c>
      <c r="AB115" s="200">
        <f t="shared" si="82"/>
        <v>0.71756552921839323</v>
      </c>
      <c r="AC115" s="200">
        <f t="shared" si="82"/>
        <v>0.73308622103133991</v>
      </c>
      <c r="AD115" s="200">
        <f t="shared" si="82"/>
        <v>0.75805974131385523</v>
      </c>
      <c r="AE115" s="200">
        <f t="shared" si="82"/>
        <v>0.78303326159637054</v>
      </c>
      <c r="AF115" s="200">
        <f t="shared" si="82"/>
        <v>0.80800678187888586</v>
      </c>
      <c r="AG115" s="200">
        <f t="shared" si="82"/>
        <v>0.83298030216140118</v>
      </c>
      <c r="AH115" s="200">
        <f t="shared" si="82"/>
        <v>0.85795382244391649</v>
      </c>
      <c r="AI115" s="200">
        <f t="shared" si="82"/>
        <v>0.88292734272643181</v>
      </c>
      <c r="AJ115" s="200">
        <f t="shared" si="82"/>
        <v>0.90790086300894712</v>
      </c>
      <c r="AK115" s="200">
        <f t="shared" si="82"/>
        <v>0.93287438329146244</v>
      </c>
      <c r="AL115" s="200">
        <f t="shared" si="82"/>
        <v>0.95784790357397775</v>
      </c>
      <c r="AM115" s="200">
        <f t="shared" si="82"/>
        <v>0.98282142385649318</v>
      </c>
      <c r="AN115" s="200">
        <f t="shared" si="82"/>
        <v>1.0212458059142129</v>
      </c>
      <c r="AO115" s="200">
        <f t="shared" si="82"/>
        <v>1.0596701879719326</v>
      </c>
      <c r="AP115" s="200">
        <f t="shared" si="82"/>
        <v>1.0980945700296523</v>
      </c>
      <c r="AQ115" s="200">
        <f t="shared" si="82"/>
        <v>1.136518952087372</v>
      </c>
      <c r="AR115" s="200">
        <f t="shared" si="82"/>
        <v>1.1749433341450917</v>
      </c>
      <c r="AS115" s="200">
        <f t="shared" si="82"/>
        <v>1.2133677162028114</v>
      </c>
      <c r="AT115" s="200">
        <f t="shared" si="82"/>
        <v>1.2517920982605311</v>
      </c>
      <c r="AU115" s="200">
        <f t="shared" si="82"/>
        <v>1.2902164803182508</v>
      </c>
      <c r="AV115" s="200">
        <f t="shared" si="82"/>
        <v>1.3286408623759705</v>
      </c>
      <c r="AW115" s="200">
        <f t="shared" si="82"/>
        <v>1.3670652444336904</v>
      </c>
      <c r="AX115" s="200">
        <f t="shared" si="82"/>
        <v>1.3670652444336904</v>
      </c>
      <c r="AY115" s="200">
        <f t="shared" si="82"/>
        <v>1.3670652444336904</v>
      </c>
    </row>
    <row r="116" spans="1:78">
      <c r="A116" s="126" t="s">
        <v>16</v>
      </c>
      <c r="B116" s="22" t="str">
        <f t="shared" si="78"/>
        <v/>
      </c>
      <c r="C116" s="23" t="str">
        <f t="shared" si="79"/>
        <v/>
      </c>
      <c r="D116" s="61" t="str">
        <f>ITEMS_TRA!C20</f>
        <v>TFHCV5</v>
      </c>
      <c r="E116" s="23" t="str">
        <f t="shared" si="80"/>
        <v/>
      </c>
      <c r="G116" s="23" t="str">
        <f t="shared" si="80"/>
        <v/>
      </c>
      <c r="H116" s="23" t="str">
        <f t="shared" si="80"/>
        <v/>
      </c>
      <c r="I116" s="23" t="str">
        <f t="shared" si="80"/>
        <v/>
      </c>
      <c r="J116" s="135" t="str">
        <f t="shared" si="81"/>
        <v/>
      </c>
      <c r="K116" s="200">
        <f>INDEX('[2]TS BYDem'!J$10:J$59,MATCH($D116,'[2]TS BYDem'!D$10:D$59,0))</f>
        <v>0.27326501935541331</v>
      </c>
      <c r="L116" s="200">
        <f t="shared" si="82"/>
        <v>0.27740453823694228</v>
      </c>
      <c r="M116" s="200">
        <f t="shared" si="82"/>
        <v>0.28154405711847125</v>
      </c>
      <c r="N116" s="200">
        <f t="shared" si="82"/>
        <v>0.28568357599999999</v>
      </c>
      <c r="O116" s="200">
        <f t="shared" si="82"/>
        <v>0.2876204765</v>
      </c>
      <c r="P116" s="200">
        <f t="shared" si="82"/>
        <v>0.289557377</v>
      </c>
      <c r="Q116" s="200">
        <f t="shared" si="82"/>
        <v>0.28534691423305703</v>
      </c>
      <c r="R116" s="200">
        <f t="shared" si="82"/>
        <v>0.28113645146611405</v>
      </c>
      <c r="S116" s="200">
        <f t="shared" si="82"/>
        <v>0.27692598869917107</v>
      </c>
      <c r="T116" s="200">
        <f t="shared" si="82"/>
        <v>0.28436367145405123</v>
      </c>
      <c r="U116" s="200">
        <f t="shared" si="82"/>
        <v>0.29180135420893138</v>
      </c>
      <c r="V116" s="200">
        <f t="shared" si="82"/>
        <v>0.29923903696381154</v>
      </c>
      <c r="W116" s="200">
        <f t="shared" si="82"/>
        <v>0.3066767197186917</v>
      </c>
      <c r="X116" s="200">
        <f t="shared" si="82"/>
        <v>0.31411440247357186</v>
      </c>
      <c r="Y116" s="200">
        <f t="shared" si="83"/>
        <v>0.32155208522845202</v>
      </c>
      <c r="Z116" s="200">
        <f t="shared" si="83"/>
        <v>0.32898976798333218</v>
      </c>
      <c r="AA116" s="200">
        <f t="shared" si="83"/>
        <v>0.33642745073821234</v>
      </c>
      <c r="AB116" s="200">
        <f t="shared" si="82"/>
        <v>0.3438651334930925</v>
      </c>
      <c r="AC116" s="200">
        <f t="shared" si="82"/>
        <v>0.35130281624797255</v>
      </c>
      <c r="AD116" s="200">
        <f t="shared" si="82"/>
        <v>0.36327039626131785</v>
      </c>
      <c r="AE116" s="200">
        <f t="shared" si="82"/>
        <v>0.37523797627466315</v>
      </c>
      <c r="AF116" s="200">
        <f t="shared" si="82"/>
        <v>0.38720555628800846</v>
      </c>
      <c r="AG116" s="200">
        <f t="shared" si="82"/>
        <v>0.39917313630135376</v>
      </c>
      <c r="AH116" s="200">
        <f t="shared" si="82"/>
        <v>0.41114071631469906</v>
      </c>
      <c r="AI116" s="200">
        <f t="shared" si="82"/>
        <v>0.42310829632804436</v>
      </c>
      <c r="AJ116" s="200">
        <f t="shared" si="82"/>
        <v>0.43507587634138967</v>
      </c>
      <c r="AK116" s="200">
        <f t="shared" si="82"/>
        <v>0.44704345635473497</v>
      </c>
      <c r="AL116" s="200">
        <f t="shared" si="82"/>
        <v>0.45901103636808027</v>
      </c>
      <c r="AM116" s="200">
        <f t="shared" si="82"/>
        <v>0.47097861638142557</v>
      </c>
      <c r="AN116" s="200">
        <f t="shared" si="82"/>
        <v>0.48939199429279123</v>
      </c>
      <c r="AO116" s="200">
        <f t="shared" si="82"/>
        <v>0.50780537220415689</v>
      </c>
      <c r="AP116" s="200">
        <f t="shared" si="82"/>
        <v>0.52621875011552255</v>
      </c>
      <c r="AQ116" s="200">
        <f t="shared" si="82"/>
        <v>0.54463212802688821</v>
      </c>
      <c r="AR116" s="200">
        <f t="shared" si="82"/>
        <v>0.56304550593825387</v>
      </c>
      <c r="AS116" s="200">
        <f t="shared" si="82"/>
        <v>0.58145888384961952</v>
      </c>
      <c r="AT116" s="200">
        <f t="shared" si="82"/>
        <v>0.59987226176098518</v>
      </c>
      <c r="AU116" s="200">
        <f t="shared" si="82"/>
        <v>0.61828563967235084</v>
      </c>
      <c r="AV116" s="200">
        <f t="shared" si="82"/>
        <v>0.6366990175837165</v>
      </c>
      <c r="AW116" s="200">
        <f t="shared" si="82"/>
        <v>0.65511239549508204</v>
      </c>
      <c r="AX116" s="200">
        <f t="shared" si="82"/>
        <v>0.65511239549508204</v>
      </c>
      <c r="AY116" s="200">
        <f t="shared" si="82"/>
        <v>0.65511239549508204</v>
      </c>
    </row>
    <row r="117" spans="1:78">
      <c r="A117" s="126" t="s">
        <v>16</v>
      </c>
      <c r="B117" s="22" t="str">
        <f t="shared" si="78"/>
        <v/>
      </c>
      <c r="C117" s="23" t="str">
        <f t="shared" si="79"/>
        <v/>
      </c>
      <c r="D117" s="61" t="str">
        <f>ITEMS_TRA!C21</f>
        <v>TFHCV6</v>
      </c>
      <c r="E117" s="23" t="str">
        <f t="shared" si="80"/>
        <v/>
      </c>
      <c r="G117" s="23" t="str">
        <f t="shared" si="80"/>
        <v/>
      </c>
      <c r="H117" s="23" t="str">
        <f t="shared" si="80"/>
        <v/>
      </c>
      <c r="I117" s="23" t="str">
        <f t="shared" si="80"/>
        <v/>
      </c>
      <c r="J117" s="135" t="str">
        <f t="shared" si="81"/>
        <v/>
      </c>
      <c r="K117" s="200">
        <f>INDEX('[2]TS BYDem'!J$10:J$59,MATCH($D117,'[2]TS BYDem'!D$10:D$59,0))</f>
        <v>5.0361375113209643</v>
      </c>
      <c r="L117" s="200">
        <f t="shared" si="82"/>
        <v>5.3607583408806443</v>
      </c>
      <c r="M117" s="200">
        <f t="shared" si="82"/>
        <v>5.6853791704403243</v>
      </c>
      <c r="N117" s="200">
        <f t="shared" si="82"/>
        <v>6.01</v>
      </c>
      <c r="O117" s="200">
        <f t="shared" si="82"/>
        <v>6.3253919226144593</v>
      </c>
      <c r="P117" s="200">
        <f t="shared" si="82"/>
        <v>6.6407838452289196</v>
      </c>
      <c r="Q117" s="200">
        <f t="shared" si="82"/>
        <v>6.1283916780391108</v>
      </c>
      <c r="R117" s="200">
        <f t="shared" si="82"/>
        <v>5.6159995108493019</v>
      </c>
      <c r="S117" s="200">
        <f t="shared" si="82"/>
        <v>5.1036073436594931</v>
      </c>
      <c r="T117" s="200">
        <f t="shared" si="82"/>
        <v>5.2406801135570538</v>
      </c>
      <c r="U117" s="200">
        <f t="shared" si="82"/>
        <v>5.3777528834546144</v>
      </c>
      <c r="V117" s="200">
        <f t="shared" si="82"/>
        <v>5.5148256533521751</v>
      </c>
      <c r="W117" s="200">
        <f t="shared" si="82"/>
        <v>5.6518984232497358</v>
      </c>
      <c r="X117" s="200">
        <f t="shared" si="82"/>
        <v>5.7889711931472965</v>
      </c>
      <c r="Y117" s="200">
        <f t="shared" si="83"/>
        <v>5.9260439630448571</v>
      </c>
      <c r="Z117" s="200">
        <f t="shared" si="83"/>
        <v>6.0631167329424178</v>
      </c>
      <c r="AA117" s="200">
        <f t="shared" si="83"/>
        <v>6.2001895028399785</v>
      </c>
      <c r="AB117" s="200">
        <f t="shared" ref="AB117:AY117" si="84">IF(AB$110=-1,AC117,IF(AB$110=99,AA117,IF(AB$110=0,INDEX($F98:$L98,0,AB$108),(INDEX($F98:$L98,0,AB$110+1)-INDEX($F98:$L98,0,AB$110))/(INDEX($F$4:$L$4,0,AB$110+1)-INDEX($F$4:$L$4,0,AB$110))+AA117)))</f>
        <v>6.3372622727375392</v>
      </c>
      <c r="AC117" s="200">
        <f t="shared" si="84"/>
        <v>6.4743350426350972</v>
      </c>
      <c r="AD117" s="200">
        <f t="shared" si="84"/>
        <v>6.6948915513573297</v>
      </c>
      <c r="AE117" s="200">
        <f t="shared" si="84"/>
        <v>6.9154480600795623</v>
      </c>
      <c r="AF117" s="200">
        <f t="shared" si="84"/>
        <v>7.1360045688017948</v>
      </c>
      <c r="AG117" s="200">
        <f t="shared" si="84"/>
        <v>7.3565610775240273</v>
      </c>
      <c r="AH117" s="200">
        <f t="shared" si="84"/>
        <v>7.5771175862462599</v>
      </c>
      <c r="AI117" s="200">
        <f t="shared" si="84"/>
        <v>7.7976740949684924</v>
      </c>
      <c r="AJ117" s="200">
        <f t="shared" si="84"/>
        <v>8.0182306036907249</v>
      </c>
      <c r="AK117" s="200">
        <f t="shared" si="84"/>
        <v>8.2387871124129575</v>
      </c>
      <c r="AL117" s="200">
        <f t="shared" si="84"/>
        <v>8.45934362113519</v>
      </c>
      <c r="AM117" s="200">
        <f t="shared" si="84"/>
        <v>8.6799001298574261</v>
      </c>
      <c r="AN117" s="200">
        <f t="shared" si="84"/>
        <v>9.0192494670989714</v>
      </c>
      <c r="AO117" s="200">
        <f t="shared" si="84"/>
        <v>9.3585988043405166</v>
      </c>
      <c r="AP117" s="200">
        <f t="shared" si="84"/>
        <v>9.6979481415820619</v>
      </c>
      <c r="AQ117" s="200">
        <f t="shared" si="84"/>
        <v>10.037297478823607</v>
      </c>
      <c r="AR117" s="200">
        <f t="shared" si="84"/>
        <v>10.376646816065152</v>
      </c>
      <c r="AS117" s="200">
        <f t="shared" si="84"/>
        <v>10.715996153306698</v>
      </c>
      <c r="AT117" s="200">
        <f t="shared" si="84"/>
        <v>11.055345490548243</v>
      </c>
      <c r="AU117" s="200">
        <f t="shared" si="84"/>
        <v>11.394694827789788</v>
      </c>
      <c r="AV117" s="200">
        <f t="shared" si="84"/>
        <v>11.734044165031333</v>
      </c>
      <c r="AW117" s="200">
        <f t="shared" si="84"/>
        <v>12.073393502272875</v>
      </c>
      <c r="AX117" s="200">
        <f t="shared" si="84"/>
        <v>12.073393502272875</v>
      </c>
      <c r="AY117" s="200">
        <f t="shared" si="84"/>
        <v>12.073393502272875</v>
      </c>
    </row>
    <row r="118" spans="1:78">
      <c r="A118" s="126" t="s">
        <v>16</v>
      </c>
      <c r="B118" s="22" t="str">
        <f t="shared" si="78"/>
        <v/>
      </c>
      <c r="C118" s="23" t="str">
        <f t="shared" si="79"/>
        <v/>
      </c>
      <c r="D118" s="61" t="str">
        <f>ITEMS_TRA!C22</f>
        <v>TFHCV7</v>
      </c>
      <c r="E118" s="23" t="str">
        <f t="shared" si="80"/>
        <v/>
      </c>
      <c r="G118" s="23" t="str">
        <f t="shared" si="80"/>
        <v/>
      </c>
      <c r="H118" s="23" t="str">
        <f t="shared" si="80"/>
        <v/>
      </c>
      <c r="I118" s="23" t="str">
        <f t="shared" si="80"/>
        <v/>
      </c>
      <c r="J118" s="135" t="str">
        <f t="shared" si="81"/>
        <v/>
      </c>
      <c r="K118" s="200">
        <f>INDEX('[2]TS BYDem'!J$10:J$59,MATCH($D118,'[2]TS BYDem'!D$10:D$59,0))</f>
        <v>1.5653068685251963</v>
      </c>
      <c r="L118" s="200">
        <f t="shared" ref="L118:AY123" si="85">IF(L$110=-1,M118,IF(L$110=99,K118,IF(L$110=0,INDEX($F99:$L99,0,L$108),(INDEX($F99:$L99,0,L$110+1)-INDEX($F99:$L99,0,L$110))/(INDEX($F$4:$L$4,0,L$110+1)-INDEX($F$4:$L$4,0,L$110))+K118)))</f>
        <v>1.6102045790167996</v>
      </c>
      <c r="M118" s="200">
        <f t="shared" si="85"/>
        <v>1.6551022895084029</v>
      </c>
      <c r="N118" s="200">
        <f t="shared" si="85"/>
        <v>1.7</v>
      </c>
      <c r="O118" s="200">
        <f t="shared" si="85"/>
        <v>1.74</v>
      </c>
      <c r="P118" s="200">
        <f t="shared" si="85"/>
        <v>1.78</v>
      </c>
      <c r="Q118" s="200">
        <f t="shared" si="85"/>
        <v>1.7154258338741823</v>
      </c>
      <c r="R118" s="200">
        <f t="shared" si="85"/>
        <v>1.6508516677483647</v>
      </c>
      <c r="S118" s="200">
        <f t="shared" si="85"/>
        <v>1.5862775016225472</v>
      </c>
      <c r="T118" s="200">
        <f t="shared" si="85"/>
        <v>1.6288817688265509</v>
      </c>
      <c r="U118" s="200">
        <f t="shared" si="85"/>
        <v>1.6714860360305546</v>
      </c>
      <c r="V118" s="200">
        <f t="shared" si="85"/>
        <v>1.7140903032345582</v>
      </c>
      <c r="W118" s="200">
        <f t="shared" si="85"/>
        <v>1.7566945704385619</v>
      </c>
      <c r="X118" s="200">
        <f t="shared" si="85"/>
        <v>1.7992988376425656</v>
      </c>
      <c r="Y118" s="200">
        <f t="shared" si="83"/>
        <v>1.8419031048465693</v>
      </c>
      <c r="Z118" s="200">
        <f t="shared" si="83"/>
        <v>1.8845073720505729</v>
      </c>
      <c r="AA118" s="200">
        <f t="shared" si="83"/>
        <v>1.9271116392545766</v>
      </c>
      <c r="AB118" s="200">
        <f t="shared" si="85"/>
        <v>1.9697159064585803</v>
      </c>
      <c r="AC118" s="200">
        <f t="shared" si="85"/>
        <v>2.0123201736625842</v>
      </c>
      <c r="AD118" s="200">
        <f t="shared" si="85"/>
        <v>2.0808724356341388</v>
      </c>
      <c r="AE118" s="200">
        <f t="shared" si="85"/>
        <v>2.1494246976056934</v>
      </c>
      <c r="AF118" s="200">
        <f t="shared" si="85"/>
        <v>2.2179769595772481</v>
      </c>
      <c r="AG118" s="200">
        <f t="shared" si="85"/>
        <v>2.2865292215488027</v>
      </c>
      <c r="AH118" s="200">
        <f t="shared" si="85"/>
        <v>2.3550814835203573</v>
      </c>
      <c r="AI118" s="200">
        <f t="shared" si="85"/>
        <v>2.4236337454919119</v>
      </c>
      <c r="AJ118" s="200">
        <f t="shared" si="85"/>
        <v>2.4921860074634665</v>
      </c>
      <c r="AK118" s="200">
        <f t="shared" si="85"/>
        <v>2.5607382694350211</v>
      </c>
      <c r="AL118" s="200">
        <f t="shared" si="85"/>
        <v>2.6292905314065758</v>
      </c>
      <c r="AM118" s="200">
        <f t="shared" si="85"/>
        <v>2.697842793378129</v>
      </c>
      <c r="AN118" s="200">
        <f t="shared" si="85"/>
        <v>2.8033176433439184</v>
      </c>
      <c r="AO118" s="200">
        <f t="shared" si="85"/>
        <v>2.9087924933097078</v>
      </c>
      <c r="AP118" s="200">
        <f t="shared" si="85"/>
        <v>3.0142673432754972</v>
      </c>
      <c r="AQ118" s="200">
        <f t="shared" si="85"/>
        <v>3.1197421932412865</v>
      </c>
      <c r="AR118" s="200">
        <f t="shared" si="85"/>
        <v>3.2252170432070759</v>
      </c>
      <c r="AS118" s="200">
        <f t="shared" si="85"/>
        <v>3.3306918931728653</v>
      </c>
      <c r="AT118" s="200">
        <f t="shared" si="85"/>
        <v>3.4361667431386547</v>
      </c>
      <c r="AU118" s="200">
        <f t="shared" si="85"/>
        <v>3.541641593104444</v>
      </c>
      <c r="AV118" s="200">
        <f t="shared" si="85"/>
        <v>3.6471164430702334</v>
      </c>
      <c r="AW118" s="200">
        <f t="shared" si="85"/>
        <v>3.7525912930360215</v>
      </c>
      <c r="AX118" s="200">
        <f t="shared" si="85"/>
        <v>3.7525912930360215</v>
      </c>
      <c r="AY118" s="200">
        <f t="shared" si="85"/>
        <v>3.7525912930360215</v>
      </c>
    </row>
    <row r="119" spans="1:78">
      <c r="A119" s="126" t="s">
        <v>16</v>
      </c>
      <c r="B119" s="22" t="str">
        <f t="shared" si="78"/>
        <v/>
      </c>
      <c r="C119" s="23" t="str">
        <f t="shared" si="79"/>
        <v/>
      </c>
      <c r="D119" s="61" t="str">
        <f>ITEMS_TRA!C23</f>
        <v>TFHCV8</v>
      </c>
      <c r="E119" s="23" t="str">
        <f t="shared" si="80"/>
        <v/>
      </c>
      <c r="G119" s="23" t="str">
        <f t="shared" si="80"/>
        <v/>
      </c>
      <c r="H119" s="23" t="str">
        <f t="shared" si="80"/>
        <v/>
      </c>
      <c r="I119" s="23" t="str">
        <f t="shared" si="80"/>
        <v/>
      </c>
      <c r="J119" s="135" t="str">
        <f t="shared" si="81"/>
        <v/>
      </c>
      <c r="K119" s="200">
        <f>INDEX('[2]TS BYDem'!J$10:J$59,MATCH($D119,'[2]TS BYDem'!D$10:D$59,0))</f>
        <v>5.8486156921973939E-2</v>
      </c>
      <c r="L119" s="200">
        <f t="shared" si="85"/>
        <v>6.5622085483256903E-2</v>
      </c>
      <c r="M119" s="200">
        <f t="shared" si="85"/>
        <v>7.2758014044539868E-2</v>
      </c>
      <c r="N119" s="200">
        <f t="shared" si="85"/>
        <v>7.9893942605822804E-2</v>
      </c>
      <c r="O119" s="200">
        <f t="shared" si="85"/>
        <v>9.0970063028559395E-2</v>
      </c>
      <c r="P119" s="200">
        <f t="shared" si="85"/>
        <v>0.102046183451296</v>
      </c>
      <c r="Q119" s="200">
        <f t="shared" si="85"/>
        <v>8.7787356992028123E-2</v>
      </c>
      <c r="R119" s="200">
        <f t="shared" si="85"/>
        <v>7.3528530532760247E-2</v>
      </c>
      <c r="S119" s="200">
        <f t="shared" si="85"/>
        <v>5.9269704073492357E-2</v>
      </c>
      <c r="T119" s="200">
        <f t="shared" si="85"/>
        <v>6.0861570759407284E-2</v>
      </c>
      <c r="U119" s="200">
        <f t="shared" si="85"/>
        <v>6.245343744532221E-2</v>
      </c>
      <c r="V119" s="200">
        <f t="shared" si="85"/>
        <v>6.404530413123713E-2</v>
      </c>
      <c r="W119" s="200">
        <f t="shared" si="85"/>
        <v>6.5637170817152049E-2</v>
      </c>
      <c r="X119" s="200">
        <f t="shared" si="85"/>
        <v>6.7229037503066968E-2</v>
      </c>
      <c r="Y119" s="200">
        <f t="shared" si="83"/>
        <v>6.8820904188981888E-2</v>
      </c>
      <c r="Z119" s="200">
        <f t="shared" si="83"/>
        <v>7.0412770874896807E-2</v>
      </c>
      <c r="AA119" s="200">
        <f t="shared" si="83"/>
        <v>7.2004637560811727E-2</v>
      </c>
      <c r="AB119" s="200">
        <f t="shared" si="85"/>
        <v>7.3596504246726646E-2</v>
      </c>
      <c r="AC119" s="200">
        <f t="shared" si="85"/>
        <v>7.5188370932641607E-2</v>
      </c>
      <c r="AD119" s="200">
        <f t="shared" si="85"/>
        <v>7.7749759010368596E-2</v>
      </c>
      <c r="AE119" s="200">
        <f t="shared" si="85"/>
        <v>8.0311147088095586E-2</v>
      </c>
      <c r="AF119" s="200">
        <f t="shared" si="85"/>
        <v>8.2872535165822575E-2</v>
      </c>
      <c r="AG119" s="200">
        <f t="shared" si="85"/>
        <v>8.5433923243549564E-2</v>
      </c>
      <c r="AH119" s="200">
        <f t="shared" si="85"/>
        <v>8.7995311321276554E-2</v>
      </c>
      <c r="AI119" s="200">
        <f t="shared" si="85"/>
        <v>9.0556699399003543E-2</v>
      </c>
      <c r="AJ119" s="200">
        <f t="shared" si="85"/>
        <v>9.3118087476730532E-2</v>
      </c>
      <c r="AK119" s="200">
        <f t="shared" si="85"/>
        <v>9.5679475554457522E-2</v>
      </c>
      <c r="AL119" s="200">
        <f t="shared" si="85"/>
        <v>9.8240863632184511E-2</v>
      </c>
      <c r="AM119" s="200">
        <f t="shared" si="85"/>
        <v>0.10080225170991157</v>
      </c>
      <c r="AN119" s="200">
        <f t="shared" si="85"/>
        <v>0.1047432160987237</v>
      </c>
      <c r="AO119" s="200">
        <f t="shared" si="85"/>
        <v>0.10868418048753582</v>
      </c>
      <c r="AP119" s="200">
        <f t="shared" si="85"/>
        <v>0.11262514487634795</v>
      </c>
      <c r="AQ119" s="200">
        <f t="shared" si="85"/>
        <v>0.11656610926516008</v>
      </c>
      <c r="AR119" s="200">
        <f t="shared" si="85"/>
        <v>0.1205070736539722</v>
      </c>
      <c r="AS119" s="200">
        <f t="shared" si="85"/>
        <v>0.12444803804278433</v>
      </c>
      <c r="AT119" s="200">
        <f t="shared" si="85"/>
        <v>0.12838900243159646</v>
      </c>
      <c r="AU119" s="200">
        <f t="shared" si="85"/>
        <v>0.1323299668204086</v>
      </c>
      <c r="AV119" s="200">
        <f t="shared" si="85"/>
        <v>0.13627093120922074</v>
      </c>
      <c r="AW119" s="200">
        <f t="shared" si="85"/>
        <v>0.14021189559803288</v>
      </c>
      <c r="AX119" s="200">
        <f t="shared" si="85"/>
        <v>0.14021189559803288</v>
      </c>
      <c r="AY119" s="200">
        <f t="shared" si="85"/>
        <v>0.14021189559803288</v>
      </c>
    </row>
    <row r="120" spans="1:78">
      <c r="A120" s="126" t="s">
        <v>16</v>
      </c>
      <c r="B120" s="22" t="str">
        <f t="shared" si="78"/>
        <v/>
      </c>
      <c r="C120" s="23" t="str">
        <f t="shared" si="79"/>
        <v/>
      </c>
      <c r="D120" s="61" t="str">
        <f>ITEMS_TRA!C24</f>
        <v>TFHCV9</v>
      </c>
      <c r="E120" s="23" t="str">
        <f t="shared" si="80"/>
        <v/>
      </c>
      <c r="G120" s="23" t="str">
        <f t="shared" si="80"/>
        <v/>
      </c>
      <c r="H120" s="23" t="str">
        <f t="shared" si="80"/>
        <v/>
      </c>
      <c r="I120" s="23" t="str">
        <f t="shared" si="80"/>
        <v/>
      </c>
      <c r="J120" s="135" t="str">
        <f t="shared" si="81"/>
        <v/>
      </c>
      <c r="K120" s="200">
        <f>INDEX('[2]TS BYDem'!J$10:J$59,MATCH($D120,'[2]TS BYDem'!D$10:D$59,0))</f>
        <v>3.9969372950314989E-2</v>
      </c>
      <c r="L120" s="200">
        <f t="shared" si="85"/>
        <v>3.4102559292729893E-2</v>
      </c>
      <c r="M120" s="200">
        <f t="shared" si="85"/>
        <v>2.8235745635144794E-2</v>
      </c>
      <c r="N120" s="200">
        <f t="shared" si="85"/>
        <v>2.2368931977559604E-2</v>
      </c>
      <c r="O120" s="200">
        <f t="shared" si="85"/>
        <v>2.2519965988779801E-2</v>
      </c>
      <c r="P120" s="200">
        <f t="shared" si="85"/>
        <v>2.2670999999999997E-2</v>
      </c>
      <c r="Q120" s="200">
        <f t="shared" si="85"/>
        <v>2.8615616060068419E-2</v>
      </c>
      <c r="R120" s="200">
        <f t="shared" si="85"/>
        <v>3.4560232120136841E-2</v>
      </c>
      <c r="S120" s="200">
        <f t="shared" si="85"/>
        <v>4.0504848180205263E-2</v>
      </c>
      <c r="T120" s="200">
        <f t="shared" si="85"/>
        <v>4.159272805819756E-2</v>
      </c>
      <c r="U120" s="200">
        <f t="shared" si="85"/>
        <v>4.2680607936189857E-2</v>
      </c>
      <c r="V120" s="200">
        <f t="shared" si="85"/>
        <v>4.3768487814182154E-2</v>
      </c>
      <c r="W120" s="200">
        <f t="shared" si="85"/>
        <v>4.4856367692174451E-2</v>
      </c>
      <c r="X120" s="200">
        <f t="shared" si="85"/>
        <v>4.5944247570166748E-2</v>
      </c>
      <c r="Y120" s="200">
        <f t="shared" si="83"/>
        <v>4.7032127448159045E-2</v>
      </c>
      <c r="Z120" s="200">
        <f t="shared" si="83"/>
        <v>4.8120007326151341E-2</v>
      </c>
      <c r="AA120" s="200">
        <f t="shared" si="83"/>
        <v>4.9207887204143638E-2</v>
      </c>
      <c r="AB120" s="200">
        <f t="shared" si="85"/>
        <v>5.0295767082135935E-2</v>
      </c>
      <c r="AC120" s="200">
        <f t="shared" si="85"/>
        <v>5.138364696012826E-2</v>
      </c>
      <c r="AD120" s="200">
        <f t="shared" si="85"/>
        <v>5.3134096651766251E-2</v>
      </c>
      <c r="AE120" s="200">
        <f t="shared" si="85"/>
        <v>5.4884546343404242E-2</v>
      </c>
      <c r="AF120" s="200">
        <f t="shared" si="85"/>
        <v>5.6634996035042233E-2</v>
      </c>
      <c r="AG120" s="200">
        <f t="shared" si="85"/>
        <v>5.8385445726680224E-2</v>
      </c>
      <c r="AH120" s="200">
        <f t="shared" si="85"/>
        <v>6.0135895418318215E-2</v>
      </c>
      <c r="AI120" s="200">
        <f t="shared" si="85"/>
        <v>6.1886345109956206E-2</v>
      </c>
      <c r="AJ120" s="200">
        <f t="shared" si="85"/>
        <v>6.3636794801594204E-2</v>
      </c>
      <c r="AK120" s="200">
        <f t="shared" si="85"/>
        <v>6.5387244493232202E-2</v>
      </c>
      <c r="AL120" s="200">
        <f t="shared" si="85"/>
        <v>6.71376941848702E-2</v>
      </c>
      <c r="AM120" s="200">
        <f t="shared" si="85"/>
        <v>6.8888143876508184E-2</v>
      </c>
      <c r="AN120" s="200">
        <f t="shared" si="85"/>
        <v>7.1581394446048691E-2</v>
      </c>
      <c r="AO120" s="200">
        <f t="shared" si="85"/>
        <v>7.4274645015589197E-2</v>
      </c>
      <c r="AP120" s="200">
        <f t="shared" si="85"/>
        <v>7.6967895585129703E-2</v>
      </c>
      <c r="AQ120" s="200">
        <f t="shared" si="85"/>
        <v>7.9661146154670209E-2</v>
      </c>
      <c r="AR120" s="200">
        <f t="shared" si="85"/>
        <v>8.2354396724210716E-2</v>
      </c>
      <c r="AS120" s="200">
        <f t="shared" si="85"/>
        <v>8.5047647293751222E-2</v>
      </c>
      <c r="AT120" s="200">
        <f t="shared" si="85"/>
        <v>8.7740897863291728E-2</v>
      </c>
      <c r="AU120" s="200">
        <f t="shared" si="85"/>
        <v>9.0434148432832234E-2</v>
      </c>
      <c r="AV120" s="200">
        <f t="shared" si="85"/>
        <v>9.312739900237274E-2</v>
      </c>
      <c r="AW120" s="200">
        <f t="shared" si="85"/>
        <v>9.5820649571913288E-2</v>
      </c>
      <c r="AX120" s="200">
        <f t="shared" si="85"/>
        <v>9.5820649571913288E-2</v>
      </c>
      <c r="AY120" s="200">
        <f t="shared" si="85"/>
        <v>9.5820649571913288E-2</v>
      </c>
    </row>
    <row r="121" spans="1:78">
      <c r="A121" s="126" t="s">
        <v>16</v>
      </c>
      <c r="B121" s="22" t="str">
        <f t="shared" si="78"/>
        <v/>
      </c>
      <c r="C121" s="23" t="str">
        <f t="shared" si="79"/>
        <v/>
      </c>
      <c r="D121" s="61" t="str">
        <f>ITEMS_TRA!C25</f>
        <v>TFRCO</v>
      </c>
      <c r="E121" s="23" t="str">
        <f t="shared" si="80"/>
        <v/>
      </c>
      <c r="G121" s="23" t="str">
        <f t="shared" si="80"/>
        <v/>
      </c>
      <c r="H121" s="23" t="str">
        <f t="shared" si="80"/>
        <v/>
      </c>
      <c r="I121" s="23" t="str">
        <f t="shared" si="80"/>
        <v/>
      </c>
      <c r="J121" s="135" t="str">
        <f t="shared" si="81"/>
        <v/>
      </c>
      <c r="K121" s="200">
        <f>INDEX('[2]TS BYDem'!J$10:J$59,MATCH($D121,'[2]TS BYDem'!D$10:D$59,0))</f>
        <v>22</v>
      </c>
      <c r="L121" s="200">
        <f t="shared" si="85"/>
        <v>22.352445526032646</v>
      </c>
      <c r="M121" s="200">
        <f t="shared" si="85"/>
        <v>22.704891052065292</v>
      </c>
      <c r="N121" s="200">
        <f t="shared" si="85"/>
        <v>23.057336578097942</v>
      </c>
      <c r="O121" s="200">
        <f t="shared" si="85"/>
        <v>23.249070137552067</v>
      </c>
      <c r="P121" s="200">
        <f t="shared" si="85"/>
        <v>23.440803697006192</v>
      </c>
      <c r="Q121" s="200">
        <f t="shared" si="85"/>
        <v>23.058781481202871</v>
      </c>
      <c r="R121" s="200">
        <f t="shared" si="85"/>
        <v>22.67675926539955</v>
      </c>
      <c r="S121" s="200">
        <f t="shared" si="85"/>
        <v>22.294737049596232</v>
      </c>
      <c r="T121" s="200">
        <f t="shared" si="85"/>
        <v>24.827138909995355</v>
      </c>
      <c r="U121" s="200">
        <f t="shared" si="85"/>
        <v>27.359540770394482</v>
      </c>
      <c r="V121" s="200">
        <f t="shared" si="85"/>
        <v>29.891942630793608</v>
      </c>
      <c r="W121" s="200">
        <f t="shared" si="85"/>
        <v>32.424344491192734</v>
      </c>
      <c r="X121" s="200">
        <f t="shared" si="85"/>
        <v>34.95674635159186</v>
      </c>
      <c r="Y121" s="200">
        <f t="shared" si="83"/>
        <v>37.489148211990987</v>
      </c>
      <c r="Z121" s="200">
        <f t="shared" si="83"/>
        <v>40.021550072390113</v>
      </c>
      <c r="AA121" s="200">
        <f t="shared" si="83"/>
        <v>42.553951932789239</v>
      </c>
      <c r="AB121" s="200">
        <f t="shared" si="85"/>
        <v>45.086353793188366</v>
      </c>
      <c r="AC121" s="200">
        <f t="shared" si="85"/>
        <v>47.618755653587478</v>
      </c>
      <c r="AD121" s="200">
        <f t="shared" si="85"/>
        <v>51.679958610526427</v>
      </c>
      <c r="AE121" s="200">
        <f t="shared" si="85"/>
        <v>55.741161567465369</v>
      </c>
      <c r="AF121" s="200">
        <f t="shared" si="85"/>
        <v>59.802364524404311</v>
      </c>
      <c r="AG121" s="200">
        <f t="shared" si="85"/>
        <v>63.863567481343253</v>
      </c>
      <c r="AH121" s="200">
        <f t="shared" si="85"/>
        <v>67.924770438282195</v>
      </c>
      <c r="AI121" s="200">
        <f t="shared" si="85"/>
        <v>71.985973395221137</v>
      </c>
      <c r="AJ121" s="200">
        <f t="shared" si="85"/>
        <v>76.047176352160079</v>
      </c>
      <c r="AK121" s="200">
        <f t="shared" si="85"/>
        <v>80.108379309099021</v>
      </c>
      <c r="AL121" s="200">
        <f t="shared" si="85"/>
        <v>84.169582266037963</v>
      </c>
      <c r="AM121" s="200">
        <f t="shared" si="85"/>
        <v>88.230785222976934</v>
      </c>
      <c r="AN121" s="200">
        <f t="shared" si="85"/>
        <v>95.328173891140793</v>
      </c>
      <c r="AO121" s="200">
        <f t="shared" si="85"/>
        <v>102.42556255930465</v>
      </c>
      <c r="AP121" s="200">
        <f t="shared" si="85"/>
        <v>109.52295122746851</v>
      </c>
      <c r="AQ121" s="200">
        <f t="shared" si="85"/>
        <v>116.62033989563237</v>
      </c>
      <c r="AR121" s="200">
        <f t="shared" si="85"/>
        <v>123.71772856379623</v>
      </c>
      <c r="AS121" s="200">
        <f t="shared" si="85"/>
        <v>130.81511723196007</v>
      </c>
      <c r="AT121" s="200">
        <f t="shared" si="85"/>
        <v>137.91250590012393</v>
      </c>
      <c r="AU121" s="200">
        <f t="shared" si="85"/>
        <v>145.00989456828779</v>
      </c>
      <c r="AV121" s="200">
        <f t="shared" si="85"/>
        <v>152.10728323645165</v>
      </c>
      <c r="AW121" s="200">
        <f t="shared" si="85"/>
        <v>159.20467190461548</v>
      </c>
      <c r="AX121" s="200">
        <f t="shared" si="85"/>
        <v>159.20467190461548</v>
      </c>
      <c r="AY121" s="200">
        <f t="shared" si="85"/>
        <v>159.20467190461548</v>
      </c>
    </row>
    <row r="122" spans="1:78">
      <c r="A122" s="126" t="s">
        <v>16</v>
      </c>
      <c r="B122" s="22" t="str">
        <f t="shared" si="78"/>
        <v/>
      </c>
      <c r="C122" s="23" t="str">
        <f t="shared" si="79"/>
        <v/>
      </c>
      <c r="D122" s="61" t="str">
        <f>ITEMS_TRA!C26</f>
        <v>TFROT</v>
      </c>
      <c r="E122" s="23" t="str">
        <f t="shared" si="80"/>
        <v/>
      </c>
      <c r="G122" s="23" t="str">
        <f t="shared" si="80"/>
        <v/>
      </c>
      <c r="H122" s="23" t="str">
        <f t="shared" si="80"/>
        <v/>
      </c>
      <c r="I122" s="23" t="str">
        <f t="shared" si="80"/>
        <v/>
      </c>
      <c r="J122" s="135" t="str">
        <f t="shared" si="81"/>
        <v/>
      </c>
      <c r="K122" s="200">
        <f>INDEX('[2]TS BYDem'!J$10:J$59,MATCH($D122,'[2]TS BYDem'!D$10:D$59,0))</f>
        <v>25.1</v>
      </c>
      <c r="L122" s="200">
        <f t="shared" si="85"/>
        <v>25.502108304700894</v>
      </c>
      <c r="M122" s="200">
        <f t="shared" si="85"/>
        <v>25.904216609401786</v>
      </c>
      <c r="N122" s="200">
        <f t="shared" si="85"/>
        <v>26.306324914102674</v>
      </c>
      <c r="O122" s="200">
        <f t="shared" si="85"/>
        <v>26.655927661818367</v>
      </c>
      <c r="P122" s="200">
        <f t="shared" si="85"/>
        <v>27.00553040953406</v>
      </c>
      <c r="Q122" s="200">
        <f t="shared" si="85"/>
        <v>26.565412711380571</v>
      </c>
      <c r="R122" s="200">
        <f t="shared" si="85"/>
        <v>26.125295013227081</v>
      </c>
      <c r="S122" s="200">
        <f t="shared" si="85"/>
        <v>25.685177315073595</v>
      </c>
      <c r="T122" s="200">
        <f t="shared" si="85"/>
        <v>26.690972582655952</v>
      </c>
      <c r="U122" s="200">
        <f t="shared" si="85"/>
        <v>27.696767850238309</v>
      </c>
      <c r="V122" s="200">
        <f t="shared" si="85"/>
        <v>28.702563117820667</v>
      </c>
      <c r="W122" s="200">
        <f t="shared" si="85"/>
        <v>29.708358385403024</v>
      </c>
      <c r="X122" s="200">
        <f t="shared" si="85"/>
        <v>30.714153652985381</v>
      </c>
      <c r="Y122" s="200">
        <f t="shared" si="83"/>
        <v>31.719948920567738</v>
      </c>
      <c r="Z122" s="200">
        <f t="shared" si="83"/>
        <v>32.725744188150095</v>
      </c>
      <c r="AA122" s="200">
        <f t="shared" si="83"/>
        <v>33.731539455732452</v>
      </c>
      <c r="AB122" s="200">
        <f t="shared" si="85"/>
        <v>34.73733472331481</v>
      </c>
      <c r="AC122" s="200">
        <f t="shared" si="85"/>
        <v>35.743129990897167</v>
      </c>
      <c r="AD122" s="200">
        <f t="shared" si="85"/>
        <v>37.366103171087573</v>
      </c>
      <c r="AE122" s="200">
        <f t="shared" si="85"/>
        <v>38.98907635127798</v>
      </c>
      <c r="AF122" s="200">
        <f t="shared" si="85"/>
        <v>40.612049531468386</v>
      </c>
      <c r="AG122" s="200">
        <f t="shared" si="85"/>
        <v>42.235022711658793</v>
      </c>
      <c r="AH122" s="200">
        <f t="shared" si="85"/>
        <v>43.8579958918492</v>
      </c>
      <c r="AI122" s="200">
        <f t="shared" si="85"/>
        <v>45.480969072039606</v>
      </c>
      <c r="AJ122" s="200">
        <f t="shared" si="85"/>
        <v>47.103942252230013</v>
      </c>
      <c r="AK122" s="200">
        <f t="shared" si="85"/>
        <v>48.726915432420419</v>
      </c>
      <c r="AL122" s="200">
        <f t="shared" si="85"/>
        <v>50.349888612610826</v>
      </c>
      <c r="AM122" s="200">
        <f t="shared" si="85"/>
        <v>51.972861792801233</v>
      </c>
      <c r="AN122" s="200">
        <f t="shared" si="85"/>
        <v>54.612374022922339</v>
      </c>
      <c r="AO122" s="200">
        <f t="shared" si="85"/>
        <v>57.251886253043445</v>
      </c>
      <c r="AP122" s="200">
        <f t="shared" si="85"/>
        <v>59.891398483164551</v>
      </c>
      <c r="AQ122" s="200">
        <f t="shared" si="85"/>
        <v>62.530910713285657</v>
      </c>
      <c r="AR122" s="200">
        <f t="shared" si="85"/>
        <v>65.170422943406763</v>
      </c>
      <c r="AS122" s="200">
        <f t="shared" si="85"/>
        <v>67.809935173527862</v>
      </c>
      <c r="AT122" s="200">
        <f t="shared" si="85"/>
        <v>70.449447403648961</v>
      </c>
      <c r="AU122" s="200">
        <f t="shared" si="85"/>
        <v>73.08895963377006</v>
      </c>
      <c r="AV122" s="200">
        <f t="shared" si="85"/>
        <v>75.728471863891158</v>
      </c>
      <c r="AW122" s="200">
        <f t="shared" si="85"/>
        <v>78.367984094012272</v>
      </c>
      <c r="AX122" s="200">
        <f t="shared" si="85"/>
        <v>78.367984094012272</v>
      </c>
      <c r="AY122" s="200">
        <f t="shared" si="85"/>
        <v>78.367984094012272</v>
      </c>
    </row>
    <row r="123" spans="1:78">
      <c r="A123" s="126" t="s">
        <v>16</v>
      </c>
      <c r="B123" s="22" t="str">
        <f t="shared" si="78"/>
        <v/>
      </c>
      <c r="C123" s="136" t="str">
        <f t="shared" si="79"/>
        <v/>
      </c>
      <c r="D123" s="61" t="str">
        <f>ITEMS_TRA!C27</f>
        <v>TFREX</v>
      </c>
      <c r="E123" s="136" t="str">
        <f t="shared" si="80"/>
        <v/>
      </c>
      <c r="G123" s="136" t="str">
        <f t="shared" si="80"/>
        <v/>
      </c>
      <c r="H123" s="136" t="str">
        <f t="shared" si="80"/>
        <v/>
      </c>
      <c r="I123" s="136" t="str">
        <f t="shared" si="80"/>
        <v/>
      </c>
      <c r="J123" s="137" t="str">
        <f t="shared" si="81"/>
        <v/>
      </c>
      <c r="K123" s="200">
        <f>INDEX('[2]TS BYDem'!J$10:J$59,MATCH($D123,'[2]TS BYDem'!D$10:D$59,0))</f>
        <v>82</v>
      </c>
      <c r="L123" s="200">
        <f t="shared" si="85"/>
        <v>82</v>
      </c>
      <c r="M123" s="200">
        <f t="shared" si="85"/>
        <v>82</v>
      </c>
      <c r="N123" s="200">
        <f t="shared" si="85"/>
        <v>82</v>
      </c>
      <c r="O123" s="200">
        <f t="shared" si="85"/>
        <v>82</v>
      </c>
      <c r="P123" s="200">
        <f t="shared" si="85"/>
        <v>82</v>
      </c>
      <c r="Q123" s="200">
        <f t="shared" si="85"/>
        <v>79.765410049200213</v>
      </c>
      <c r="R123" s="200">
        <f t="shared" si="85"/>
        <v>77.530820098400426</v>
      </c>
      <c r="S123" s="200">
        <f t="shared" si="85"/>
        <v>75.296230147600639</v>
      </c>
      <c r="T123" s="200">
        <f t="shared" si="85"/>
        <v>77.385088910650026</v>
      </c>
      <c r="U123" s="200">
        <f t="shared" si="85"/>
        <v>79.473947673699413</v>
      </c>
      <c r="V123" s="200">
        <f t="shared" si="85"/>
        <v>81.562806436748801</v>
      </c>
      <c r="W123" s="200">
        <f t="shared" si="85"/>
        <v>83.651665199798188</v>
      </c>
      <c r="X123" s="200">
        <f t="shared" si="85"/>
        <v>85.740523962847575</v>
      </c>
      <c r="Y123" s="200">
        <f t="shared" si="83"/>
        <v>87.829382725896963</v>
      </c>
      <c r="Z123" s="200">
        <f t="shared" si="83"/>
        <v>89.91824148894635</v>
      </c>
      <c r="AA123" s="200">
        <f t="shared" si="83"/>
        <v>92.007100251995737</v>
      </c>
      <c r="AB123" s="200">
        <f t="shared" si="85"/>
        <v>94.095959015045125</v>
      </c>
      <c r="AC123" s="200">
        <f t="shared" si="85"/>
        <v>96.184817778094512</v>
      </c>
      <c r="AD123" s="200">
        <f t="shared" si="85"/>
        <v>99.447523086599105</v>
      </c>
      <c r="AE123" s="200">
        <f t="shared" si="85"/>
        <v>102.7102283951037</v>
      </c>
      <c r="AF123" s="200">
        <f t="shared" si="85"/>
        <v>105.97293370360829</v>
      </c>
      <c r="AG123" s="200">
        <f t="shared" si="85"/>
        <v>109.23563901211288</v>
      </c>
      <c r="AH123" s="200">
        <f t="shared" si="85"/>
        <v>112.49834432061748</v>
      </c>
      <c r="AI123" s="200">
        <f t="shared" si="85"/>
        <v>115.76104962912207</v>
      </c>
      <c r="AJ123" s="200">
        <f t="shared" si="85"/>
        <v>119.02375493762666</v>
      </c>
      <c r="AK123" s="200">
        <f t="shared" si="85"/>
        <v>122.28646024613126</v>
      </c>
      <c r="AL123" s="200">
        <f t="shared" si="85"/>
        <v>125.54916555463585</v>
      </c>
      <c r="AM123" s="200">
        <f t="shared" si="85"/>
        <v>128.81187086314046</v>
      </c>
      <c r="AN123" s="200">
        <f t="shared" si="85"/>
        <v>134.62689875326197</v>
      </c>
      <c r="AO123" s="200">
        <f t="shared" si="85"/>
        <v>140.44192664338345</v>
      </c>
      <c r="AP123" s="200">
        <f t="shared" si="85"/>
        <v>146.25695453350494</v>
      </c>
      <c r="AQ123" s="200">
        <f t="shared" si="85"/>
        <v>152.07198242362642</v>
      </c>
      <c r="AR123" s="200">
        <f t="shared" si="85"/>
        <v>157.88701031374791</v>
      </c>
      <c r="AS123" s="200">
        <f t="shared" si="85"/>
        <v>163.70203820386939</v>
      </c>
      <c r="AT123" s="200">
        <f t="shared" si="85"/>
        <v>169.51706609399088</v>
      </c>
      <c r="AU123" s="200">
        <f t="shared" si="85"/>
        <v>175.33209398411236</v>
      </c>
      <c r="AV123" s="200">
        <f t="shared" si="85"/>
        <v>181.14712187423385</v>
      </c>
      <c r="AW123" s="200">
        <f t="shared" si="85"/>
        <v>186.96214976435544</v>
      </c>
      <c r="AX123" s="200">
        <f t="shared" si="85"/>
        <v>186.96214976435544</v>
      </c>
      <c r="AY123" s="200">
        <f t="shared" si="85"/>
        <v>186.96214976435544</v>
      </c>
    </row>
    <row r="124" spans="1:78">
      <c r="A124" s="126" t="s">
        <v>16</v>
      </c>
      <c r="B124" s="200"/>
      <c r="C124" s="200"/>
      <c r="H124" s="10"/>
      <c r="I124" s="10"/>
      <c r="J124" s="10"/>
      <c r="K124" s="10"/>
      <c r="L124" s="10"/>
      <c r="N124" s="10"/>
    </row>
    <row r="125" spans="1:78">
      <c r="B125" s="200"/>
      <c r="C125" s="200"/>
      <c r="H125" s="10"/>
      <c r="I125" s="10"/>
      <c r="J125" s="10"/>
      <c r="K125" s="10"/>
      <c r="L125" s="10"/>
      <c r="N125" s="10"/>
    </row>
    <row r="126" spans="1:78">
      <c r="A126" s="199" t="s">
        <v>16</v>
      </c>
      <c r="B126" s="200"/>
      <c r="C126" s="200"/>
      <c r="H126" s="10"/>
      <c r="I126" s="10"/>
      <c r="J126" s="10"/>
      <c r="K126" s="10"/>
      <c r="L126" s="10"/>
      <c r="N126" s="10"/>
    </row>
    <row r="127" spans="1:78" ht="23.25">
      <c r="A127" s="124" t="s">
        <v>16</v>
      </c>
      <c r="B127" s="128" t="s">
        <v>19</v>
      </c>
      <c r="C127" s="128" t="s">
        <v>20</v>
      </c>
      <c r="D127" s="128" t="s">
        <v>21</v>
      </c>
      <c r="E127" s="128"/>
      <c r="F127" s="128" t="s">
        <v>22</v>
      </c>
      <c r="G127" s="128" t="s">
        <v>23</v>
      </c>
      <c r="H127" s="128" t="s">
        <v>24</v>
      </c>
      <c r="I127" s="129" t="s">
        <v>25</v>
      </c>
      <c r="J127" s="199">
        <v>2012</v>
      </c>
      <c r="K127" s="199">
        <v>2013</v>
      </c>
      <c r="L127" s="199">
        <v>2014</v>
      </c>
      <c r="M127" s="199">
        <v>2015</v>
      </c>
      <c r="N127" s="199">
        <v>2016</v>
      </c>
      <c r="O127" s="199">
        <v>2017</v>
      </c>
      <c r="P127" s="199">
        <v>2018</v>
      </c>
      <c r="Q127" s="199">
        <v>2019</v>
      </c>
      <c r="R127" s="199">
        <v>2020</v>
      </c>
      <c r="S127" s="199">
        <v>2021</v>
      </c>
      <c r="T127" s="199">
        <v>2022</v>
      </c>
      <c r="U127" s="199">
        <v>2023</v>
      </c>
      <c r="V127" s="199">
        <v>2024</v>
      </c>
      <c r="W127" s="199">
        <v>2025</v>
      </c>
      <c r="X127" s="199">
        <v>2026</v>
      </c>
      <c r="Y127" s="199">
        <v>2027</v>
      </c>
      <c r="Z127" s="199">
        <v>2028</v>
      </c>
      <c r="AA127" s="199">
        <v>2029</v>
      </c>
      <c r="AB127" s="199">
        <v>2030</v>
      </c>
      <c r="AC127" s="199">
        <v>2031</v>
      </c>
      <c r="AD127" s="199">
        <v>2032</v>
      </c>
      <c r="AE127" s="199">
        <v>2033</v>
      </c>
      <c r="AF127" s="199">
        <v>2034</v>
      </c>
      <c r="AG127" s="199">
        <v>2035</v>
      </c>
      <c r="AH127" s="199">
        <v>2036</v>
      </c>
      <c r="AI127" s="199">
        <v>2037</v>
      </c>
      <c r="AJ127" s="199">
        <v>2038</v>
      </c>
      <c r="AK127" s="199">
        <v>2039</v>
      </c>
      <c r="AL127" s="199">
        <v>2040</v>
      </c>
      <c r="AM127" s="199">
        <v>2045</v>
      </c>
      <c r="AN127" s="199">
        <v>2050</v>
      </c>
      <c r="AO127" s="199">
        <v>2060</v>
      </c>
      <c r="AP127" s="199">
        <v>2070</v>
      </c>
    </row>
    <row r="128" spans="1:78" s="205" customFormat="1">
      <c r="A128" s="124" t="s">
        <v>16</v>
      </c>
      <c r="B128" s="205">
        <v>1</v>
      </c>
      <c r="C128" s="205">
        <v>2012</v>
      </c>
      <c r="D128" s="205">
        <v>2015</v>
      </c>
      <c r="E128" s="205">
        <v>2017</v>
      </c>
      <c r="F128" s="205">
        <v>2020</v>
      </c>
      <c r="G128" s="205">
        <v>2030</v>
      </c>
      <c r="H128" s="205">
        <v>2040</v>
      </c>
      <c r="I128" s="254">
        <v>2050</v>
      </c>
      <c r="J128" s="205">
        <f t="shared" ref="J128:S129" si="86">MATCH(J$127,$C$128:$I$128,$B128)</f>
        <v>1</v>
      </c>
      <c r="K128" s="205">
        <f t="shared" si="86"/>
        <v>1</v>
      </c>
      <c r="L128" s="205">
        <f t="shared" si="86"/>
        <v>1</v>
      </c>
      <c r="M128" s="205">
        <f t="shared" si="86"/>
        <v>2</v>
      </c>
      <c r="N128" s="205">
        <f t="shared" si="86"/>
        <v>2</v>
      </c>
      <c r="O128" s="205">
        <f t="shared" si="86"/>
        <v>3</v>
      </c>
      <c r="P128" s="205">
        <f t="shared" si="86"/>
        <v>3</v>
      </c>
      <c r="Q128" s="205">
        <f t="shared" si="86"/>
        <v>3</v>
      </c>
      <c r="R128" s="205">
        <f t="shared" si="86"/>
        <v>4</v>
      </c>
      <c r="S128" s="205">
        <f t="shared" si="86"/>
        <v>4</v>
      </c>
      <c r="T128" s="205">
        <f t="shared" ref="T128:AC129" si="87">MATCH(T$127,$C$128:$I$128,$B128)</f>
        <v>4</v>
      </c>
      <c r="U128" s="205">
        <f t="shared" si="87"/>
        <v>4</v>
      </c>
      <c r="V128" s="205">
        <f t="shared" si="87"/>
        <v>4</v>
      </c>
      <c r="W128" s="205">
        <f t="shared" si="87"/>
        <v>4</v>
      </c>
      <c r="X128" s="205">
        <f t="shared" si="87"/>
        <v>4</v>
      </c>
      <c r="Y128" s="205">
        <f t="shared" si="87"/>
        <v>4</v>
      </c>
      <c r="Z128" s="205">
        <f>MATCH(Z$127,$C$128:$I$128,$B128)</f>
        <v>4</v>
      </c>
      <c r="AA128" s="205">
        <f t="shared" si="87"/>
        <v>4</v>
      </c>
      <c r="AB128" s="205">
        <f t="shared" si="87"/>
        <v>5</v>
      </c>
      <c r="AC128" s="205">
        <f t="shared" si="87"/>
        <v>5</v>
      </c>
      <c r="AD128" s="205">
        <f t="shared" ref="AD128:AP129" si="88">MATCH(AD$127,$C$128:$I$128,$B128)</f>
        <v>5</v>
      </c>
      <c r="AE128" s="205">
        <f t="shared" si="88"/>
        <v>5</v>
      </c>
      <c r="AF128" s="205">
        <f t="shared" si="88"/>
        <v>5</v>
      </c>
      <c r="AG128" s="205">
        <f t="shared" si="88"/>
        <v>5</v>
      </c>
      <c r="AH128" s="205">
        <f t="shared" si="88"/>
        <v>5</v>
      </c>
      <c r="AI128" s="205">
        <f t="shared" si="88"/>
        <v>5</v>
      </c>
      <c r="AJ128" s="205">
        <f t="shared" si="88"/>
        <v>5</v>
      </c>
      <c r="AK128" s="205">
        <f t="shared" si="88"/>
        <v>5</v>
      </c>
      <c r="AL128" s="205">
        <f t="shared" si="88"/>
        <v>6</v>
      </c>
      <c r="AM128" s="205">
        <f t="shared" si="88"/>
        <v>6</v>
      </c>
      <c r="AN128" s="205">
        <f t="shared" si="88"/>
        <v>7</v>
      </c>
      <c r="AO128" s="205">
        <f t="shared" si="88"/>
        <v>7</v>
      </c>
      <c r="AP128" s="205">
        <f t="shared" si="88"/>
        <v>7</v>
      </c>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N128" s="199"/>
      <c r="BO128" s="199"/>
      <c r="BP128" s="199"/>
      <c r="BQ128" s="199"/>
      <c r="BR128" s="199"/>
      <c r="BS128" s="199"/>
      <c r="BT128" s="199"/>
      <c r="BU128" s="199"/>
      <c r="BV128" s="199"/>
      <c r="BW128" s="199"/>
      <c r="BX128" s="199"/>
      <c r="BY128" s="199"/>
      <c r="BZ128" s="199"/>
    </row>
    <row r="129" spans="1:78">
      <c r="A129" s="41" t="s">
        <v>16</v>
      </c>
      <c r="B129" s="199">
        <v>0</v>
      </c>
      <c r="C129" s="199">
        <f t="shared" ref="C129:H129" si="89">INDEX($C128:$I128,0,COUNT($C128:$I128)-C130)</f>
        <v>2050</v>
      </c>
      <c r="D129" s="199">
        <f t="shared" si="89"/>
        <v>2040</v>
      </c>
      <c r="E129" s="199">
        <f t="shared" si="89"/>
        <v>2030</v>
      </c>
      <c r="F129" s="199">
        <f t="shared" si="89"/>
        <v>2020</v>
      </c>
      <c r="G129" s="199">
        <f t="shared" si="89"/>
        <v>2017</v>
      </c>
      <c r="H129" s="199">
        <f t="shared" si="89"/>
        <v>2015</v>
      </c>
      <c r="I129" s="131">
        <v>2012</v>
      </c>
      <c r="J129" s="41">
        <f t="shared" si="86"/>
        <v>1</v>
      </c>
      <c r="K129" s="199" t="e">
        <f t="shared" si="86"/>
        <v>#N/A</v>
      </c>
      <c r="L129" s="199" t="e">
        <f t="shared" si="86"/>
        <v>#N/A</v>
      </c>
      <c r="M129" s="199">
        <f t="shared" si="86"/>
        <v>2</v>
      </c>
      <c r="N129" s="199" t="e">
        <f t="shared" si="86"/>
        <v>#N/A</v>
      </c>
      <c r="O129" s="199">
        <f t="shared" si="86"/>
        <v>3</v>
      </c>
      <c r="P129" s="199" t="e">
        <f t="shared" si="86"/>
        <v>#N/A</v>
      </c>
      <c r="Q129" s="199" t="e">
        <f t="shared" si="86"/>
        <v>#N/A</v>
      </c>
      <c r="R129" s="199">
        <f t="shared" si="86"/>
        <v>4</v>
      </c>
      <c r="S129" s="199" t="e">
        <f t="shared" si="86"/>
        <v>#N/A</v>
      </c>
      <c r="T129" s="199" t="e">
        <f t="shared" si="87"/>
        <v>#N/A</v>
      </c>
      <c r="U129" s="199" t="e">
        <f t="shared" si="87"/>
        <v>#N/A</v>
      </c>
      <c r="V129" s="199" t="e">
        <f t="shared" si="87"/>
        <v>#N/A</v>
      </c>
      <c r="W129" s="199" t="e">
        <f t="shared" si="87"/>
        <v>#N/A</v>
      </c>
      <c r="X129" s="199" t="e">
        <f t="shared" si="87"/>
        <v>#N/A</v>
      </c>
      <c r="Y129" s="199" t="e">
        <f t="shared" si="87"/>
        <v>#N/A</v>
      </c>
      <c r="Z129" s="199" t="e">
        <f>MATCH(Z$127,$C$128:$I$128,$B129)</f>
        <v>#N/A</v>
      </c>
      <c r="AA129" s="199" t="e">
        <f t="shared" si="87"/>
        <v>#N/A</v>
      </c>
      <c r="AB129" s="199">
        <f t="shared" si="87"/>
        <v>5</v>
      </c>
      <c r="AC129" s="199" t="e">
        <f t="shared" si="87"/>
        <v>#N/A</v>
      </c>
      <c r="AD129" s="199" t="e">
        <f t="shared" si="88"/>
        <v>#N/A</v>
      </c>
      <c r="AE129" s="199" t="e">
        <f t="shared" si="88"/>
        <v>#N/A</v>
      </c>
      <c r="AF129" s="199" t="e">
        <f t="shared" si="88"/>
        <v>#N/A</v>
      </c>
      <c r="AG129" s="199" t="e">
        <f t="shared" si="88"/>
        <v>#N/A</v>
      </c>
      <c r="AH129" s="199" t="e">
        <f t="shared" si="88"/>
        <v>#N/A</v>
      </c>
      <c r="AI129" s="199" t="e">
        <f t="shared" si="88"/>
        <v>#N/A</v>
      </c>
      <c r="AJ129" s="199" t="e">
        <f t="shared" si="88"/>
        <v>#N/A</v>
      </c>
      <c r="AK129" s="199" t="e">
        <f t="shared" si="88"/>
        <v>#N/A</v>
      </c>
      <c r="AL129" s="199">
        <f t="shared" si="88"/>
        <v>6</v>
      </c>
      <c r="AM129" s="199" t="e">
        <f t="shared" si="88"/>
        <v>#N/A</v>
      </c>
      <c r="AN129" s="199">
        <f t="shared" si="88"/>
        <v>7</v>
      </c>
      <c r="AO129" s="199" t="e">
        <f t="shared" si="88"/>
        <v>#N/A</v>
      </c>
      <c r="AP129" s="199" t="e">
        <f t="shared" si="88"/>
        <v>#N/A</v>
      </c>
    </row>
    <row r="130" spans="1:78">
      <c r="A130" s="41" t="s">
        <v>16</v>
      </c>
      <c r="B130" s="199">
        <v>-1</v>
      </c>
      <c r="C130" s="199">
        <v>0</v>
      </c>
      <c r="D130" s="199">
        <v>1</v>
      </c>
      <c r="E130" s="202">
        <v>2</v>
      </c>
      <c r="F130" s="199">
        <v>3</v>
      </c>
      <c r="G130" s="199">
        <v>4</v>
      </c>
      <c r="H130" s="199">
        <v>5</v>
      </c>
      <c r="I130" s="199">
        <v>6</v>
      </c>
      <c r="J130" s="41">
        <f t="shared" ref="J130:AP130" si="90">MATCH(J$127,$C$129:$I$129,$B130)</f>
        <v>7</v>
      </c>
      <c r="K130" s="199">
        <f t="shared" si="90"/>
        <v>6</v>
      </c>
      <c r="L130" s="199">
        <f t="shared" si="90"/>
        <v>6</v>
      </c>
      <c r="M130" s="199">
        <f t="shared" si="90"/>
        <v>6</v>
      </c>
      <c r="N130" s="199">
        <f t="shared" si="90"/>
        <v>5</v>
      </c>
      <c r="O130" s="199">
        <f t="shared" si="90"/>
        <v>5</v>
      </c>
      <c r="P130" s="199">
        <f t="shared" si="90"/>
        <v>4</v>
      </c>
      <c r="Q130" s="199">
        <f t="shared" si="90"/>
        <v>4</v>
      </c>
      <c r="R130" s="199">
        <f t="shared" si="90"/>
        <v>4</v>
      </c>
      <c r="S130" s="199">
        <f t="shared" si="90"/>
        <v>3</v>
      </c>
      <c r="T130" s="199">
        <f t="shared" si="90"/>
        <v>3</v>
      </c>
      <c r="U130" s="199">
        <f t="shared" si="90"/>
        <v>3</v>
      </c>
      <c r="V130" s="199">
        <f t="shared" si="90"/>
        <v>3</v>
      </c>
      <c r="W130" s="199">
        <f t="shared" si="90"/>
        <v>3</v>
      </c>
      <c r="X130" s="199">
        <f t="shared" si="90"/>
        <v>3</v>
      </c>
      <c r="Y130" s="199">
        <f t="shared" si="90"/>
        <v>3</v>
      </c>
      <c r="Z130" s="199">
        <f>MATCH(Z$127,$C$129:$I$129,$B130)</f>
        <v>3</v>
      </c>
      <c r="AA130" s="199">
        <f t="shared" si="90"/>
        <v>3</v>
      </c>
      <c r="AB130" s="199">
        <f t="shared" si="90"/>
        <v>3</v>
      </c>
      <c r="AC130" s="199">
        <f t="shared" si="90"/>
        <v>2</v>
      </c>
      <c r="AD130" s="199">
        <f t="shared" si="90"/>
        <v>2</v>
      </c>
      <c r="AE130" s="199">
        <f t="shared" si="90"/>
        <v>2</v>
      </c>
      <c r="AF130" s="199">
        <f t="shared" si="90"/>
        <v>2</v>
      </c>
      <c r="AG130" s="199">
        <f t="shared" si="90"/>
        <v>2</v>
      </c>
      <c r="AH130" s="199">
        <f t="shared" si="90"/>
        <v>2</v>
      </c>
      <c r="AI130" s="199">
        <f t="shared" si="90"/>
        <v>2</v>
      </c>
      <c r="AJ130" s="199">
        <f t="shared" si="90"/>
        <v>2</v>
      </c>
      <c r="AK130" s="199">
        <f t="shared" si="90"/>
        <v>2</v>
      </c>
      <c r="AL130" s="199">
        <f t="shared" si="90"/>
        <v>2</v>
      </c>
      <c r="AM130" s="199">
        <f t="shared" si="90"/>
        <v>1</v>
      </c>
      <c r="AN130" s="199">
        <f t="shared" si="90"/>
        <v>1</v>
      </c>
      <c r="AO130" s="199" t="e">
        <f t="shared" si="90"/>
        <v>#N/A</v>
      </c>
      <c r="AP130" s="199" t="e">
        <f t="shared" si="90"/>
        <v>#N/A</v>
      </c>
    </row>
    <row r="131" spans="1:78" s="127" customFormat="1">
      <c r="A131" s="126" t="s">
        <v>16</v>
      </c>
      <c r="I131" s="132"/>
      <c r="J131" s="203">
        <f t="shared" ref="J131:AP131" si="91">IF(ISNA(J128),-1,IF(ISNA(J130),99,IF(ISNA(J129),J128,0)))</f>
        <v>0</v>
      </c>
      <c r="K131" s="203">
        <f t="shared" si="91"/>
        <v>1</v>
      </c>
      <c r="L131" s="203">
        <f t="shared" si="91"/>
        <v>1</v>
      </c>
      <c r="M131" s="203">
        <f t="shared" si="91"/>
        <v>0</v>
      </c>
      <c r="N131" s="203">
        <f t="shared" si="91"/>
        <v>2</v>
      </c>
      <c r="O131" s="203">
        <f t="shared" si="91"/>
        <v>0</v>
      </c>
      <c r="P131" s="203">
        <f t="shared" si="91"/>
        <v>3</v>
      </c>
      <c r="Q131" s="203">
        <f t="shared" si="91"/>
        <v>3</v>
      </c>
      <c r="R131" s="203">
        <f t="shared" si="91"/>
        <v>0</v>
      </c>
      <c r="S131" s="203">
        <f t="shared" si="91"/>
        <v>4</v>
      </c>
      <c r="T131" s="203">
        <f t="shared" si="91"/>
        <v>4</v>
      </c>
      <c r="U131" s="203">
        <f t="shared" si="91"/>
        <v>4</v>
      </c>
      <c r="V131" s="203">
        <f t="shared" si="91"/>
        <v>4</v>
      </c>
      <c r="W131" s="203">
        <f t="shared" si="91"/>
        <v>4</v>
      </c>
      <c r="X131" s="203">
        <f t="shared" si="91"/>
        <v>4</v>
      </c>
      <c r="Y131" s="203">
        <f t="shared" si="91"/>
        <v>4</v>
      </c>
      <c r="Z131" s="203">
        <f t="shared" si="91"/>
        <v>4</v>
      </c>
      <c r="AA131" s="203">
        <f t="shared" si="91"/>
        <v>4</v>
      </c>
      <c r="AB131" s="203">
        <f t="shared" si="91"/>
        <v>0</v>
      </c>
      <c r="AC131" s="203">
        <f t="shared" si="91"/>
        <v>5</v>
      </c>
      <c r="AD131" s="203">
        <f t="shared" si="91"/>
        <v>5</v>
      </c>
      <c r="AE131" s="203">
        <f t="shared" si="91"/>
        <v>5</v>
      </c>
      <c r="AF131" s="203">
        <f t="shared" si="91"/>
        <v>5</v>
      </c>
      <c r="AG131" s="203">
        <f t="shared" si="91"/>
        <v>5</v>
      </c>
      <c r="AH131" s="203">
        <f t="shared" si="91"/>
        <v>5</v>
      </c>
      <c r="AI131" s="203">
        <f t="shared" si="91"/>
        <v>5</v>
      </c>
      <c r="AJ131" s="203">
        <f t="shared" si="91"/>
        <v>5</v>
      </c>
      <c r="AK131" s="203">
        <f t="shared" si="91"/>
        <v>5</v>
      </c>
      <c r="AL131" s="203">
        <f t="shared" si="91"/>
        <v>0</v>
      </c>
      <c r="AM131" s="203">
        <f t="shared" si="91"/>
        <v>6</v>
      </c>
      <c r="AN131" s="203">
        <f t="shared" si="91"/>
        <v>0</v>
      </c>
      <c r="AO131" s="203">
        <f t="shared" si="91"/>
        <v>99</v>
      </c>
      <c r="AP131" s="203">
        <f t="shared" si="91"/>
        <v>99</v>
      </c>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N131" s="199"/>
      <c r="BO131" s="199"/>
      <c r="BP131" s="199"/>
      <c r="BQ131" s="199"/>
      <c r="BR131" s="199"/>
      <c r="BS131" s="199"/>
      <c r="BT131" s="199"/>
      <c r="BU131" s="199"/>
      <c r="BV131" s="199"/>
      <c r="BW131" s="199"/>
      <c r="BX131" s="199"/>
      <c r="BY131" s="199"/>
      <c r="BZ131" s="199"/>
    </row>
    <row r="132" spans="1:78">
      <c r="A132" s="41" t="s">
        <v>125</v>
      </c>
      <c r="B132" s="22" t="str">
        <f t="shared" ref="B132:B144" si="92">IF(A132="*","","COM_PROJ")</f>
        <v>COM_PROJ</v>
      </c>
      <c r="C132" s="23" t="str">
        <f t="shared" ref="C132:C144" si="93">IF($A132="*","","-")</f>
        <v>-</v>
      </c>
      <c r="D132" s="61" t="str">
        <f>ITEMS_TRA!C15</f>
        <v>TFLCV</v>
      </c>
      <c r="E132" s="23" t="str">
        <f t="shared" ref="E132:H144" si="94">IF($A132="*","","-")</f>
        <v>-</v>
      </c>
      <c r="F132" s="23" t="str">
        <f t="shared" si="94"/>
        <v>-</v>
      </c>
      <c r="G132" s="23" t="str">
        <f t="shared" si="94"/>
        <v>-</v>
      </c>
      <c r="H132" s="23" t="str">
        <f t="shared" si="94"/>
        <v>-</v>
      </c>
      <c r="I132" s="135">
        <f t="shared" ref="I132:I144" si="95">IF(A132="*","",0)</f>
        <v>0</v>
      </c>
      <c r="J132" s="200">
        <f t="shared" ref="J132:AP132" si="96">INDEX($K111:$AY111,MATCH(J$127,$K$106:$AY$106,0))</f>
        <v>43.11250375056882</v>
      </c>
      <c r="K132" s="200">
        <f t="shared" si="96"/>
        <v>43.541669167045889</v>
      </c>
      <c r="L132" s="200">
        <f t="shared" si="96"/>
        <v>43.970834583522958</v>
      </c>
      <c r="M132" s="200">
        <f t="shared" si="96"/>
        <v>44.4</v>
      </c>
      <c r="N132" s="200">
        <f t="shared" si="96"/>
        <v>44.871410582810697</v>
      </c>
      <c r="O132" s="200">
        <f t="shared" si="96"/>
        <v>45.342821165621402</v>
      </c>
      <c r="P132" s="200">
        <f t="shared" si="96"/>
        <v>44.791910090242503</v>
      </c>
      <c r="Q132" s="200">
        <f t="shared" si="96"/>
        <v>44.240999014863604</v>
      </c>
      <c r="R132" s="200">
        <f t="shared" si="96"/>
        <v>43.690087939484705</v>
      </c>
      <c r="S132" s="200">
        <f t="shared" si="96"/>
        <v>45.345468160465344</v>
      </c>
      <c r="T132" s="200">
        <f t="shared" si="96"/>
        <v>47.000848381445984</v>
      </c>
      <c r="U132" s="200">
        <f t="shared" si="96"/>
        <v>48.656228602426623</v>
      </c>
      <c r="V132" s="200">
        <f t="shared" si="96"/>
        <v>50.311608823407262</v>
      </c>
      <c r="W132" s="200">
        <f t="shared" si="96"/>
        <v>51.966989044387901</v>
      </c>
      <c r="X132" s="200">
        <f t="shared" si="96"/>
        <v>53.62236926536854</v>
      </c>
      <c r="Y132" s="200">
        <f t="shared" si="96"/>
        <v>55.27774948634918</v>
      </c>
      <c r="Z132" s="200">
        <f t="shared" ref="Z132:Z144" si="97">INDEX($K111:$AY111,MATCH(Z$127,$K$106:$AY$106,0))</f>
        <v>56.933129707329819</v>
      </c>
      <c r="AA132" s="200">
        <f t="shared" si="96"/>
        <v>58.588509928310458</v>
      </c>
      <c r="AB132" s="200">
        <f t="shared" si="96"/>
        <v>60.243890149291104</v>
      </c>
      <c r="AC132" s="200">
        <f t="shared" si="96"/>
        <v>62.904097080226194</v>
      </c>
      <c r="AD132" s="200">
        <f t="shared" si="96"/>
        <v>65.564304011161283</v>
      </c>
      <c r="AE132" s="200">
        <f t="shared" si="96"/>
        <v>68.224510942096373</v>
      </c>
      <c r="AF132" s="200">
        <f t="shared" si="96"/>
        <v>70.884717873031462</v>
      </c>
      <c r="AG132" s="200">
        <f t="shared" si="96"/>
        <v>73.544924803966552</v>
      </c>
      <c r="AH132" s="200">
        <f t="shared" si="96"/>
        <v>76.205131734901641</v>
      </c>
      <c r="AI132" s="200">
        <f t="shared" si="96"/>
        <v>78.865338665836731</v>
      </c>
      <c r="AJ132" s="200">
        <f t="shared" si="96"/>
        <v>81.525545596771821</v>
      </c>
      <c r="AK132" s="200">
        <f t="shared" si="96"/>
        <v>84.18575252770691</v>
      </c>
      <c r="AL132" s="200">
        <f t="shared" si="96"/>
        <v>86.845959458642014</v>
      </c>
      <c r="AM132" s="200">
        <f t="shared" si="96"/>
        <v>108.36881410727158</v>
      </c>
      <c r="AN132" s="200">
        <f t="shared" si="96"/>
        <v>129.89166875590118</v>
      </c>
      <c r="AO132" s="200">
        <f t="shared" si="96"/>
        <v>129.89166875590118</v>
      </c>
      <c r="AP132" s="200">
        <f t="shared" si="96"/>
        <v>129.89166875590118</v>
      </c>
    </row>
    <row r="133" spans="1:78">
      <c r="A133" s="41"/>
      <c r="B133" s="22" t="str">
        <f t="shared" si="92"/>
        <v>COM_PROJ</v>
      </c>
      <c r="C133" s="23" t="str">
        <f t="shared" si="93"/>
        <v>-</v>
      </c>
      <c r="D133" s="61" t="str">
        <f>ITEMS_TRA!C16</f>
        <v>TFHCV1</v>
      </c>
      <c r="E133" s="23" t="str">
        <f t="shared" si="94"/>
        <v>-</v>
      </c>
      <c r="F133" s="23" t="str">
        <f t="shared" si="94"/>
        <v>-</v>
      </c>
      <c r="G133" s="23" t="str">
        <f t="shared" si="94"/>
        <v>-</v>
      </c>
      <c r="H133" s="23" t="str">
        <f t="shared" si="94"/>
        <v>-</v>
      </c>
      <c r="I133" s="135">
        <f t="shared" si="95"/>
        <v>0</v>
      </c>
      <c r="J133" s="200">
        <f t="shared" ref="J133:AP133" si="98">INDEX($K112:$AY112,MATCH(J$127,$K$106:$AY$106,0))</f>
        <v>3.310563752317667</v>
      </c>
      <c r="K133" s="200">
        <f t="shared" si="98"/>
        <v>3.3405637523176668</v>
      </c>
      <c r="L133" s="200">
        <f t="shared" si="98"/>
        <v>3.3705637523176666</v>
      </c>
      <c r="M133" s="200">
        <f t="shared" si="98"/>
        <v>3.4</v>
      </c>
      <c r="N133" s="200">
        <f t="shared" si="98"/>
        <v>3.4249999999999998</v>
      </c>
      <c r="O133" s="200">
        <f t="shared" si="98"/>
        <v>3.45</v>
      </c>
      <c r="P133" s="200">
        <f t="shared" si="98"/>
        <v>3.3622091007947792</v>
      </c>
      <c r="Q133" s="200">
        <f t="shared" si="98"/>
        <v>3.2744182015895582</v>
      </c>
      <c r="R133" s="200">
        <f t="shared" si="98"/>
        <v>3.1866273023843372</v>
      </c>
      <c r="S133" s="200">
        <f t="shared" si="98"/>
        <v>3.2853958305736843</v>
      </c>
      <c r="T133" s="200">
        <f t="shared" si="98"/>
        <v>3.3841643587630315</v>
      </c>
      <c r="U133" s="200">
        <f t="shared" si="98"/>
        <v>3.4829328869523786</v>
      </c>
      <c r="V133" s="200">
        <f t="shared" si="98"/>
        <v>3.5817014151417257</v>
      </c>
      <c r="W133" s="200">
        <f t="shared" si="98"/>
        <v>3.6804699433310728</v>
      </c>
      <c r="X133" s="200">
        <f t="shared" si="98"/>
        <v>3.7792384715204199</v>
      </c>
      <c r="Y133" s="200">
        <f t="shared" si="98"/>
        <v>3.878006999709767</v>
      </c>
      <c r="Z133" s="200">
        <f t="shared" si="97"/>
        <v>3.9767755278991141</v>
      </c>
      <c r="AA133" s="200">
        <f t="shared" si="98"/>
        <v>4.0755440560884617</v>
      </c>
      <c r="AB133" s="200">
        <f t="shared" si="98"/>
        <v>4.1743125842778097</v>
      </c>
      <c r="AC133" s="200">
        <f t="shared" si="98"/>
        <v>4.3285510363141828</v>
      </c>
      <c r="AD133" s="200">
        <f t="shared" si="98"/>
        <v>4.4827894883505559</v>
      </c>
      <c r="AE133" s="200">
        <f t="shared" si="98"/>
        <v>4.637027940386929</v>
      </c>
      <c r="AF133" s="200">
        <f t="shared" si="98"/>
        <v>4.7912663924233021</v>
      </c>
      <c r="AG133" s="200">
        <f t="shared" si="98"/>
        <v>4.9455048444596752</v>
      </c>
      <c r="AH133" s="200">
        <f t="shared" si="98"/>
        <v>5.0997432964960483</v>
      </c>
      <c r="AI133" s="200">
        <f t="shared" si="98"/>
        <v>5.2539817485324214</v>
      </c>
      <c r="AJ133" s="200">
        <f t="shared" si="98"/>
        <v>5.4082202005687945</v>
      </c>
      <c r="AK133" s="200">
        <f t="shared" si="98"/>
        <v>5.5624586526051676</v>
      </c>
      <c r="AL133" s="200">
        <f t="shared" si="98"/>
        <v>5.7166971046415389</v>
      </c>
      <c r="AM133" s="200">
        <f t="shared" si="98"/>
        <v>6.9196990443673263</v>
      </c>
      <c r="AN133" s="200">
        <f t="shared" si="98"/>
        <v>8.1227009840931128</v>
      </c>
      <c r="AO133" s="200">
        <f t="shared" si="98"/>
        <v>8.1227009840931128</v>
      </c>
      <c r="AP133" s="200">
        <f t="shared" si="98"/>
        <v>8.1227009840931128</v>
      </c>
    </row>
    <row r="134" spans="1:78">
      <c r="A134" s="41"/>
      <c r="B134" s="22" t="str">
        <f t="shared" si="92"/>
        <v>COM_PROJ</v>
      </c>
      <c r="C134" s="23" t="str">
        <f t="shared" si="93"/>
        <v>-</v>
      </c>
      <c r="D134" s="61" t="str">
        <f>ITEMS_TRA!C17</f>
        <v>TFHCV2</v>
      </c>
      <c r="E134" s="23" t="str">
        <f t="shared" si="94"/>
        <v>-</v>
      </c>
      <c r="F134" s="23" t="str">
        <f t="shared" si="94"/>
        <v>-</v>
      </c>
      <c r="G134" s="23" t="str">
        <f t="shared" si="94"/>
        <v>-</v>
      </c>
      <c r="H134" s="23" t="str">
        <f t="shared" si="94"/>
        <v>-</v>
      </c>
      <c r="I134" s="135">
        <f t="shared" si="95"/>
        <v>0</v>
      </c>
      <c r="J134" s="200">
        <f t="shared" ref="J134:AP134" si="99">INDEX($K113:$AY113,MATCH(J$127,$K$106:$AY$106,0))</f>
        <v>0.6547839540708813</v>
      </c>
      <c r="K134" s="200">
        <f t="shared" si="99"/>
        <v>0.67123078144835724</v>
      </c>
      <c r="L134" s="200">
        <f t="shared" si="99"/>
        <v>0.68767760882583318</v>
      </c>
      <c r="M134" s="200">
        <f t="shared" si="99"/>
        <v>0.704124436203308</v>
      </c>
      <c r="N134" s="200">
        <f t="shared" si="99"/>
        <v>0.72006693722491655</v>
      </c>
      <c r="O134" s="200">
        <f t="shared" si="99"/>
        <v>0.73600943824652509</v>
      </c>
      <c r="P134" s="200">
        <f t="shared" si="99"/>
        <v>0.7118583539871558</v>
      </c>
      <c r="Q134" s="200">
        <f t="shared" si="99"/>
        <v>0.68770726972778651</v>
      </c>
      <c r="R134" s="200">
        <f t="shared" si="99"/>
        <v>0.66355618546841733</v>
      </c>
      <c r="S134" s="200">
        <f t="shared" si="99"/>
        <v>0.68137798840116348</v>
      </c>
      <c r="T134" s="200">
        <f t="shared" si="99"/>
        <v>0.69919979133390964</v>
      </c>
      <c r="U134" s="200">
        <f t="shared" si="99"/>
        <v>0.71702159426665579</v>
      </c>
      <c r="V134" s="200">
        <f t="shared" si="99"/>
        <v>0.73484339719940195</v>
      </c>
      <c r="W134" s="200">
        <f t="shared" si="99"/>
        <v>0.7526652001321481</v>
      </c>
      <c r="X134" s="200">
        <f t="shared" si="99"/>
        <v>0.77048700306489426</v>
      </c>
      <c r="Y134" s="200">
        <f t="shared" si="99"/>
        <v>0.78830880599764042</v>
      </c>
      <c r="Z134" s="200">
        <f t="shared" si="97"/>
        <v>0.80613060893038657</v>
      </c>
      <c r="AA134" s="200">
        <f t="shared" si="99"/>
        <v>0.82395241186313273</v>
      </c>
      <c r="AB134" s="200">
        <f t="shared" si="99"/>
        <v>0.84177421479587833</v>
      </c>
      <c r="AC134" s="200">
        <f t="shared" si="99"/>
        <v>0.87045033067884836</v>
      </c>
      <c r="AD134" s="200">
        <f t="shared" si="99"/>
        <v>0.89912644656181839</v>
      </c>
      <c r="AE134" s="200">
        <f t="shared" si="99"/>
        <v>0.92780256244478843</v>
      </c>
      <c r="AF134" s="200">
        <f t="shared" si="99"/>
        <v>0.95647867832775846</v>
      </c>
      <c r="AG134" s="200">
        <f t="shared" si="99"/>
        <v>0.98515479421072849</v>
      </c>
      <c r="AH134" s="200">
        <f t="shared" si="99"/>
        <v>1.0138309100936984</v>
      </c>
      <c r="AI134" s="200">
        <f t="shared" si="99"/>
        <v>1.0425070259766684</v>
      </c>
      <c r="AJ134" s="200">
        <f t="shared" si="99"/>
        <v>1.0711831418596385</v>
      </c>
      <c r="AK134" s="200">
        <f t="shared" si="99"/>
        <v>1.0998592577426085</v>
      </c>
      <c r="AL134" s="200">
        <f t="shared" si="99"/>
        <v>1.1285353736255785</v>
      </c>
      <c r="AM134" s="200">
        <f t="shared" si="99"/>
        <v>1.3491414436056546</v>
      </c>
      <c r="AN134" s="200">
        <f t="shared" si="99"/>
        <v>1.5697475135857306</v>
      </c>
      <c r="AO134" s="200">
        <f t="shared" si="99"/>
        <v>1.5697475135857306</v>
      </c>
      <c r="AP134" s="200">
        <f t="shared" si="99"/>
        <v>1.5697475135857306</v>
      </c>
    </row>
    <row r="135" spans="1:78">
      <c r="A135" s="41"/>
      <c r="B135" s="22" t="str">
        <f t="shared" si="92"/>
        <v>COM_PROJ</v>
      </c>
      <c r="C135" s="23" t="str">
        <f t="shared" si="93"/>
        <v>-</v>
      </c>
      <c r="D135" s="61" t="str">
        <f>ITEMS_TRA!C18</f>
        <v>TFHCV3</v>
      </c>
      <c r="E135" s="23" t="str">
        <f t="shared" si="94"/>
        <v>-</v>
      </c>
      <c r="F135" s="23" t="str">
        <f t="shared" si="94"/>
        <v>-</v>
      </c>
      <c r="G135" s="23" t="str">
        <f t="shared" si="94"/>
        <v>-</v>
      </c>
      <c r="H135" s="23" t="str">
        <f t="shared" si="94"/>
        <v>-</v>
      </c>
      <c r="I135" s="135">
        <f t="shared" si="95"/>
        <v>0</v>
      </c>
      <c r="J135" s="200">
        <f t="shared" ref="J135:AP135" si="100">INDEX($K114:$AY114,MATCH(J$127,$K$106:$AY$106,0))</f>
        <v>2.7114063478211388</v>
      </c>
      <c r="K135" s="200">
        <f t="shared" si="100"/>
        <v>2.7742708985474289</v>
      </c>
      <c r="L135" s="200">
        <f t="shared" si="100"/>
        <v>2.8371354492737191</v>
      </c>
      <c r="M135" s="200">
        <f t="shared" si="100"/>
        <v>2.9</v>
      </c>
      <c r="N135" s="200">
        <f t="shared" si="100"/>
        <v>2.9652984627095749</v>
      </c>
      <c r="O135" s="200">
        <f t="shared" si="100"/>
        <v>3.0305969254191498</v>
      </c>
      <c r="P135" s="200">
        <f t="shared" si="100"/>
        <v>2.9363084284503151</v>
      </c>
      <c r="Q135" s="200">
        <f t="shared" si="100"/>
        <v>2.8420199314814805</v>
      </c>
      <c r="R135" s="200">
        <f t="shared" si="100"/>
        <v>2.7477314345126453</v>
      </c>
      <c r="S135" s="200">
        <f t="shared" si="100"/>
        <v>2.8215300505310124</v>
      </c>
      <c r="T135" s="200">
        <f t="shared" si="100"/>
        <v>2.8953286665493794</v>
      </c>
      <c r="U135" s="200">
        <f t="shared" si="100"/>
        <v>2.9691272825677464</v>
      </c>
      <c r="V135" s="200">
        <f t="shared" si="100"/>
        <v>3.0429258985861134</v>
      </c>
      <c r="W135" s="200">
        <f t="shared" si="100"/>
        <v>3.1167245146044804</v>
      </c>
      <c r="X135" s="200">
        <f t="shared" si="100"/>
        <v>3.1905231306228474</v>
      </c>
      <c r="Y135" s="200">
        <f t="shared" si="100"/>
        <v>3.2643217466412144</v>
      </c>
      <c r="Z135" s="200">
        <f t="shared" si="97"/>
        <v>3.3381203626595815</v>
      </c>
      <c r="AA135" s="200">
        <f t="shared" si="100"/>
        <v>3.4119189786779485</v>
      </c>
      <c r="AB135" s="200">
        <f t="shared" si="100"/>
        <v>3.4857175946963159</v>
      </c>
      <c r="AC135" s="200">
        <f t="shared" si="100"/>
        <v>3.6044630253876773</v>
      </c>
      <c r="AD135" s="200">
        <f t="shared" si="100"/>
        <v>3.7232084560790386</v>
      </c>
      <c r="AE135" s="200">
        <f t="shared" si="100"/>
        <v>3.8419538867704</v>
      </c>
      <c r="AF135" s="200">
        <f t="shared" si="100"/>
        <v>3.9606993174617613</v>
      </c>
      <c r="AG135" s="200">
        <f t="shared" si="100"/>
        <v>4.0794447481531231</v>
      </c>
      <c r="AH135" s="200">
        <f t="shared" si="100"/>
        <v>4.1981901788444844</v>
      </c>
      <c r="AI135" s="200">
        <f t="shared" si="100"/>
        <v>4.3169356095358458</v>
      </c>
      <c r="AJ135" s="200">
        <f t="shared" si="100"/>
        <v>4.4356810402272071</v>
      </c>
      <c r="AK135" s="200">
        <f t="shared" si="100"/>
        <v>4.5544264709185684</v>
      </c>
      <c r="AL135" s="200">
        <f t="shared" si="100"/>
        <v>4.6731719016099298</v>
      </c>
      <c r="AM135" s="200">
        <f t="shared" si="100"/>
        <v>5.5866834420089511</v>
      </c>
      <c r="AN135" s="200">
        <f t="shared" si="100"/>
        <v>6.5001949824079679</v>
      </c>
      <c r="AO135" s="200">
        <f t="shared" si="100"/>
        <v>6.5001949824079679</v>
      </c>
      <c r="AP135" s="200">
        <f t="shared" si="100"/>
        <v>6.5001949824079679</v>
      </c>
    </row>
    <row r="136" spans="1:78">
      <c r="A136" s="41"/>
      <c r="B136" s="22" t="str">
        <f t="shared" si="92"/>
        <v>COM_PROJ</v>
      </c>
      <c r="C136" s="23" t="str">
        <f t="shared" si="93"/>
        <v>-</v>
      </c>
      <c r="D136" s="61" t="str">
        <f>ITEMS_TRA!C19</f>
        <v>TFHCV4</v>
      </c>
      <c r="E136" s="23" t="str">
        <f t="shared" si="94"/>
        <v>-</v>
      </c>
      <c r="F136" s="23" t="str">
        <f t="shared" si="94"/>
        <v>-</v>
      </c>
      <c r="G136" s="23" t="str">
        <f t="shared" si="94"/>
        <v>-</v>
      </c>
      <c r="H136" s="23" t="str">
        <f t="shared" si="94"/>
        <v>-</v>
      </c>
      <c r="I136" s="135">
        <f t="shared" si="95"/>
        <v>0</v>
      </c>
      <c r="J136" s="200">
        <f t="shared" ref="J136:AP136" si="101">INDEX($K115:$AY115,MATCH(J$127,$K$106:$AY$106,0))</f>
        <v>0.57023972229676956</v>
      </c>
      <c r="K136" s="200">
        <f t="shared" si="101"/>
        <v>0.55900373411704862</v>
      </c>
      <c r="L136" s="200">
        <f t="shared" si="101"/>
        <v>0.54776774593732769</v>
      </c>
      <c r="M136" s="200">
        <f t="shared" si="101"/>
        <v>0.53653175775760331</v>
      </c>
      <c r="N136" s="200">
        <f t="shared" si="101"/>
        <v>0.54016937887880168</v>
      </c>
      <c r="O136" s="200">
        <f t="shared" si="101"/>
        <v>0.54380700000000004</v>
      </c>
      <c r="P136" s="200">
        <f t="shared" si="101"/>
        <v>0.55516443430062401</v>
      </c>
      <c r="Q136" s="200">
        <f t="shared" si="101"/>
        <v>0.56652186860124798</v>
      </c>
      <c r="R136" s="200">
        <f t="shared" si="101"/>
        <v>0.57787930290187206</v>
      </c>
      <c r="S136" s="200">
        <f t="shared" si="101"/>
        <v>0.59339999471481886</v>
      </c>
      <c r="T136" s="200">
        <f t="shared" si="101"/>
        <v>0.60892068652776565</v>
      </c>
      <c r="U136" s="200">
        <f t="shared" si="101"/>
        <v>0.62444137834071245</v>
      </c>
      <c r="V136" s="200">
        <f t="shared" si="101"/>
        <v>0.63996207015365925</v>
      </c>
      <c r="W136" s="200">
        <f t="shared" si="101"/>
        <v>0.65548276196660604</v>
      </c>
      <c r="X136" s="200">
        <f t="shared" si="101"/>
        <v>0.67100345377955284</v>
      </c>
      <c r="Y136" s="200">
        <f t="shared" si="101"/>
        <v>0.68652414559249963</v>
      </c>
      <c r="Z136" s="200">
        <f t="shared" si="97"/>
        <v>0.70204483740544643</v>
      </c>
      <c r="AA136" s="200">
        <f t="shared" si="101"/>
        <v>0.71756552921839323</v>
      </c>
      <c r="AB136" s="200">
        <f t="shared" si="101"/>
        <v>0.73308622103133991</v>
      </c>
      <c r="AC136" s="200">
        <f t="shared" si="101"/>
        <v>0.75805974131385523</v>
      </c>
      <c r="AD136" s="200">
        <f t="shared" si="101"/>
        <v>0.78303326159637054</v>
      </c>
      <c r="AE136" s="200">
        <f t="shared" si="101"/>
        <v>0.80800678187888586</v>
      </c>
      <c r="AF136" s="200">
        <f t="shared" si="101"/>
        <v>0.83298030216140118</v>
      </c>
      <c r="AG136" s="200">
        <f t="shared" si="101"/>
        <v>0.85795382244391649</v>
      </c>
      <c r="AH136" s="200">
        <f t="shared" si="101"/>
        <v>0.88292734272643181</v>
      </c>
      <c r="AI136" s="200">
        <f t="shared" si="101"/>
        <v>0.90790086300894712</v>
      </c>
      <c r="AJ136" s="200">
        <f t="shared" si="101"/>
        <v>0.93287438329146244</v>
      </c>
      <c r="AK136" s="200">
        <f t="shared" si="101"/>
        <v>0.95784790357397775</v>
      </c>
      <c r="AL136" s="200">
        <f t="shared" si="101"/>
        <v>0.98282142385649318</v>
      </c>
      <c r="AM136" s="200">
        <f t="shared" si="101"/>
        <v>1.1749433341450917</v>
      </c>
      <c r="AN136" s="200">
        <f t="shared" si="101"/>
        <v>1.3670652444336904</v>
      </c>
      <c r="AO136" s="200">
        <f t="shared" si="101"/>
        <v>1.3670652444336904</v>
      </c>
      <c r="AP136" s="200">
        <f t="shared" si="101"/>
        <v>1.3670652444336904</v>
      </c>
    </row>
    <row r="137" spans="1:78">
      <c r="A137" s="41"/>
      <c r="B137" s="22" t="str">
        <f t="shared" si="92"/>
        <v>COM_PROJ</v>
      </c>
      <c r="C137" s="23" t="str">
        <f t="shared" si="93"/>
        <v>-</v>
      </c>
      <c r="D137" s="61" t="str">
        <f>ITEMS_TRA!C20</f>
        <v>TFHCV5</v>
      </c>
      <c r="E137" s="23" t="str">
        <f t="shared" si="94"/>
        <v>-</v>
      </c>
      <c r="F137" s="23" t="str">
        <f t="shared" si="94"/>
        <v>-</v>
      </c>
      <c r="G137" s="23" t="str">
        <f t="shared" si="94"/>
        <v>-</v>
      </c>
      <c r="H137" s="23" t="str">
        <f t="shared" si="94"/>
        <v>-</v>
      </c>
      <c r="I137" s="135">
        <f t="shared" si="95"/>
        <v>0</v>
      </c>
      <c r="J137" s="200">
        <f t="shared" ref="J137:AP137" si="102">INDEX($K116:$AY116,MATCH(J$127,$K$106:$AY$106,0))</f>
        <v>0.27326501935541331</v>
      </c>
      <c r="K137" s="200">
        <f t="shared" si="102"/>
        <v>0.27740453823694228</v>
      </c>
      <c r="L137" s="200">
        <f t="shared" si="102"/>
        <v>0.28154405711847125</v>
      </c>
      <c r="M137" s="200">
        <f t="shared" si="102"/>
        <v>0.28568357599999999</v>
      </c>
      <c r="N137" s="200">
        <f t="shared" si="102"/>
        <v>0.2876204765</v>
      </c>
      <c r="O137" s="200">
        <f t="shared" si="102"/>
        <v>0.289557377</v>
      </c>
      <c r="P137" s="200">
        <f t="shared" si="102"/>
        <v>0.28534691423305703</v>
      </c>
      <c r="Q137" s="200">
        <f t="shared" si="102"/>
        <v>0.28113645146611405</v>
      </c>
      <c r="R137" s="200">
        <f t="shared" si="102"/>
        <v>0.27692598869917107</v>
      </c>
      <c r="S137" s="200">
        <f t="shared" si="102"/>
        <v>0.28436367145405123</v>
      </c>
      <c r="T137" s="200">
        <f t="shared" si="102"/>
        <v>0.29180135420893138</v>
      </c>
      <c r="U137" s="200">
        <f t="shared" si="102"/>
        <v>0.29923903696381154</v>
      </c>
      <c r="V137" s="200">
        <f t="shared" si="102"/>
        <v>0.3066767197186917</v>
      </c>
      <c r="W137" s="200">
        <f t="shared" si="102"/>
        <v>0.31411440247357186</v>
      </c>
      <c r="X137" s="200">
        <f t="shared" si="102"/>
        <v>0.32155208522845202</v>
      </c>
      <c r="Y137" s="200">
        <f t="shared" si="102"/>
        <v>0.32898976798333218</v>
      </c>
      <c r="Z137" s="200">
        <f t="shared" si="97"/>
        <v>0.33642745073821234</v>
      </c>
      <c r="AA137" s="200">
        <f t="shared" si="102"/>
        <v>0.3438651334930925</v>
      </c>
      <c r="AB137" s="200">
        <f t="shared" si="102"/>
        <v>0.35130281624797255</v>
      </c>
      <c r="AC137" s="200">
        <f t="shared" si="102"/>
        <v>0.36327039626131785</v>
      </c>
      <c r="AD137" s="200">
        <f t="shared" si="102"/>
        <v>0.37523797627466315</v>
      </c>
      <c r="AE137" s="200">
        <f t="shared" si="102"/>
        <v>0.38720555628800846</v>
      </c>
      <c r="AF137" s="200">
        <f t="shared" si="102"/>
        <v>0.39917313630135376</v>
      </c>
      <c r="AG137" s="200">
        <f t="shared" si="102"/>
        <v>0.41114071631469906</v>
      </c>
      <c r="AH137" s="200">
        <f t="shared" si="102"/>
        <v>0.42310829632804436</v>
      </c>
      <c r="AI137" s="200">
        <f t="shared" si="102"/>
        <v>0.43507587634138967</v>
      </c>
      <c r="AJ137" s="200">
        <f t="shared" si="102"/>
        <v>0.44704345635473497</v>
      </c>
      <c r="AK137" s="200">
        <f t="shared" si="102"/>
        <v>0.45901103636808027</v>
      </c>
      <c r="AL137" s="200">
        <f t="shared" si="102"/>
        <v>0.47097861638142557</v>
      </c>
      <c r="AM137" s="200">
        <f t="shared" si="102"/>
        <v>0.56304550593825387</v>
      </c>
      <c r="AN137" s="200">
        <f t="shared" si="102"/>
        <v>0.65511239549508204</v>
      </c>
      <c r="AO137" s="200">
        <f t="shared" si="102"/>
        <v>0.65511239549508204</v>
      </c>
      <c r="AP137" s="200">
        <f t="shared" si="102"/>
        <v>0.65511239549508204</v>
      </c>
    </row>
    <row r="138" spans="1:78">
      <c r="A138" s="41"/>
      <c r="B138" s="22" t="str">
        <f t="shared" si="92"/>
        <v>COM_PROJ</v>
      </c>
      <c r="C138" s="23" t="str">
        <f t="shared" si="93"/>
        <v>-</v>
      </c>
      <c r="D138" s="61" t="str">
        <f>ITEMS_TRA!C21</f>
        <v>TFHCV6</v>
      </c>
      <c r="E138" s="23" t="str">
        <f t="shared" si="94"/>
        <v>-</v>
      </c>
      <c r="F138" s="23" t="str">
        <f t="shared" si="94"/>
        <v>-</v>
      </c>
      <c r="G138" s="23" t="str">
        <f t="shared" si="94"/>
        <v>-</v>
      </c>
      <c r="H138" s="23" t="str">
        <f t="shared" si="94"/>
        <v>-</v>
      </c>
      <c r="I138" s="135">
        <f t="shared" si="95"/>
        <v>0</v>
      </c>
      <c r="J138" s="200">
        <f t="shared" ref="J138:AP138" si="103">INDEX($K117:$AY117,MATCH(J$127,$K$106:$AY$106,0))</f>
        <v>5.0361375113209643</v>
      </c>
      <c r="K138" s="200">
        <f t="shared" si="103"/>
        <v>5.3607583408806443</v>
      </c>
      <c r="L138" s="200">
        <f t="shared" si="103"/>
        <v>5.6853791704403243</v>
      </c>
      <c r="M138" s="200">
        <f t="shared" si="103"/>
        <v>6.01</v>
      </c>
      <c r="N138" s="200">
        <f t="shared" si="103"/>
        <v>6.3253919226144593</v>
      </c>
      <c r="O138" s="200">
        <f t="shared" si="103"/>
        <v>6.6407838452289196</v>
      </c>
      <c r="P138" s="200">
        <f t="shared" si="103"/>
        <v>6.1283916780391108</v>
      </c>
      <c r="Q138" s="200">
        <f t="shared" si="103"/>
        <v>5.6159995108493019</v>
      </c>
      <c r="R138" s="200">
        <f t="shared" si="103"/>
        <v>5.1036073436594931</v>
      </c>
      <c r="S138" s="200">
        <f t="shared" si="103"/>
        <v>5.2406801135570538</v>
      </c>
      <c r="T138" s="200">
        <f t="shared" si="103"/>
        <v>5.3777528834546144</v>
      </c>
      <c r="U138" s="200">
        <f t="shared" si="103"/>
        <v>5.5148256533521751</v>
      </c>
      <c r="V138" s="200">
        <f t="shared" si="103"/>
        <v>5.6518984232497358</v>
      </c>
      <c r="W138" s="200">
        <f t="shared" si="103"/>
        <v>5.7889711931472965</v>
      </c>
      <c r="X138" s="200">
        <f t="shared" si="103"/>
        <v>5.9260439630448571</v>
      </c>
      <c r="Y138" s="200">
        <f t="shared" si="103"/>
        <v>6.0631167329424178</v>
      </c>
      <c r="Z138" s="200">
        <f t="shared" si="97"/>
        <v>6.2001895028399785</v>
      </c>
      <c r="AA138" s="200">
        <f t="shared" si="103"/>
        <v>6.3372622727375392</v>
      </c>
      <c r="AB138" s="200">
        <f t="shared" si="103"/>
        <v>6.4743350426350972</v>
      </c>
      <c r="AC138" s="200">
        <f t="shared" si="103"/>
        <v>6.6948915513573297</v>
      </c>
      <c r="AD138" s="200">
        <f t="shared" si="103"/>
        <v>6.9154480600795623</v>
      </c>
      <c r="AE138" s="200">
        <f t="shared" si="103"/>
        <v>7.1360045688017948</v>
      </c>
      <c r="AF138" s="200">
        <f t="shared" si="103"/>
        <v>7.3565610775240273</v>
      </c>
      <c r="AG138" s="200">
        <f t="shared" si="103"/>
        <v>7.5771175862462599</v>
      </c>
      <c r="AH138" s="200">
        <f t="shared" si="103"/>
        <v>7.7976740949684924</v>
      </c>
      <c r="AI138" s="200">
        <f t="shared" si="103"/>
        <v>8.0182306036907249</v>
      </c>
      <c r="AJ138" s="200">
        <f t="shared" si="103"/>
        <v>8.2387871124129575</v>
      </c>
      <c r="AK138" s="200">
        <f t="shared" si="103"/>
        <v>8.45934362113519</v>
      </c>
      <c r="AL138" s="200">
        <f t="shared" si="103"/>
        <v>8.6799001298574261</v>
      </c>
      <c r="AM138" s="200">
        <f t="shared" si="103"/>
        <v>10.376646816065152</v>
      </c>
      <c r="AN138" s="200">
        <f t="shared" si="103"/>
        <v>12.073393502272875</v>
      </c>
      <c r="AO138" s="200">
        <f t="shared" si="103"/>
        <v>12.073393502272875</v>
      </c>
      <c r="AP138" s="200">
        <f t="shared" si="103"/>
        <v>12.073393502272875</v>
      </c>
    </row>
    <row r="139" spans="1:78">
      <c r="A139" s="41"/>
      <c r="B139" s="22" t="str">
        <f t="shared" si="92"/>
        <v>COM_PROJ</v>
      </c>
      <c r="C139" s="23" t="str">
        <f t="shared" si="93"/>
        <v>-</v>
      </c>
      <c r="D139" s="61" t="str">
        <f>ITEMS_TRA!C22</f>
        <v>TFHCV7</v>
      </c>
      <c r="E139" s="23" t="str">
        <f t="shared" si="94"/>
        <v>-</v>
      </c>
      <c r="F139" s="23" t="str">
        <f t="shared" si="94"/>
        <v>-</v>
      </c>
      <c r="G139" s="23" t="str">
        <f t="shared" si="94"/>
        <v>-</v>
      </c>
      <c r="H139" s="23" t="str">
        <f t="shared" si="94"/>
        <v>-</v>
      </c>
      <c r="I139" s="135">
        <f t="shared" si="95"/>
        <v>0</v>
      </c>
      <c r="J139" s="200">
        <f t="shared" ref="J139:AP139" si="104">INDEX($K118:$AY118,MATCH(J$127,$K$106:$AY$106,0))</f>
        <v>1.5653068685251963</v>
      </c>
      <c r="K139" s="200">
        <f t="shared" si="104"/>
        <v>1.6102045790167996</v>
      </c>
      <c r="L139" s="200">
        <f t="shared" si="104"/>
        <v>1.6551022895084029</v>
      </c>
      <c r="M139" s="200">
        <f t="shared" si="104"/>
        <v>1.7</v>
      </c>
      <c r="N139" s="200">
        <f t="shared" si="104"/>
        <v>1.74</v>
      </c>
      <c r="O139" s="200">
        <f t="shared" si="104"/>
        <v>1.78</v>
      </c>
      <c r="P139" s="200">
        <f t="shared" si="104"/>
        <v>1.7154258338741823</v>
      </c>
      <c r="Q139" s="200">
        <f t="shared" si="104"/>
        <v>1.6508516677483647</v>
      </c>
      <c r="R139" s="200">
        <f t="shared" si="104"/>
        <v>1.5862775016225472</v>
      </c>
      <c r="S139" s="200">
        <f t="shared" si="104"/>
        <v>1.6288817688265509</v>
      </c>
      <c r="T139" s="200">
        <f t="shared" si="104"/>
        <v>1.6714860360305546</v>
      </c>
      <c r="U139" s="200">
        <f t="shared" si="104"/>
        <v>1.7140903032345582</v>
      </c>
      <c r="V139" s="200">
        <f t="shared" si="104"/>
        <v>1.7566945704385619</v>
      </c>
      <c r="W139" s="200">
        <f t="shared" si="104"/>
        <v>1.7992988376425656</v>
      </c>
      <c r="X139" s="200">
        <f t="shared" si="104"/>
        <v>1.8419031048465693</v>
      </c>
      <c r="Y139" s="200">
        <f t="shared" si="104"/>
        <v>1.8845073720505729</v>
      </c>
      <c r="Z139" s="200">
        <f t="shared" si="97"/>
        <v>1.9271116392545766</v>
      </c>
      <c r="AA139" s="200">
        <f t="shared" si="104"/>
        <v>1.9697159064585803</v>
      </c>
      <c r="AB139" s="200">
        <f t="shared" si="104"/>
        <v>2.0123201736625842</v>
      </c>
      <c r="AC139" s="200">
        <f t="shared" si="104"/>
        <v>2.0808724356341388</v>
      </c>
      <c r="AD139" s="200">
        <f t="shared" si="104"/>
        <v>2.1494246976056934</v>
      </c>
      <c r="AE139" s="200">
        <f t="shared" si="104"/>
        <v>2.2179769595772481</v>
      </c>
      <c r="AF139" s="200">
        <f t="shared" si="104"/>
        <v>2.2865292215488027</v>
      </c>
      <c r="AG139" s="200">
        <f t="shared" si="104"/>
        <v>2.3550814835203573</v>
      </c>
      <c r="AH139" s="200">
        <f t="shared" si="104"/>
        <v>2.4236337454919119</v>
      </c>
      <c r="AI139" s="200">
        <f t="shared" si="104"/>
        <v>2.4921860074634665</v>
      </c>
      <c r="AJ139" s="200">
        <f t="shared" si="104"/>
        <v>2.5607382694350211</v>
      </c>
      <c r="AK139" s="200">
        <f t="shared" si="104"/>
        <v>2.6292905314065758</v>
      </c>
      <c r="AL139" s="200">
        <f t="shared" si="104"/>
        <v>2.697842793378129</v>
      </c>
      <c r="AM139" s="200">
        <f t="shared" si="104"/>
        <v>3.2252170432070759</v>
      </c>
      <c r="AN139" s="200">
        <f t="shared" si="104"/>
        <v>3.7525912930360215</v>
      </c>
      <c r="AO139" s="200">
        <f t="shared" si="104"/>
        <v>3.7525912930360215</v>
      </c>
      <c r="AP139" s="200">
        <f t="shared" si="104"/>
        <v>3.7525912930360215</v>
      </c>
    </row>
    <row r="140" spans="1:78">
      <c r="A140" s="41" t="s">
        <v>125</v>
      </c>
      <c r="B140" s="22" t="str">
        <f t="shared" si="92"/>
        <v>COM_PROJ</v>
      </c>
      <c r="C140" s="23" t="str">
        <f t="shared" si="93"/>
        <v>-</v>
      </c>
      <c r="D140" s="61" t="str">
        <f>ITEMS_TRA!C23</f>
        <v>TFHCV8</v>
      </c>
      <c r="E140" s="23" t="str">
        <f t="shared" si="94"/>
        <v>-</v>
      </c>
      <c r="F140" s="23" t="str">
        <f t="shared" si="94"/>
        <v>-</v>
      </c>
      <c r="G140" s="23" t="str">
        <f t="shared" si="94"/>
        <v>-</v>
      </c>
      <c r="H140" s="23" t="str">
        <f t="shared" si="94"/>
        <v>-</v>
      </c>
      <c r="I140" s="135">
        <f t="shared" si="95"/>
        <v>0</v>
      </c>
      <c r="J140" s="200">
        <f t="shared" ref="J140:AP140" si="105">INDEX($K119:$AY119,MATCH(J$127,$K$106:$AY$106,0))</f>
        <v>5.8486156921973939E-2</v>
      </c>
      <c r="K140" s="200">
        <f t="shared" si="105"/>
        <v>6.5622085483256903E-2</v>
      </c>
      <c r="L140" s="200">
        <f t="shared" si="105"/>
        <v>7.2758014044539868E-2</v>
      </c>
      <c r="M140" s="200">
        <f t="shared" si="105"/>
        <v>7.9893942605822804E-2</v>
      </c>
      <c r="N140" s="200">
        <f t="shared" si="105"/>
        <v>9.0970063028559395E-2</v>
      </c>
      <c r="O140" s="200">
        <f t="shared" si="105"/>
        <v>0.102046183451296</v>
      </c>
      <c r="P140" s="200">
        <f t="shared" si="105"/>
        <v>8.7787356992028123E-2</v>
      </c>
      <c r="Q140" s="200">
        <f t="shared" si="105"/>
        <v>7.3528530532760247E-2</v>
      </c>
      <c r="R140" s="200">
        <f t="shared" si="105"/>
        <v>5.9269704073492357E-2</v>
      </c>
      <c r="S140" s="200">
        <f t="shared" si="105"/>
        <v>6.0861570759407284E-2</v>
      </c>
      <c r="T140" s="200">
        <f t="shared" si="105"/>
        <v>6.245343744532221E-2</v>
      </c>
      <c r="U140" s="200">
        <f t="shared" si="105"/>
        <v>6.404530413123713E-2</v>
      </c>
      <c r="V140" s="200">
        <f t="shared" si="105"/>
        <v>6.5637170817152049E-2</v>
      </c>
      <c r="W140" s="200">
        <f t="shared" si="105"/>
        <v>6.7229037503066968E-2</v>
      </c>
      <c r="X140" s="200">
        <f t="shared" si="105"/>
        <v>6.8820904188981888E-2</v>
      </c>
      <c r="Y140" s="200">
        <f t="shared" si="105"/>
        <v>7.0412770874896807E-2</v>
      </c>
      <c r="Z140" s="200">
        <f t="shared" si="97"/>
        <v>7.2004637560811727E-2</v>
      </c>
      <c r="AA140" s="200">
        <f t="shared" si="105"/>
        <v>7.3596504246726646E-2</v>
      </c>
      <c r="AB140" s="200">
        <f t="shared" si="105"/>
        <v>7.5188370932641607E-2</v>
      </c>
      <c r="AC140" s="200">
        <f t="shared" si="105"/>
        <v>7.7749759010368596E-2</v>
      </c>
      <c r="AD140" s="200">
        <f t="shared" si="105"/>
        <v>8.0311147088095586E-2</v>
      </c>
      <c r="AE140" s="200">
        <f t="shared" si="105"/>
        <v>8.2872535165822575E-2</v>
      </c>
      <c r="AF140" s="200">
        <f t="shared" si="105"/>
        <v>8.5433923243549564E-2</v>
      </c>
      <c r="AG140" s="200">
        <f t="shared" si="105"/>
        <v>8.7995311321276554E-2</v>
      </c>
      <c r="AH140" s="200">
        <f t="shared" si="105"/>
        <v>9.0556699399003543E-2</v>
      </c>
      <c r="AI140" s="200">
        <f t="shared" si="105"/>
        <v>9.3118087476730532E-2</v>
      </c>
      <c r="AJ140" s="200">
        <f t="shared" si="105"/>
        <v>9.5679475554457522E-2</v>
      </c>
      <c r="AK140" s="200">
        <f t="shared" si="105"/>
        <v>9.8240863632184511E-2</v>
      </c>
      <c r="AL140" s="200">
        <f t="shared" si="105"/>
        <v>0.10080225170991157</v>
      </c>
      <c r="AM140" s="200">
        <f t="shared" si="105"/>
        <v>0.1205070736539722</v>
      </c>
      <c r="AN140" s="200">
        <f t="shared" si="105"/>
        <v>0.14021189559803288</v>
      </c>
      <c r="AO140" s="200">
        <f t="shared" si="105"/>
        <v>0.14021189559803288</v>
      </c>
      <c r="AP140" s="200">
        <f t="shared" si="105"/>
        <v>0.14021189559803288</v>
      </c>
    </row>
    <row r="141" spans="1:78">
      <c r="A141" s="41" t="s">
        <v>125</v>
      </c>
      <c r="B141" s="22" t="str">
        <f t="shared" si="92"/>
        <v>COM_PROJ</v>
      </c>
      <c r="C141" s="23" t="str">
        <f t="shared" si="93"/>
        <v>-</v>
      </c>
      <c r="D141" s="61" t="str">
        <f>ITEMS_TRA!C24</f>
        <v>TFHCV9</v>
      </c>
      <c r="E141" s="23" t="str">
        <f t="shared" si="94"/>
        <v>-</v>
      </c>
      <c r="F141" s="23" t="str">
        <f t="shared" si="94"/>
        <v>-</v>
      </c>
      <c r="G141" s="23" t="str">
        <f t="shared" si="94"/>
        <v>-</v>
      </c>
      <c r="H141" s="23" t="str">
        <f t="shared" si="94"/>
        <v>-</v>
      </c>
      <c r="I141" s="135">
        <f t="shared" si="95"/>
        <v>0</v>
      </c>
      <c r="J141" s="200">
        <f t="shared" ref="J141:AP141" si="106">INDEX($K120:$AY120,MATCH(J$127,$K$106:$AY$106,0))</f>
        <v>3.9969372950314989E-2</v>
      </c>
      <c r="K141" s="200">
        <f t="shared" si="106"/>
        <v>3.4102559292729893E-2</v>
      </c>
      <c r="L141" s="200">
        <f t="shared" si="106"/>
        <v>2.8235745635144794E-2</v>
      </c>
      <c r="M141" s="200">
        <f t="shared" si="106"/>
        <v>2.2368931977559604E-2</v>
      </c>
      <c r="N141" s="200">
        <f t="shared" si="106"/>
        <v>2.2519965988779801E-2</v>
      </c>
      <c r="O141" s="200">
        <f t="shared" si="106"/>
        <v>2.2670999999999997E-2</v>
      </c>
      <c r="P141" s="200">
        <f t="shared" si="106"/>
        <v>2.8615616060068419E-2</v>
      </c>
      <c r="Q141" s="200">
        <f t="shared" si="106"/>
        <v>3.4560232120136841E-2</v>
      </c>
      <c r="R141" s="200">
        <f t="shared" si="106"/>
        <v>4.0504848180205263E-2</v>
      </c>
      <c r="S141" s="200">
        <f t="shared" si="106"/>
        <v>4.159272805819756E-2</v>
      </c>
      <c r="T141" s="200">
        <f t="shared" si="106"/>
        <v>4.2680607936189857E-2</v>
      </c>
      <c r="U141" s="200">
        <f t="shared" si="106"/>
        <v>4.3768487814182154E-2</v>
      </c>
      <c r="V141" s="200">
        <f t="shared" si="106"/>
        <v>4.4856367692174451E-2</v>
      </c>
      <c r="W141" s="200">
        <f t="shared" si="106"/>
        <v>4.5944247570166748E-2</v>
      </c>
      <c r="X141" s="200">
        <f t="shared" si="106"/>
        <v>4.7032127448159045E-2</v>
      </c>
      <c r="Y141" s="200">
        <f t="shared" si="106"/>
        <v>4.8120007326151341E-2</v>
      </c>
      <c r="Z141" s="200">
        <f t="shared" si="97"/>
        <v>4.9207887204143638E-2</v>
      </c>
      <c r="AA141" s="200">
        <f t="shared" si="106"/>
        <v>5.0295767082135935E-2</v>
      </c>
      <c r="AB141" s="200">
        <f t="shared" si="106"/>
        <v>5.138364696012826E-2</v>
      </c>
      <c r="AC141" s="200">
        <f t="shared" si="106"/>
        <v>5.3134096651766251E-2</v>
      </c>
      <c r="AD141" s="200">
        <f t="shared" si="106"/>
        <v>5.4884546343404242E-2</v>
      </c>
      <c r="AE141" s="200">
        <f t="shared" si="106"/>
        <v>5.6634996035042233E-2</v>
      </c>
      <c r="AF141" s="200">
        <f t="shared" si="106"/>
        <v>5.8385445726680224E-2</v>
      </c>
      <c r="AG141" s="200">
        <f t="shared" si="106"/>
        <v>6.0135895418318215E-2</v>
      </c>
      <c r="AH141" s="200">
        <f t="shared" si="106"/>
        <v>6.1886345109956206E-2</v>
      </c>
      <c r="AI141" s="200">
        <f t="shared" si="106"/>
        <v>6.3636794801594204E-2</v>
      </c>
      <c r="AJ141" s="200">
        <f t="shared" si="106"/>
        <v>6.5387244493232202E-2</v>
      </c>
      <c r="AK141" s="200">
        <f t="shared" si="106"/>
        <v>6.71376941848702E-2</v>
      </c>
      <c r="AL141" s="200">
        <f t="shared" si="106"/>
        <v>6.8888143876508184E-2</v>
      </c>
      <c r="AM141" s="200">
        <f t="shared" si="106"/>
        <v>8.2354396724210716E-2</v>
      </c>
      <c r="AN141" s="200">
        <f t="shared" si="106"/>
        <v>9.5820649571913288E-2</v>
      </c>
      <c r="AO141" s="200">
        <f t="shared" si="106"/>
        <v>9.5820649571913288E-2</v>
      </c>
      <c r="AP141" s="200">
        <f t="shared" si="106"/>
        <v>9.5820649571913288E-2</v>
      </c>
    </row>
    <row r="142" spans="1:78">
      <c r="A142" s="41" t="s">
        <v>125</v>
      </c>
      <c r="B142" s="22" t="str">
        <f t="shared" si="92"/>
        <v>COM_PROJ</v>
      </c>
      <c r="C142" s="23" t="str">
        <f t="shared" si="93"/>
        <v>-</v>
      </c>
      <c r="D142" s="61" t="str">
        <f>ITEMS_TRA!C25</f>
        <v>TFRCO</v>
      </c>
      <c r="E142" s="23" t="str">
        <f t="shared" si="94"/>
        <v>-</v>
      </c>
      <c r="F142" s="23" t="str">
        <f t="shared" si="94"/>
        <v>-</v>
      </c>
      <c r="G142" s="23" t="str">
        <f t="shared" si="94"/>
        <v>-</v>
      </c>
      <c r="H142" s="23" t="str">
        <f t="shared" si="94"/>
        <v>-</v>
      </c>
      <c r="I142" s="135">
        <f t="shared" si="95"/>
        <v>0</v>
      </c>
      <c r="J142" s="200">
        <f t="shared" ref="J142:AP142" si="107">INDEX($K121:$AY121,MATCH(J$127,$K$106:$AY$106,0))</f>
        <v>22</v>
      </c>
      <c r="K142" s="200">
        <f t="shared" si="107"/>
        <v>22.352445526032646</v>
      </c>
      <c r="L142" s="200">
        <f t="shared" si="107"/>
        <v>22.704891052065292</v>
      </c>
      <c r="M142" s="200">
        <f t="shared" si="107"/>
        <v>23.057336578097942</v>
      </c>
      <c r="N142" s="200">
        <f t="shared" si="107"/>
        <v>23.249070137552067</v>
      </c>
      <c r="O142" s="200">
        <f t="shared" si="107"/>
        <v>23.440803697006192</v>
      </c>
      <c r="P142" s="200">
        <f t="shared" si="107"/>
        <v>23.058781481202871</v>
      </c>
      <c r="Q142" s="200">
        <f t="shared" si="107"/>
        <v>22.67675926539955</v>
      </c>
      <c r="R142" s="200">
        <f t="shared" si="107"/>
        <v>22.294737049596232</v>
      </c>
      <c r="S142" s="200">
        <f t="shared" si="107"/>
        <v>24.827138909995355</v>
      </c>
      <c r="T142" s="200">
        <f t="shared" si="107"/>
        <v>27.359540770394482</v>
      </c>
      <c r="U142" s="200">
        <f t="shared" si="107"/>
        <v>29.891942630793608</v>
      </c>
      <c r="V142" s="200">
        <f t="shared" si="107"/>
        <v>32.424344491192734</v>
      </c>
      <c r="W142" s="200">
        <f t="shared" si="107"/>
        <v>34.95674635159186</v>
      </c>
      <c r="X142" s="200">
        <f t="shared" si="107"/>
        <v>37.489148211990987</v>
      </c>
      <c r="Y142" s="200">
        <f t="shared" si="107"/>
        <v>40.021550072390113</v>
      </c>
      <c r="Z142" s="200">
        <f t="shared" si="97"/>
        <v>42.553951932789239</v>
      </c>
      <c r="AA142" s="200">
        <f t="shared" si="107"/>
        <v>45.086353793188366</v>
      </c>
      <c r="AB142" s="200">
        <f t="shared" si="107"/>
        <v>47.618755653587478</v>
      </c>
      <c r="AC142" s="200">
        <f t="shared" si="107"/>
        <v>51.679958610526427</v>
      </c>
      <c r="AD142" s="200">
        <f t="shared" si="107"/>
        <v>55.741161567465369</v>
      </c>
      <c r="AE142" s="200">
        <f t="shared" si="107"/>
        <v>59.802364524404311</v>
      </c>
      <c r="AF142" s="200">
        <f t="shared" si="107"/>
        <v>63.863567481343253</v>
      </c>
      <c r="AG142" s="200">
        <f t="shared" si="107"/>
        <v>67.924770438282195</v>
      </c>
      <c r="AH142" s="200">
        <f t="shared" si="107"/>
        <v>71.985973395221137</v>
      </c>
      <c r="AI142" s="200">
        <f t="shared" si="107"/>
        <v>76.047176352160079</v>
      </c>
      <c r="AJ142" s="200">
        <f t="shared" si="107"/>
        <v>80.108379309099021</v>
      </c>
      <c r="AK142" s="200">
        <f t="shared" si="107"/>
        <v>84.169582266037963</v>
      </c>
      <c r="AL142" s="200">
        <f t="shared" si="107"/>
        <v>88.230785222976934</v>
      </c>
      <c r="AM142" s="200">
        <f t="shared" si="107"/>
        <v>123.71772856379623</v>
      </c>
      <c r="AN142" s="200">
        <f t="shared" si="107"/>
        <v>159.20467190461548</v>
      </c>
      <c r="AO142" s="200">
        <f t="shared" si="107"/>
        <v>159.20467190461548</v>
      </c>
      <c r="AP142" s="200">
        <f t="shared" si="107"/>
        <v>159.20467190461548</v>
      </c>
    </row>
    <row r="143" spans="1:78">
      <c r="A143" s="41"/>
      <c r="B143" s="22" t="str">
        <f t="shared" si="92"/>
        <v>COM_PROJ</v>
      </c>
      <c r="C143" s="23" t="str">
        <f t="shared" si="93"/>
        <v>-</v>
      </c>
      <c r="D143" s="61" t="str">
        <f>ITEMS_TRA!C26</f>
        <v>TFROT</v>
      </c>
      <c r="E143" s="23" t="str">
        <f t="shared" si="94"/>
        <v>-</v>
      </c>
      <c r="F143" s="23" t="str">
        <f t="shared" si="94"/>
        <v>-</v>
      </c>
      <c r="G143" s="23" t="str">
        <f t="shared" si="94"/>
        <v>-</v>
      </c>
      <c r="H143" s="23" t="str">
        <f t="shared" si="94"/>
        <v>-</v>
      </c>
      <c r="I143" s="135">
        <f t="shared" si="95"/>
        <v>0</v>
      </c>
      <c r="J143" s="200">
        <f t="shared" ref="J143:AP143" si="108">INDEX($K122:$AY122,MATCH(J$127,$K$106:$AY$106,0))</f>
        <v>25.1</v>
      </c>
      <c r="K143" s="200">
        <f t="shared" si="108"/>
        <v>25.502108304700894</v>
      </c>
      <c r="L143" s="200">
        <f t="shared" si="108"/>
        <v>25.904216609401786</v>
      </c>
      <c r="M143" s="200">
        <f t="shared" si="108"/>
        <v>26.306324914102674</v>
      </c>
      <c r="N143" s="200">
        <f t="shared" si="108"/>
        <v>26.655927661818367</v>
      </c>
      <c r="O143" s="200">
        <f t="shared" si="108"/>
        <v>27.00553040953406</v>
      </c>
      <c r="P143" s="200">
        <f t="shared" si="108"/>
        <v>26.565412711380571</v>
      </c>
      <c r="Q143" s="200">
        <f t="shared" si="108"/>
        <v>26.125295013227081</v>
      </c>
      <c r="R143" s="200">
        <f t="shared" si="108"/>
        <v>25.685177315073595</v>
      </c>
      <c r="S143" s="200">
        <f t="shared" si="108"/>
        <v>26.690972582655952</v>
      </c>
      <c r="T143" s="200">
        <f t="shared" si="108"/>
        <v>27.696767850238309</v>
      </c>
      <c r="U143" s="200">
        <f t="shared" si="108"/>
        <v>28.702563117820667</v>
      </c>
      <c r="V143" s="200">
        <f t="shared" si="108"/>
        <v>29.708358385403024</v>
      </c>
      <c r="W143" s="200">
        <f t="shared" si="108"/>
        <v>30.714153652985381</v>
      </c>
      <c r="X143" s="200">
        <f t="shared" si="108"/>
        <v>31.719948920567738</v>
      </c>
      <c r="Y143" s="200">
        <f t="shared" si="108"/>
        <v>32.725744188150095</v>
      </c>
      <c r="Z143" s="200">
        <f t="shared" si="97"/>
        <v>33.731539455732452</v>
      </c>
      <c r="AA143" s="200">
        <f t="shared" si="108"/>
        <v>34.73733472331481</v>
      </c>
      <c r="AB143" s="200">
        <f t="shared" si="108"/>
        <v>35.743129990897167</v>
      </c>
      <c r="AC143" s="200">
        <f t="shared" si="108"/>
        <v>37.366103171087573</v>
      </c>
      <c r="AD143" s="200">
        <f t="shared" si="108"/>
        <v>38.98907635127798</v>
      </c>
      <c r="AE143" s="200">
        <f t="shared" si="108"/>
        <v>40.612049531468386</v>
      </c>
      <c r="AF143" s="200">
        <f t="shared" si="108"/>
        <v>42.235022711658793</v>
      </c>
      <c r="AG143" s="200">
        <f t="shared" si="108"/>
        <v>43.8579958918492</v>
      </c>
      <c r="AH143" s="200">
        <f t="shared" si="108"/>
        <v>45.480969072039606</v>
      </c>
      <c r="AI143" s="200">
        <f t="shared" si="108"/>
        <v>47.103942252230013</v>
      </c>
      <c r="AJ143" s="200">
        <f t="shared" si="108"/>
        <v>48.726915432420419</v>
      </c>
      <c r="AK143" s="200">
        <f t="shared" si="108"/>
        <v>50.349888612610826</v>
      </c>
      <c r="AL143" s="200">
        <f t="shared" si="108"/>
        <v>51.972861792801233</v>
      </c>
      <c r="AM143" s="200">
        <f t="shared" si="108"/>
        <v>65.170422943406763</v>
      </c>
      <c r="AN143" s="200">
        <f t="shared" si="108"/>
        <v>78.367984094012272</v>
      </c>
      <c r="AO143" s="200">
        <f t="shared" si="108"/>
        <v>78.367984094012272</v>
      </c>
      <c r="AP143" s="200">
        <f t="shared" si="108"/>
        <v>78.367984094012272</v>
      </c>
    </row>
    <row r="144" spans="1:78">
      <c r="A144" s="126"/>
      <c r="B144" s="22" t="str">
        <f t="shared" si="92"/>
        <v>COM_PROJ</v>
      </c>
      <c r="C144" s="136" t="str">
        <f t="shared" si="93"/>
        <v>-</v>
      </c>
      <c r="D144" s="61" t="str">
        <f>ITEMS_TRA!C27</f>
        <v>TFREX</v>
      </c>
      <c r="E144" s="136" t="str">
        <f t="shared" si="94"/>
        <v>-</v>
      </c>
      <c r="F144" s="136" t="str">
        <f t="shared" si="94"/>
        <v>-</v>
      </c>
      <c r="G144" s="136" t="str">
        <f t="shared" si="94"/>
        <v>-</v>
      </c>
      <c r="H144" s="136" t="str">
        <f t="shared" si="94"/>
        <v>-</v>
      </c>
      <c r="I144" s="137">
        <f t="shared" si="95"/>
        <v>0</v>
      </c>
      <c r="J144" s="200">
        <f t="shared" ref="J144:AP144" si="109">INDEX($K123:$AY123,MATCH(J$127,$K$106:$AY$106,0))</f>
        <v>82</v>
      </c>
      <c r="K144" s="200">
        <f t="shared" si="109"/>
        <v>82</v>
      </c>
      <c r="L144" s="200">
        <f t="shared" si="109"/>
        <v>82</v>
      </c>
      <c r="M144" s="200">
        <f t="shared" si="109"/>
        <v>82</v>
      </c>
      <c r="N144" s="200">
        <f t="shared" si="109"/>
        <v>82</v>
      </c>
      <c r="O144" s="200">
        <f t="shared" si="109"/>
        <v>82</v>
      </c>
      <c r="P144" s="200">
        <f t="shared" si="109"/>
        <v>79.765410049200213</v>
      </c>
      <c r="Q144" s="200">
        <f t="shared" si="109"/>
        <v>77.530820098400426</v>
      </c>
      <c r="R144" s="200">
        <f t="shared" si="109"/>
        <v>75.296230147600639</v>
      </c>
      <c r="S144" s="200">
        <f t="shared" si="109"/>
        <v>77.385088910650026</v>
      </c>
      <c r="T144" s="200">
        <f t="shared" si="109"/>
        <v>79.473947673699413</v>
      </c>
      <c r="U144" s="200">
        <f t="shared" si="109"/>
        <v>81.562806436748801</v>
      </c>
      <c r="V144" s="200">
        <f t="shared" si="109"/>
        <v>83.651665199798188</v>
      </c>
      <c r="W144" s="200">
        <f t="shared" si="109"/>
        <v>85.740523962847575</v>
      </c>
      <c r="X144" s="200">
        <f t="shared" si="109"/>
        <v>87.829382725896963</v>
      </c>
      <c r="Y144" s="200">
        <f t="shared" si="109"/>
        <v>89.91824148894635</v>
      </c>
      <c r="Z144" s="200">
        <f t="shared" si="97"/>
        <v>92.007100251995737</v>
      </c>
      <c r="AA144" s="200">
        <f t="shared" si="109"/>
        <v>94.095959015045125</v>
      </c>
      <c r="AB144" s="200">
        <f t="shared" si="109"/>
        <v>96.184817778094512</v>
      </c>
      <c r="AC144" s="200">
        <f t="shared" si="109"/>
        <v>99.447523086599105</v>
      </c>
      <c r="AD144" s="200">
        <f t="shared" si="109"/>
        <v>102.7102283951037</v>
      </c>
      <c r="AE144" s="200">
        <f t="shared" si="109"/>
        <v>105.97293370360829</v>
      </c>
      <c r="AF144" s="200">
        <f t="shared" si="109"/>
        <v>109.23563901211288</v>
      </c>
      <c r="AG144" s="200">
        <f t="shared" si="109"/>
        <v>112.49834432061748</v>
      </c>
      <c r="AH144" s="200">
        <f t="shared" si="109"/>
        <v>115.76104962912207</v>
      </c>
      <c r="AI144" s="200">
        <f t="shared" si="109"/>
        <v>119.02375493762666</v>
      </c>
      <c r="AJ144" s="200">
        <f t="shared" si="109"/>
        <v>122.28646024613126</v>
      </c>
      <c r="AK144" s="200">
        <f t="shared" si="109"/>
        <v>125.54916555463585</v>
      </c>
      <c r="AL144" s="200">
        <f t="shared" si="109"/>
        <v>128.81187086314046</v>
      </c>
      <c r="AM144" s="200">
        <f t="shared" si="109"/>
        <v>157.88701031374791</v>
      </c>
      <c r="AN144" s="200">
        <f t="shared" si="109"/>
        <v>186.96214976435544</v>
      </c>
      <c r="AO144" s="200">
        <f t="shared" si="109"/>
        <v>186.96214976435544</v>
      </c>
      <c r="AP144" s="200">
        <f t="shared" si="109"/>
        <v>186.96214976435544</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24" t="s">
        <v>16</v>
      </c>
      <c r="B165" s="128" t="s">
        <v>18</v>
      </c>
      <c r="C165" s="128" t="s">
        <v>19</v>
      </c>
      <c r="D165" s="128" t="s">
        <v>20</v>
      </c>
      <c r="E165" s="128" t="s">
        <v>21</v>
      </c>
      <c r="F165" s="128" t="s">
        <v>22</v>
      </c>
      <c r="G165" s="128" t="s">
        <v>23</v>
      </c>
      <c r="H165" s="128"/>
      <c r="I165" s="128" t="s">
        <v>24</v>
      </c>
      <c r="J165" s="129" t="s">
        <v>25</v>
      </c>
      <c r="K165" s="199">
        <v>2012</v>
      </c>
      <c r="L165" s="199">
        <v>2013</v>
      </c>
      <c r="M165" s="199">
        <v>2014</v>
      </c>
      <c r="N165" s="199">
        <v>2015</v>
      </c>
      <c r="O165" s="199">
        <v>2016</v>
      </c>
      <c r="P165" s="199">
        <v>2017</v>
      </c>
      <c r="Q165" s="199">
        <v>2018</v>
      </c>
      <c r="R165" s="199">
        <v>2019</v>
      </c>
      <c r="S165" s="199">
        <v>2020</v>
      </c>
      <c r="T165" s="199">
        <v>2021</v>
      </c>
      <c r="U165" s="199">
        <v>2022</v>
      </c>
      <c r="V165" s="199">
        <v>2023</v>
      </c>
      <c r="W165" s="199">
        <v>2024</v>
      </c>
      <c r="X165" s="199">
        <v>2025</v>
      </c>
      <c r="Y165" s="199">
        <v>2026</v>
      </c>
      <c r="Z165" s="199">
        <v>2027</v>
      </c>
      <c r="AA165" s="199">
        <v>2028</v>
      </c>
      <c r="AB165" s="199">
        <v>2029</v>
      </c>
      <c r="AC165" s="199">
        <v>2030</v>
      </c>
      <c r="AD165" s="199">
        <v>2031</v>
      </c>
      <c r="AE165" s="199">
        <v>2032</v>
      </c>
      <c r="AF165" s="199">
        <v>2033</v>
      </c>
      <c r="AG165" s="199">
        <v>2034</v>
      </c>
      <c r="AH165" s="199">
        <v>2035</v>
      </c>
      <c r="AI165" s="199">
        <v>2036</v>
      </c>
      <c r="AJ165" s="199">
        <v>2037</v>
      </c>
      <c r="AK165" s="199">
        <v>2038</v>
      </c>
      <c r="AL165" s="199">
        <v>2039</v>
      </c>
      <c r="AM165" s="199">
        <v>2040</v>
      </c>
      <c r="AN165" s="199">
        <v>2041</v>
      </c>
      <c r="AO165" s="199">
        <v>2042</v>
      </c>
      <c r="AP165" s="199">
        <v>2043</v>
      </c>
      <c r="AQ165" s="199">
        <v>2044</v>
      </c>
    </row>
    <row r="166" spans="1:78" s="205" customFormat="1">
      <c r="A166" s="124" t="s">
        <v>16</v>
      </c>
      <c r="B166" s="205" t="s">
        <v>392</v>
      </c>
      <c r="C166" s="205">
        <v>1</v>
      </c>
      <c r="D166" s="205">
        <v>2006</v>
      </c>
      <c r="E166" s="205">
        <v>2010</v>
      </c>
      <c r="F166" s="205">
        <v>2020</v>
      </c>
      <c r="G166" s="205">
        <v>2030</v>
      </c>
      <c r="I166" s="205">
        <v>2040</v>
      </c>
      <c r="J166" s="254">
        <v>2050</v>
      </c>
      <c r="K166" s="205">
        <f t="shared" ref="K166:AQ166" si="110">MATCH(J$127,$C$128:$I$128,$C166)</f>
        <v>1</v>
      </c>
      <c r="L166" s="205">
        <f t="shared" si="110"/>
        <v>1</v>
      </c>
      <c r="M166" s="205">
        <f t="shared" si="110"/>
        <v>1</v>
      </c>
      <c r="N166" s="205">
        <f t="shared" si="110"/>
        <v>2</v>
      </c>
      <c r="O166" s="205">
        <f t="shared" si="110"/>
        <v>2</v>
      </c>
      <c r="P166" s="205">
        <f t="shared" si="110"/>
        <v>3</v>
      </c>
      <c r="Q166" s="205">
        <f t="shared" si="110"/>
        <v>3</v>
      </c>
      <c r="R166" s="205">
        <f t="shared" si="110"/>
        <v>3</v>
      </c>
      <c r="S166" s="205">
        <f t="shared" si="110"/>
        <v>4</v>
      </c>
      <c r="T166" s="205">
        <f t="shared" si="110"/>
        <v>4</v>
      </c>
      <c r="U166" s="205">
        <f t="shared" si="110"/>
        <v>4</v>
      </c>
      <c r="V166" s="205">
        <f t="shared" si="110"/>
        <v>4</v>
      </c>
      <c r="W166" s="205">
        <f t="shared" si="110"/>
        <v>4</v>
      </c>
      <c r="X166" s="205">
        <f t="shared" si="110"/>
        <v>4</v>
      </c>
      <c r="Y166" s="205">
        <f t="shared" si="110"/>
        <v>4</v>
      </c>
      <c r="Z166" s="205">
        <f>MATCH(Y$127,$C$128:$I$128,$C166)</f>
        <v>4</v>
      </c>
      <c r="AA166" s="205">
        <f>MATCH(Z$127,$C$128:$I$128,$C166)</f>
        <v>4</v>
      </c>
      <c r="AB166" s="205">
        <f t="shared" si="110"/>
        <v>4</v>
      </c>
      <c r="AC166" s="205">
        <f t="shared" si="110"/>
        <v>5</v>
      </c>
      <c r="AD166" s="205">
        <f t="shared" si="110"/>
        <v>5</v>
      </c>
      <c r="AE166" s="205">
        <f t="shared" si="110"/>
        <v>5</v>
      </c>
      <c r="AF166" s="205">
        <f t="shared" si="110"/>
        <v>5</v>
      </c>
      <c r="AG166" s="205">
        <f t="shared" si="110"/>
        <v>5</v>
      </c>
      <c r="AH166" s="205">
        <f t="shared" si="110"/>
        <v>5</v>
      </c>
      <c r="AI166" s="205">
        <f t="shared" si="110"/>
        <v>5</v>
      </c>
      <c r="AJ166" s="205">
        <f t="shared" si="110"/>
        <v>5</v>
      </c>
      <c r="AK166" s="205">
        <f t="shared" si="110"/>
        <v>5</v>
      </c>
      <c r="AL166" s="205">
        <f t="shared" si="110"/>
        <v>5</v>
      </c>
      <c r="AM166" s="205">
        <f t="shared" si="110"/>
        <v>6</v>
      </c>
      <c r="AN166" s="205">
        <f t="shared" si="110"/>
        <v>6</v>
      </c>
      <c r="AO166" s="205">
        <f t="shared" si="110"/>
        <v>7</v>
      </c>
      <c r="AP166" s="205">
        <f t="shared" si="110"/>
        <v>7</v>
      </c>
      <c r="AQ166" s="205">
        <f t="shared" si="110"/>
        <v>7</v>
      </c>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N166" s="199"/>
      <c r="BO166" s="199"/>
      <c r="BP166" s="199"/>
      <c r="BQ166" s="199"/>
      <c r="BR166" s="199"/>
      <c r="BS166" s="199"/>
      <c r="BT166" s="199"/>
      <c r="BU166" s="199"/>
      <c r="BV166" s="199"/>
      <c r="BW166" s="199"/>
      <c r="BX166" s="199"/>
      <c r="BY166" s="199"/>
      <c r="BZ166" s="199"/>
    </row>
    <row r="167" spans="1:78">
      <c r="A167" s="41" t="s">
        <v>16</v>
      </c>
      <c r="B167" s="199" t="s">
        <v>393</v>
      </c>
      <c r="C167" s="199">
        <v>0</v>
      </c>
      <c r="D167" s="199">
        <f>INDEX($D166:$J166,0,COUNT($D166:$J166)-D168)</f>
        <v>2040</v>
      </c>
      <c r="E167" s="199">
        <f>INDEX($D166:$J166,0,COUNT($D166:$J166)-E168)</f>
        <v>0</v>
      </c>
      <c r="F167" s="199">
        <f>INDEX($D166:$J166,0,COUNT($D166:$J166)-F168)</f>
        <v>2030</v>
      </c>
      <c r="G167" s="199">
        <f>INDEX($D166:$J166,0,COUNT($D166:$J166)-G168)</f>
        <v>2020</v>
      </c>
      <c r="I167" s="199">
        <f>INDEX($D166:$J166,0,COUNT($D166:$J166)-I168)</f>
        <v>2010</v>
      </c>
      <c r="J167" s="131">
        <f>INDEX($D166:$J166,0,COUNT($D166:$J166)-J168)</f>
        <v>2006</v>
      </c>
      <c r="K167" s="41">
        <f t="shared" ref="K167:AQ167" si="111">MATCH(J$127,$C$128:$I$128,$C167)</f>
        <v>1</v>
      </c>
      <c r="L167" s="199" t="e">
        <f t="shared" si="111"/>
        <v>#N/A</v>
      </c>
      <c r="M167" s="199" t="e">
        <f t="shared" si="111"/>
        <v>#N/A</v>
      </c>
      <c r="N167" s="199">
        <f t="shared" si="111"/>
        <v>2</v>
      </c>
      <c r="O167" s="199" t="e">
        <f t="shared" si="111"/>
        <v>#N/A</v>
      </c>
      <c r="P167" s="199">
        <f t="shared" si="111"/>
        <v>3</v>
      </c>
      <c r="Q167" s="199" t="e">
        <f t="shared" si="111"/>
        <v>#N/A</v>
      </c>
      <c r="R167" s="199" t="e">
        <f t="shared" si="111"/>
        <v>#N/A</v>
      </c>
      <c r="S167" s="199">
        <f t="shared" si="111"/>
        <v>4</v>
      </c>
      <c r="T167" s="199" t="e">
        <f t="shared" si="111"/>
        <v>#N/A</v>
      </c>
      <c r="U167" s="199" t="e">
        <f t="shared" si="111"/>
        <v>#N/A</v>
      </c>
      <c r="V167" s="199" t="e">
        <f t="shared" si="111"/>
        <v>#N/A</v>
      </c>
      <c r="W167" s="199" t="e">
        <f t="shared" si="111"/>
        <v>#N/A</v>
      </c>
      <c r="X167" s="199" t="e">
        <f t="shared" si="111"/>
        <v>#N/A</v>
      </c>
      <c r="Y167" s="199" t="e">
        <f t="shared" si="111"/>
        <v>#N/A</v>
      </c>
      <c r="Z167" s="199" t="e">
        <f>MATCH(Y$127,$C$128:$I$128,$C167)</f>
        <v>#N/A</v>
      </c>
      <c r="AA167" s="199" t="e">
        <f>MATCH(Z$127,$C$128:$I$128,$C167)</f>
        <v>#N/A</v>
      </c>
      <c r="AB167" s="199" t="e">
        <f t="shared" si="111"/>
        <v>#N/A</v>
      </c>
      <c r="AC167" s="199">
        <f t="shared" si="111"/>
        <v>5</v>
      </c>
      <c r="AD167" s="199" t="e">
        <f t="shared" si="111"/>
        <v>#N/A</v>
      </c>
      <c r="AE167" s="199" t="e">
        <f t="shared" si="111"/>
        <v>#N/A</v>
      </c>
      <c r="AF167" s="199" t="e">
        <f t="shared" si="111"/>
        <v>#N/A</v>
      </c>
      <c r="AG167" s="199" t="e">
        <f t="shared" si="111"/>
        <v>#N/A</v>
      </c>
      <c r="AH167" s="199" t="e">
        <f t="shared" si="111"/>
        <v>#N/A</v>
      </c>
      <c r="AI167" s="199" t="e">
        <f t="shared" si="111"/>
        <v>#N/A</v>
      </c>
      <c r="AJ167" s="199" t="e">
        <f t="shared" si="111"/>
        <v>#N/A</v>
      </c>
      <c r="AK167" s="199" t="e">
        <f t="shared" si="111"/>
        <v>#N/A</v>
      </c>
      <c r="AL167" s="199" t="e">
        <f t="shared" si="111"/>
        <v>#N/A</v>
      </c>
      <c r="AM167" s="199">
        <f t="shared" si="111"/>
        <v>6</v>
      </c>
      <c r="AN167" s="199" t="e">
        <f t="shared" si="111"/>
        <v>#N/A</v>
      </c>
      <c r="AO167" s="199">
        <f t="shared" si="111"/>
        <v>7</v>
      </c>
      <c r="AP167" s="199" t="e">
        <f t="shared" si="111"/>
        <v>#N/A</v>
      </c>
      <c r="AQ167" s="199" t="e">
        <f t="shared" si="111"/>
        <v>#N/A</v>
      </c>
    </row>
    <row r="168" spans="1:78">
      <c r="A168" s="41" t="s">
        <v>16</v>
      </c>
      <c r="B168" s="199" t="s">
        <v>391</v>
      </c>
      <c r="C168" s="199">
        <v>-1</v>
      </c>
      <c r="D168" s="199">
        <v>0</v>
      </c>
      <c r="E168" s="199">
        <v>1</v>
      </c>
      <c r="F168" s="199">
        <v>2</v>
      </c>
      <c r="G168" s="199">
        <v>3</v>
      </c>
      <c r="I168" s="199">
        <v>4</v>
      </c>
      <c r="J168" s="199">
        <v>5</v>
      </c>
      <c r="K168" s="41">
        <f t="shared" ref="K168:AQ168" si="112">MATCH(J$127,$C$129:$I$129,$C168)</f>
        <v>7</v>
      </c>
      <c r="L168" s="199">
        <f t="shared" si="112"/>
        <v>6</v>
      </c>
      <c r="M168" s="199">
        <f t="shared" si="112"/>
        <v>6</v>
      </c>
      <c r="N168" s="199">
        <f t="shared" si="112"/>
        <v>6</v>
      </c>
      <c r="O168" s="199">
        <f t="shared" si="112"/>
        <v>5</v>
      </c>
      <c r="P168" s="199">
        <f t="shared" si="112"/>
        <v>5</v>
      </c>
      <c r="Q168" s="199">
        <f t="shared" si="112"/>
        <v>4</v>
      </c>
      <c r="R168" s="199">
        <f t="shared" si="112"/>
        <v>4</v>
      </c>
      <c r="S168" s="199">
        <f t="shared" si="112"/>
        <v>4</v>
      </c>
      <c r="T168" s="199">
        <f t="shared" si="112"/>
        <v>3</v>
      </c>
      <c r="U168" s="199">
        <f t="shared" si="112"/>
        <v>3</v>
      </c>
      <c r="V168" s="199">
        <f t="shared" si="112"/>
        <v>3</v>
      </c>
      <c r="W168" s="199">
        <f t="shared" si="112"/>
        <v>3</v>
      </c>
      <c r="X168" s="199">
        <f t="shared" si="112"/>
        <v>3</v>
      </c>
      <c r="Y168" s="199">
        <f t="shared" si="112"/>
        <v>3</v>
      </c>
      <c r="Z168" s="199">
        <f>MATCH(Y$127,$C$129:$I$129,$C168)</f>
        <v>3</v>
      </c>
      <c r="AA168" s="199">
        <f>MATCH(Z$127,$C$129:$I$129,$C168)</f>
        <v>3</v>
      </c>
      <c r="AB168" s="199">
        <f t="shared" si="112"/>
        <v>3</v>
      </c>
      <c r="AC168" s="199">
        <f t="shared" si="112"/>
        <v>3</v>
      </c>
      <c r="AD168" s="199">
        <f t="shared" si="112"/>
        <v>2</v>
      </c>
      <c r="AE168" s="199">
        <f t="shared" si="112"/>
        <v>2</v>
      </c>
      <c r="AF168" s="199">
        <f t="shared" si="112"/>
        <v>2</v>
      </c>
      <c r="AG168" s="199">
        <f t="shared" si="112"/>
        <v>2</v>
      </c>
      <c r="AH168" s="199">
        <f t="shared" si="112"/>
        <v>2</v>
      </c>
      <c r="AI168" s="199">
        <f t="shared" si="112"/>
        <v>2</v>
      </c>
      <c r="AJ168" s="199">
        <f t="shared" si="112"/>
        <v>2</v>
      </c>
      <c r="AK168" s="199">
        <f t="shared" si="112"/>
        <v>2</v>
      </c>
      <c r="AL168" s="199">
        <f t="shared" si="112"/>
        <v>2</v>
      </c>
      <c r="AM168" s="199">
        <f t="shared" si="112"/>
        <v>2</v>
      </c>
      <c r="AN168" s="199">
        <f t="shared" si="112"/>
        <v>1</v>
      </c>
      <c r="AO168" s="199">
        <f t="shared" si="112"/>
        <v>1</v>
      </c>
      <c r="AP168" s="199" t="e">
        <f t="shared" si="112"/>
        <v>#N/A</v>
      </c>
      <c r="AQ168" s="199" t="e">
        <f t="shared" si="112"/>
        <v>#N/A</v>
      </c>
    </row>
    <row r="169" spans="1:78" s="127" customFormat="1">
      <c r="A169" s="41" t="s">
        <v>16</v>
      </c>
      <c r="B169" s="199" t="s">
        <v>394</v>
      </c>
      <c r="C169" s="199"/>
      <c r="D169" s="199"/>
      <c r="E169" s="199"/>
      <c r="F169" s="199"/>
      <c r="G169" s="199"/>
      <c r="H169" s="199"/>
      <c r="I169" s="199"/>
      <c r="J169" s="132"/>
      <c r="K169" s="203">
        <f>IF(ISNA(K166),-1,IF(ISNA(K168),99,IF(ISNA(K167),K166,0)))</f>
        <v>0</v>
      </c>
      <c r="L169" s="203">
        <f t="shared" ref="L169:AQ169" si="113">IF(ISNA(L166),-1,IF(ISNA(L168),99,IF(ISNA(L167),L166,0)))</f>
        <v>1</v>
      </c>
      <c r="M169" s="203">
        <f t="shared" si="113"/>
        <v>1</v>
      </c>
      <c r="N169" s="203">
        <f t="shared" si="113"/>
        <v>0</v>
      </c>
      <c r="O169" s="203">
        <f t="shared" si="113"/>
        <v>2</v>
      </c>
      <c r="P169" s="203">
        <f t="shared" si="113"/>
        <v>0</v>
      </c>
      <c r="Q169" s="203">
        <f t="shared" si="113"/>
        <v>3</v>
      </c>
      <c r="R169" s="203">
        <f t="shared" si="113"/>
        <v>3</v>
      </c>
      <c r="S169" s="203">
        <f t="shared" si="113"/>
        <v>0</v>
      </c>
      <c r="T169" s="203">
        <f t="shared" si="113"/>
        <v>4</v>
      </c>
      <c r="U169" s="203">
        <f t="shared" si="113"/>
        <v>4</v>
      </c>
      <c r="V169" s="203">
        <f t="shared" si="113"/>
        <v>4</v>
      </c>
      <c r="W169" s="203">
        <f t="shared" si="113"/>
        <v>4</v>
      </c>
      <c r="X169" s="203">
        <f t="shared" si="113"/>
        <v>4</v>
      </c>
      <c r="Y169" s="203">
        <f t="shared" si="113"/>
        <v>4</v>
      </c>
      <c r="Z169" s="203">
        <f t="shared" si="113"/>
        <v>4</v>
      </c>
      <c r="AA169" s="203">
        <f t="shared" si="113"/>
        <v>4</v>
      </c>
      <c r="AB169" s="203">
        <f t="shared" si="113"/>
        <v>4</v>
      </c>
      <c r="AC169" s="203">
        <f t="shared" si="113"/>
        <v>0</v>
      </c>
      <c r="AD169" s="203">
        <f t="shared" si="113"/>
        <v>5</v>
      </c>
      <c r="AE169" s="203">
        <f t="shared" si="113"/>
        <v>5</v>
      </c>
      <c r="AF169" s="203">
        <f t="shared" si="113"/>
        <v>5</v>
      </c>
      <c r="AG169" s="203">
        <f t="shared" si="113"/>
        <v>5</v>
      </c>
      <c r="AH169" s="203">
        <f t="shared" si="113"/>
        <v>5</v>
      </c>
      <c r="AI169" s="203">
        <f t="shared" si="113"/>
        <v>5</v>
      </c>
      <c r="AJ169" s="203">
        <f t="shared" si="113"/>
        <v>5</v>
      </c>
      <c r="AK169" s="203">
        <f t="shared" si="113"/>
        <v>5</v>
      </c>
      <c r="AL169" s="203">
        <f t="shared" si="113"/>
        <v>5</v>
      </c>
      <c r="AM169" s="203">
        <f t="shared" si="113"/>
        <v>0</v>
      </c>
      <c r="AN169" s="203">
        <f t="shared" si="113"/>
        <v>6</v>
      </c>
      <c r="AO169" s="203">
        <f t="shared" si="113"/>
        <v>0</v>
      </c>
      <c r="AP169" s="203">
        <f t="shared" si="113"/>
        <v>99</v>
      </c>
      <c r="AQ169" s="203">
        <f t="shared" si="113"/>
        <v>99</v>
      </c>
      <c r="AR169" s="199"/>
      <c r="AS169" s="199"/>
      <c r="AT169" s="199"/>
      <c r="AU169" s="199"/>
      <c r="AV169" s="199"/>
      <c r="AW169" s="199"/>
      <c r="AX169" s="199"/>
      <c r="AY169" s="199"/>
      <c r="AZ169" s="199"/>
      <c r="BA169" s="199"/>
      <c r="BB169" s="199"/>
      <c r="BC169" s="199"/>
      <c r="BD169" s="199"/>
      <c r="BE169" s="199"/>
      <c r="BF169" s="199"/>
      <c r="BG169" s="199"/>
      <c r="BH169" s="199"/>
      <c r="BI169" s="199"/>
      <c r="BJ169" s="199"/>
      <c r="BK169" s="199"/>
      <c r="BL169" s="199"/>
      <c r="BM169" s="199"/>
      <c r="BN169" s="199"/>
      <c r="BO169" s="199"/>
      <c r="BP169" s="199"/>
      <c r="BQ169" s="199"/>
      <c r="BR169" s="199"/>
      <c r="BS169" s="199"/>
      <c r="BT169" s="199"/>
      <c r="BU169" s="199"/>
      <c r="BV169" s="199"/>
      <c r="BW169" s="199"/>
      <c r="BX169" s="199"/>
      <c r="BY169" s="199"/>
      <c r="BZ169" s="199"/>
    </row>
    <row r="170" spans="1:78">
      <c r="A170" s="199" t="s">
        <v>16</v>
      </c>
      <c r="B170" s="22" t="str">
        <f t="shared" ref="B170:B179" si="114">IF(A170="*","","COM_PROJ")</f>
        <v/>
      </c>
      <c r="C170" s="23" t="str">
        <f t="shared" ref="C170:C179" si="115">IF($A170="*","","-")</f>
        <v/>
      </c>
      <c r="D170" s="61"/>
      <c r="E170" s="23" t="str">
        <f t="shared" ref="E170:I179" si="116">IF($A170="*","","-")</f>
        <v/>
      </c>
      <c r="F170" s="23" t="str">
        <f t="shared" si="116"/>
        <v/>
      </c>
      <c r="G170" s="23" t="str">
        <f t="shared" si="116"/>
        <v/>
      </c>
      <c r="H170" s="23"/>
      <c r="I170" s="23" t="str">
        <f t="shared" si="116"/>
        <v/>
      </c>
      <c r="K170" s="23">
        <f>K165</f>
        <v>2012</v>
      </c>
      <c r="L170" s="23">
        <f t="shared" ref="L170:AQ170" si="117">L165</f>
        <v>2013</v>
      </c>
      <c r="M170" s="23">
        <f t="shared" si="117"/>
        <v>2014</v>
      </c>
      <c r="N170" s="23">
        <f t="shared" si="117"/>
        <v>2015</v>
      </c>
      <c r="O170" s="23">
        <f t="shared" si="117"/>
        <v>2016</v>
      </c>
      <c r="P170" s="23">
        <f t="shared" si="117"/>
        <v>2017</v>
      </c>
      <c r="Q170" s="23">
        <f t="shared" si="117"/>
        <v>2018</v>
      </c>
      <c r="R170" s="23">
        <f t="shared" si="117"/>
        <v>2019</v>
      </c>
      <c r="S170" s="23">
        <f t="shared" si="117"/>
        <v>2020</v>
      </c>
      <c r="T170" s="23">
        <f t="shared" si="117"/>
        <v>2021</v>
      </c>
      <c r="U170" s="23">
        <f t="shared" si="117"/>
        <v>2022</v>
      </c>
      <c r="V170" s="23">
        <f t="shared" si="117"/>
        <v>2023</v>
      </c>
      <c r="W170" s="23">
        <f t="shared" si="117"/>
        <v>2024</v>
      </c>
      <c r="X170" s="23">
        <f t="shared" si="117"/>
        <v>2025</v>
      </c>
      <c r="Y170" s="23">
        <f t="shared" si="117"/>
        <v>2026</v>
      </c>
      <c r="Z170" s="23">
        <f t="shared" si="117"/>
        <v>2027</v>
      </c>
      <c r="AA170" s="23">
        <f t="shared" si="117"/>
        <v>2028</v>
      </c>
      <c r="AB170" s="23">
        <f t="shared" si="117"/>
        <v>2029</v>
      </c>
      <c r="AC170" s="23">
        <f t="shared" si="117"/>
        <v>2030</v>
      </c>
      <c r="AD170" s="23">
        <f t="shared" si="117"/>
        <v>2031</v>
      </c>
      <c r="AE170" s="23">
        <f t="shared" si="117"/>
        <v>2032</v>
      </c>
      <c r="AF170" s="23">
        <f t="shared" si="117"/>
        <v>2033</v>
      </c>
      <c r="AG170" s="23">
        <f t="shared" si="117"/>
        <v>2034</v>
      </c>
      <c r="AH170" s="23">
        <f t="shared" si="117"/>
        <v>2035</v>
      </c>
      <c r="AI170" s="23">
        <f t="shared" si="117"/>
        <v>2036</v>
      </c>
      <c r="AJ170" s="23">
        <f t="shared" si="117"/>
        <v>2037</v>
      </c>
      <c r="AK170" s="23">
        <f t="shared" si="117"/>
        <v>2038</v>
      </c>
      <c r="AL170" s="23">
        <f t="shared" si="117"/>
        <v>2039</v>
      </c>
      <c r="AM170" s="23">
        <f t="shared" si="117"/>
        <v>2040</v>
      </c>
      <c r="AN170" s="23">
        <f t="shared" si="117"/>
        <v>2041</v>
      </c>
      <c r="AO170" s="23">
        <f t="shared" si="117"/>
        <v>2042</v>
      </c>
      <c r="AP170" s="23">
        <f t="shared" si="117"/>
        <v>2043</v>
      </c>
      <c r="AQ170" s="23">
        <f t="shared" si="117"/>
        <v>2044</v>
      </c>
    </row>
    <row r="171" spans="1:78">
      <c r="A171" s="199" t="s">
        <v>16</v>
      </c>
      <c r="B171" s="22" t="str">
        <f t="shared" si="114"/>
        <v/>
      </c>
      <c r="C171" s="23" t="str">
        <f t="shared" si="115"/>
        <v/>
      </c>
      <c r="D171" s="61"/>
      <c r="E171" s="23" t="str">
        <f t="shared" si="116"/>
        <v/>
      </c>
      <c r="F171" s="23" t="str">
        <f t="shared" si="116"/>
        <v/>
      </c>
      <c r="G171" s="23" t="str">
        <f t="shared" si="116"/>
        <v/>
      </c>
      <c r="H171" s="23"/>
      <c r="I171" s="23" t="str">
        <f t="shared" si="116"/>
        <v/>
      </c>
      <c r="J171" s="145" t="str">
        <f t="shared" ref="J171:J183" si="118">B76</f>
        <v>TFLCV</v>
      </c>
      <c r="K171" s="200">
        <f>F43</f>
        <v>17.151878492126293</v>
      </c>
      <c r="L171" s="200">
        <f t="shared" ref="L171:AQ171" si="119">IF(L$169=-1,M171,IF(L$169=99,K171,IF(L$169=0,INDEX($F43:$L43,0,L$167),(INDEX($F43:$L43,0,L$169+1)-INDEX($F43:$L43,0,L$169))/(INDEX($F$4:$L$4,0,L$169+1)-INDEX($F$4:$L$4,0,L$169))+K171)))</f>
        <v>17.42665589383564</v>
      </c>
      <c r="M171" s="200">
        <f t="shared" si="119"/>
        <v>17.701433295544987</v>
      </c>
      <c r="N171" s="200">
        <f t="shared" si="119"/>
        <v>17.976210697254331</v>
      </c>
      <c r="O171" s="200">
        <f t="shared" si="119"/>
        <v>18.125692093373424</v>
      </c>
      <c r="P171" s="200">
        <f t="shared" si="119"/>
        <v>18.275173489492516</v>
      </c>
      <c r="Q171" s="200">
        <f t="shared" si="119"/>
        <v>17.977337188276543</v>
      </c>
      <c r="R171" s="200">
        <f t="shared" si="119"/>
        <v>17.67950088706057</v>
      </c>
      <c r="S171" s="200">
        <f t="shared" si="119"/>
        <v>17.381664585844597</v>
      </c>
      <c r="T171" s="200">
        <f t="shared" si="119"/>
        <v>18.040241052959534</v>
      </c>
      <c r="U171" s="200">
        <f t="shared" si="119"/>
        <v>18.698817520074471</v>
      </c>
      <c r="V171" s="200">
        <f t="shared" si="119"/>
        <v>19.357393987189408</v>
      </c>
      <c r="W171" s="200">
        <f t="shared" si="119"/>
        <v>20.015970454304345</v>
      </c>
      <c r="X171" s="200">
        <f t="shared" si="119"/>
        <v>20.674546921419282</v>
      </c>
      <c r="Y171" s="200">
        <f>IF(Y$169=-1,Z171,IF(Y$169=99,X171,IF(Y$169=0,INDEX($F43:$L43,0,Y$167),(INDEX($F43:$L43,0,Y$169+1)-INDEX($F43:$L43,0,Y$169))/(INDEX($F$4:$L$4,0,Y$169+1)-INDEX($F$4:$L$4,0,Y$169))+X171)))</f>
        <v>21.333123388534219</v>
      </c>
      <c r="Z171" s="200">
        <f>IF(Z$169=-1,AA171,IF(Z$169=99,Y171,IF(Z$169=0,INDEX($F43:$L43,0,Z$167),(INDEX($F43:$L43,0,Z$169+1)-INDEX($F43:$L43,0,Z$169))/(INDEX($F$4:$L$4,0,Z$169+1)-INDEX($F$4:$L$4,0,Z$169))+Y171)))</f>
        <v>21.991699855649156</v>
      </c>
      <c r="AA171" s="200">
        <f>IF(AA$169=-1,AB171,IF(AA$169=99,Z171,IF(AA$169=0,INDEX($F43:$L43,0,AA$167),(INDEX($F43:$L43,0,AA$169+1)-INDEX($F43:$L43,0,AA$169))/(INDEX($F$4:$L$4,0,AA$169+1)-INDEX($F$4:$L$4,0,AA$169))+Z171)))</f>
        <v>22.650276322764093</v>
      </c>
      <c r="AB171" s="200">
        <f t="shared" si="119"/>
        <v>23.30885278987903</v>
      </c>
      <c r="AC171" s="200">
        <f t="shared" si="119"/>
        <v>23.967429256993974</v>
      </c>
      <c r="AD171" s="200">
        <f t="shared" si="119"/>
        <v>25.025765982397189</v>
      </c>
      <c r="AE171" s="200">
        <f t="shared" si="119"/>
        <v>26.084102707800405</v>
      </c>
      <c r="AF171" s="200">
        <f t="shared" si="119"/>
        <v>27.14243943320362</v>
      </c>
      <c r="AG171" s="200">
        <f t="shared" si="119"/>
        <v>28.200776158606836</v>
      </c>
      <c r="AH171" s="200">
        <f t="shared" si="119"/>
        <v>29.259112884010051</v>
      </c>
      <c r="AI171" s="200">
        <f t="shared" si="119"/>
        <v>30.317449609413266</v>
      </c>
      <c r="AJ171" s="200">
        <f t="shared" si="119"/>
        <v>31.375786334816482</v>
      </c>
      <c r="AK171" s="200">
        <f t="shared" si="119"/>
        <v>32.434123060219697</v>
      </c>
      <c r="AL171" s="200">
        <f t="shared" si="119"/>
        <v>33.492459785622913</v>
      </c>
      <c r="AM171" s="200">
        <f t="shared" si="119"/>
        <v>34.550796511026142</v>
      </c>
      <c r="AN171" s="200">
        <f t="shared" si="119"/>
        <v>36.263327009708298</v>
      </c>
      <c r="AO171" s="200">
        <f t="shared" si="119"/>
        <v>51.676101497847725</v>
      </c>
      <c r="AP171" s="200">
        <f t="shared" si="119"/>
        <v>51.676101497847725</v>
      </c>
      <c r="AQ171" s="200">
        <f t="shared" si="119"/>
        <v>51.676101497847725</v>
      </c>
    </row>
    <row r="172" spans="1:78">
      <c r="A172" s="199" t="s">
        <v>16</v>
      </c>
      <c r="B172" s="22" t="str">
        <f t="shared" si="114"/>
        <v/>
      </c>
      <c r="C172" s="23" t="str">
        <f t="shared" si="115"/>
        <v/>
      </c>
      <c r="D172" s="61"/>
      <c r="E172" s="23" t="str">
        <f t="shared" si="116"/>
        <v/>
      </c>
      <c r="F172" s="23" t="str">
        <f t="shared" si="116"/>
        <v/>
      </c>
      <c r="G172" s="23" t="str">
        <f t="shared" si="116"/>
        <v/>
      </c>
      <c r="H172" s="23"/>
      <c r="I172" s="23" t="str">
        <f t="shared" si="116"/>
        <v/>
      </c>
      <c r="J172" s="145" t="str">
        <f t="shared" si="118"/>
        <v>TFHCV1</v>
      </c>
      <c r="K172" s="200">
        <f>F46</f>
        <v>4.9123710000000003</v>
      </c>
      <c r="L172" s="200">
        <f t="shared" ref="L172:AQ172" si="120">IF(L$169=-1,M172,IF(L$169=99,K172,IF(L$169=0,INDEX($F46:$L46,0,L$167),(INDEX($F46:$L46,0,L$169+1)-INDEX($F46:$L46,0,L$169))/(INDEX($F$4:$L$4,0,L$169+1)-INDEX($F$4:$L$4,0,L$169))+K172)))</f>
        <v>4.9910684173255708</v>
      </c>
      <c r="M172" s="200">
        <f t="shared" si="120"/>
        <v>5.0697658346511414</v>
      </c>
      <c r="N172" s="200">
        <f t="shared" si="120"/>
        <v>5.1484632519767128</v>
      </c>
      <c r="O172" s="200">
        <f t="shared" si="120"/>
        <v>5.0604231733286476</v>
      </c>
      <c r="P172" s="200">
        <f t="shared" si="120"/>
        <v>4.9723830946805823</v>
      </c>
      <c r="Q172" s="200">
        <f t="shared" si="120"/>
        <v>4.8913465896099195</v>
      </c>
      <c r="R172" s="200">
        <f t="shared" si="120"/>
        <v>4.8103100845392568</v>
      </c>
      <c r="S172" s="200">
        <f t="shared" si="120"/>
        <v>4.7292735794685949</v>
      </c>
      <c r="T172" s="200">
        <f t="shared" si="120"/>
        <v>4.8758559521544056</v>
      </c>
      <c r="U172" s="200">
        <f t="shared" si="120"/>
        <v>5.0224383248402162</v>
      </c>
      <c r="V172" s="200">
        <f t="shared" si="120"/>
        <v>5.1690206975260269</v>
      </c>
      <c r="W172" s="200">
        <f t="shared" si="120"/>
        <v>5.3156030702118375</v>
      </c>
      <c r="X172" s="200">
        <f t="shared" si="120"/>
        <v>5.4621854428976482</v>
      </c>
      <c r="Y172" s="200">
        <f>IF(Y$169=-1,Z172,IF(Y$169=99,X172,IF(Y$169=0,INDEX($F46:$L46,0,Y$167),(INDEX($F46:$L46,0,Y$169+1)-INDEX($F46:$L46,0,Y$169))/(INDEX($F$4:$L$4,0,Y$169+1)-INDEX($F$4:$L$4,0,Y$169))+X172)))</f>
        <v>5.6087678155834588</v>
      </c>
      <c r="Z172" s="200">
        <f>IF(Z$169=-1,AA172,IF(Z$169=99,Y172,IF(Z$169=0,INDEX($F46:$L46,0,Z$167),(INDEX($F46:$L46,0,Z$169+1)-INDEX($F46:$L46,0,Z$169))/(INDEX($F$4:$L$4,0,Z$169+1)-INDEX($F$4:$L$4,0,Z$169))+Y172)))</f>
        <v>5.7553501882692695</v>
      </c>
      <c r="AA172" s="200">
        <f>IF(AA$169=-1,AB172,IF(AA$169=99,Z172,IF(AA$169=0,INDEX($F46:$L46,0,AA$167),(INDEX($F46:$L46,0,AA$169+1)-INDEX($F46:$L46,0,AA$169))/(INDEX($F$4:$L$4,0,AA$169+1)-INDEX($F$4:$L$4,0,AA$169))+Z172)))</f>
        <v>5.9019325609550801</v>
      </c>
      <c r="AB172" s="200">
        <f t="shared" si="120"/>
        <v>6.0485149336408908</v>
      </c>
      <c r="AC172" s="200">
        <f t="shared" si="120"/>
        <v>6.1950973063266979</v>
      </c>
      <c r="AD172" s="200">
        <f t="shared" si="120"/>
        <v>6.4240025929938787</v>
      </c>
      <c r="AE172" s="200">
        <f t="shared" si="120"/>
        <v>6.6529078796610595</v>
      </c>
      <c r="AF172" s="200">
        <f t="shared" si="120"/>
        <v>6.8818131663282402</v>
      </c>
      <c r="AG172" s="200">
        <f t="shared" si="120"/>
        <v>7.110718452995421</v>
      </c>
      <c r="AH172" s="200">
        <f t="shared" si="120"/>
        <v>7.3396237396626018</v>
      </c>
      <c r="AI172" s="200">
        <f t="shared" si="120"/>
        <v>7.5685290263297826</v>
      </c>
      <c r="AJ172" s="200">
        <f t="shared" si="120"/>
        <v>7.7974343129969634</v>
      </c>
      <c r="AK172" s="200">
        <f t="shared" si="120"/>
        <v>8.0263395996641442</v>
      </c>
      <c r="AL172" s="200">
        <f t="shared" si="120"/>
        <v>8.2552448863313259</v>
      </c>
      <c r="AM172" s="200">
        <f t="shared" si="120"/>
        <v>8.4841501729985076</v>
      </c>
      <c r="AN172" s="200">
        <f t="shared" si="120"/>
        <v>8.8412252087479164</v>
      </c>
      <c r="AO172" s="200">
        <f t="shared" si="120"/>
        <v>12.054900530492588</v>
      </c>
      <c r="AP172" s="200">
        <f t="shared" si="120"/>
        <v>12.054900530492588</v>
      </c>
      <c r="AQ172" s="200">
        <f t="shared" si="120"/>
        <v>12.054900530492588</v>
      </c>
      <c r="AZ172" s="200"/>
      <c r="BA172" s="200"/>
      <c r="BB172" s="200"/>
      <c r="BC172" s="200"/>
      <c r="BD172" s="200"/>
      <c r="BE172" s="200"/>
    </row>
    <row r="173" spans="1:78">
      <c r="A173" s="199" t="s">
        <v>16</v>
      </c>
      <c r="B173" s="22" t="str">
        <f t="shared" si="114"/>
        <v/>
      </c>
      <c r="C173" s="23" t="str">
        <f t="shared" si="115"/>
        <v/>
      </c>
      <c r="D173" s="61"/>
      <c r="E173" s="23" t="str">
        <f t="shared" si="116"/>
        <v/>
      </c>
      <c r="F173" s="23" t="str">
        <f t="shared" si="116"/>
        <v/>
      </c>
      <c r="G173" s="23" t="str">
        <f t="shared" si="116"/>
        <v/>
      </c>
      <c r="H173" s="23"/>
      <c r="I173" s="23" t="str">
        <f t="shared" si="116"/>
        <v/>
      </c>
      <c r="J173" s="145" t="str">
        <f t="shared" si="118"/>
        <v>TFHCV2</v>
      </c>
      <c r="K173" s="200">
        <f t="shared" ref="K173:K180" si="121">F51</f>
        <v>1.637614669131271</v>
      </c>
      <c r="L173" s="200">
        <f t="shared" ref="L173:AQ180" si="122">IF(L$169=-1,M173,IF(L$169=99,K173,IF(L$169=0,INDEX($F51:$L51,0,L$167),(INDEX($F51:$L51,0,L$169+1)-INDEX($F51:$L51,0,L$169))/(INDEX($F$4:$L$4,0,L$169+1)-INDEX($F$4:$L$4,0,L$169))+K173)))</f>
        <v>1.6638496674722147</v>
      </c>
      <c r="M173" s="200">
        <f t="shared" si="122"/>
        <v>1.6900846658131585</v>
      </c>
      <c r="N173" s="200">
        <f t="shared" si="122"/>
        <v>1.7163196641541021</v>
      </c>
      <c r="O173" s="200">
        <f t="shared" si="122"/>
        <v>1.7305917409507761</v>
      </c>
      <c r="P173" s="200">
        <f t="shared" si="122"/>
        <v>1.74486381774745</v>
      </c>
      <c r="Q173" s="200">
        <f t="shared" si="122"/>
        <v>1.7164272184504705</v>
      </c>
      <c r="R173" s="200">
        <f t="shared" si="122"/>
        <v>1.687990619153491</v>
      </c>
      <c r="S173" s="200">
        <f t="shared" si="122"/>
        <v>1.6595540198565115</v>
      </c>
      <c r="T173" s="200">
        <f t="shared" si="122"/>
        <v>1.7041263489913094</v>
      </c>
      <c r="U173" s="200">
        <f t="shared" si="122"/>
        <v>1.7486986781261074</v>
      </c>
      <c r="V173" s="200">
        <f t="shared" si="122"/>
        <v>1.7932710072609053</v>
      </c>
      <c r="W173" s="200">
        <f t="shared" si="122"/>
        <v>1.8378433363957032</v>
      </c>
      <c r="X173" s="200">
        <f t="shared" si="122"/>
        <v>1.8824156655305011</v>
      </c>
      <c r="Y173" s="200">
        <f t="shared" ref="Y173:AA180" si="123">IF(Y$169=-1,Z173,IF(Y$169=99,X173,IF(Y$169=0,INDEX($F51:$L51,0,Y$167),(INDEX($F51:$L51,0,Y$169+1)-INDEX($F51:$L51,0,Y$169))/(INDEX($F$4:$L$4,0,Y$169+1)-INDEX($F$4:$L$4,0,Y$169))+X173)))</f>
        <v>1.926987994665299</v>
      </c>
      <c r="Z173" s="200">
        <f t="shared" si="123"/>
        <v>1.9715603238000969</v>
      </c>
      <c r="AA173" s="200">
        <f t="shared" si="123"/>
        <v>2.0161326529348949</v>
      </c>
      <c r="AB173" s="200">
        <f t="shared" si="122"/>
        <v>2.060704982069693</v>
      </c>
      <c r="AC173" s="200">
        <f t="shared" si="122"/>
        <v>2.1052773112044916</v>
      </c>
      <c r="AD173" s="200">
        <f t="shared" si="122"/>
        <v>2.1769962770277997</v>
      </c>
      <c r="AE173" s="200">
        <f t="shared" si="122"/>
        <v>2.2487152428511079</v>
      </c>
      <c r="AF173" s="200">
        <f t="shared" si="122"/>
        <v>2.3204342086744161</v>
      </c>
      <c r="AG173" s="200">
        <f t="shared" si="122"/>
        <v>2.3921531744977242</v>
      </c>
      <c r="AH173" s="200">
        <f t="shared" si="122"/>
        <v>2.4638721403210324</v>
      </c>
      <c r="AI173" s="200">
        <f t="shared" si="122"/>
        <v>2.5355911061443406</v>
      </c>
      <c r="AJ173" s="200">
        <f t="shared" si="122"/>
        <v>2.6073100719676487</v>
      </c>
      <c r="AK173" s="200">
        <f t="shared" si="122"/>
        <v>2.6790290377909569</v>
      </c>
      <c r="AL173" s="200">
        <f t="shared" si="122"/>
        <v>2.7507480036142651</v>
      </c>
      <c r="AM173" s="200">
        <f t="shared" si="122"/>
        <v>2.8224669694375719</v>
      </c>
      <c r="AN173" s="200">
        <f t="shared" si="122"/>
        <v>2.932814125641606</v>
      </c>
      <c r="AO173" s="200">
        <f t="shared" si="122"/>
        <v>3.9259385314779118</v>
      </c>
      <c r="AP173" s="200">
        <f t="shared" si="122"/>
        <v>3.9259385314779118</v>
      </c>
      <c r="AQ173" s="200">
        <f t="shared" si="122"/>
        <v>3.9259385314779118</v>
      </c>
      <c r="AZ173" s="200"/>
      <c r="BA173" s="200"/>
      <c r="BB173" s="200"/>
      <c r="BC173" s="200"/>
      <c r="BD173" s="200"/>
      <c r="BE173" s="200"/>
    </row>
    <row r="174" spans="1:78">
      <c r="A174" s="199" t="s">
        <v>16</v>
      </c>
      <c r="B174" s="22" t="str">
        <f t="shared" si="114"/>
        <v/>
      </c>
      <c r="C174" s="23" t="str">
        <f t="shared" si="115"/>
        <v/>
      </c>
      <c r="D174" s="61"/>
      <c r="E174" s="23" t="str">
        <f t="shared" si="116"/>
        <v/>
      </c>
      <c r="F174" s="23" t="str">
        <f t="shared" si="116"/>
        <v/>
      </c>
      <c r="G174" s="23" t="str">
        <f t="shared" si="116"/>
        <v/>
      </c>
      <c r="H174" s="23"/>
      <c r="I174" s="23" t="str">
        <f t="shared" si="116"/>
        <v/>
      </c>
      <c r="J174" s="145" t="str">
        <f t="shared" si="118"/>
        <v>TFHCV3</v>
      </c>
      <c r="K174" s="200">
        <f t="shared" si="121"/>
        <v>13.576270721867905</v>
      </c>
      <c r="L174" s="200">
        <f t="shared" si="122"/>
        <v>13.793765988964743</v>
      </c>
      <c r="M174" s="200">
        <f t="shared" si="122"/>
        <v>14.011261256061582</v>
      </c>
      <c r="N174" s="200">
        <f t="shared" si="122"/>
        <v>14.22875652315842</v>
      </c>
      <c r="O174" s="200">
        <f t="shared" si="122"/>
        <v>14.347075919050081</v>
      </c>
      <c r="P174" s="200">
        <f t="shared" si="122"/>
        <v>14.465395314941743</v>
      </c>
      <c r="Q174" s="200">
        <f t="shared" si="122"/>
        <v>14.229648177509301</v>
      </c>
      <c r="R174" s="200">
        <f t="shared" si="122"/>
        <v>13.993901040076858</v>
      </c>
      <c r="S174" s="200">
        <f t="shared" si="122"/>
        <v>13.758153902644418</v>
      </c>
      <c r="T174" s="200">
        <f t="shared" si="122"/>
        <v>14.12767062623314</v>
      </c>
      <c r="U174" s="200">
        <f t="shared" si="122"/>
        <v>14.497187349821862</v>
      </c>
      <c r="V174" s="200">
        <f t="shared" si="122"/>
        <v>14.866704073410585</v>
      </c>
      <c r="W174" s="200">
        <f t="shared" si="122"/>
        <v>15.236220796999307</v>
      </c>
      <c r="X174" s="200">
        <f t="shared" si="122"/>
        <v>15.605737520588029</v>
      </c>
      <c r="Y174" s="200">
        <f t="shared" si="123"/>
        <v>15.975254244176751</v>
      </c>
      <c r="Z174" s="200">
        <f t="shared" si="123"/>
        <v>16.344770967765474</v>
      </c>
      <c r="AA174" s="200">
        <f t="shared" si="123"/>
        <v>16.714287691354198</v>
      </c>
      <c r="AB174" s="200">
        <f t="shared" si="122"/>
        <v>17.083804414942922</v>
      </c>
      <c r="AC174" s="200">
        <f t="shared" si="122"/>
        <v>17.453321138531646</v>
      </c>
      <c r="AD174" s="200">
        <f t="shared" si="122"/>
        <v>18.047890858908016</v>
      </c>
      <c r="AE174" s="200">
        <f t="shared" si="122"/>
        <v>18.642460579284386</v>
      </c>
      <c r="AF174" s="200">
        <f t="shared" si="122"/>
        <v>19.237030299660756</v>
      </c>
      <c r="AG174" s="200">
        <f t="shared" si="122"/>
        <v>19.831600020037126</v>
      </c>
      <c r="AH174" s="200">
        <f t="shared" si="122"/>
        <v>20.426169740413496</v>
      </c>
      <c r="AI174" s="200">
        <f t="shared" si="122"/>
        <v>21.020739460789866</v>
      </c>
      <c r="AJ174" s="200">
        <f t="shared" si="122"/>
        <v>21.615309181166236</v>
      </c>
      <c r="AK174" s="200">
        <f t="shared" si="122"/>
        <v>22.209878901542606</v>
      </c>
      <c r="AL174" s="200">
        <f t="shared" si="122"/>
        <v>22.804448621918976</v>
      </c>
      <c r="AM174" s="200">
        <f t="shared" si="122"/>
        <v>23.399018342295346</v>
      </c>
      <c r="AN174" s="200">
        <f t="shared" si="122"/>
        <v>24.313826260331968</v>
      </c>
      <c r="AO174" s="200">
        <f t="shared" si="122"/>
        <v>32.547097522661574</v>
      </c>
      <c r="AP174" s="200">
        <f t="shared" si="122"/>
        <v>32.547097522661574</v>
      </c>
      <c r="AQ174" s="200">
        <f t="shared" si="122"/>
        <v>32.547097522661574</v>
      </c>
      <c r="AZ174" s="200"/>
      <c r="BA174" s="200"/>
      <c r="BB174" s="200"/>
      <c r="BC174" s="200"/>
      <c r="BD174" s="200"/>
      <c r="BE174" s="200"/>
    </row>
    <row r="175" spans="1:78">
      <c r="A175" s="199" t="s">
        <v>16</v>
      </c>
      <c r="B175" s="22" t="str">
        <f t="shared" si="114"/>
        <v/>
      </c>
      <c r="C175" s="23" t="str">
        <f t="shared" si="115"/>
        <v/>
      </c>
      <c r="D175" s="61"/>
      <c r="E175" s="23" t="str">
        <f t="shared" si="116"/>
        <v/>
      </c>
      <c r="F175" s="23" t="str">
        <f t="shared" si="116"/>
        <v/>
      </c>
      <c r="G175" s="23" t="str">
        <f t="shared" si="116"/>
        <v/>
      </c>
      <c r="H175" s="23"/>
      <c r="I175" s="23" t="str">
        <f t="shared" si="116"/>
        <v/>
      </c>
      <c r="J175" s="145" t="str">
        <f t="shared" si="118"/>
        <v>TFHCV4</v>
      </c>
      <c r="K175" s="200">
        <f t="shared" si="121"/>
        <v>4.515932780515814</v>
      </c>
      <c r="L175" s="200">
        <f t="shared" si="122"/>
        <v>4.5882791579865865</v>
      </c>
      <c r="M175" s="200">
        <f t="shared" si="122"/>
        <v>4.6606255354573589</v>
      </c>
      <c r="N175" s="200">
        <f t="shared" si="122"/>
        <v>4.7329719129281322</v>
      </c>
      <c r="O175" s="200">
        <f t="shared" si="122"/>
        <v>4.7723289977583079</v>
      </c>
      <c r="P175" s="200">
        <f t="shared" si="122"/>
        <v>4.8116860825884835</v>
      </c>
      <c r="Q175" s="200">
        <f t="shared" si="122"/>
        <v>4.7332685077143246</v>
      </c>
      <c r="R175" s="200">
        <f t="shared" si="122"/>
        <v>4.6548509328401657</v>
      </c>
      <c r="S175" s="200">
        <f t="shared" si="122"/>
        <v>4.5764333579660059</v>
      </c>
      <c r="T175" s="200">
        <f t="shared" si="122"/>
        <v>4.6993472802933827</v>
      </c>
      <c r="U175" s="200">
        <f t="shared" si="122"/>
        <v>4.8222612026207594</v>
      </c>
      <c r="V175" s="200">
        <f t="shared" si="122"/>
        <v>4.9451751249481362</v>
      </c>
      <c r="W175" s="200">
        <f t="shared" si="122"/>
        <v>5.0680890472755129</v>
      </c>
      <c r="X175" s="200">
        <f t="shared" si="122"/>
        <v>5.1910029696028896</v>
      </c>
      <c r="Y175" s="200">
        <f t="shared" si="123"/>
        <v>5.3139168919302664</v>
      </c>
      <c r="Z175" s="200">
        <f t="shared" si="123"/>
        <v>5.4368308142576431</v>
      </c>
      <c r="AA175" s="200">
        <f t="shared" si="123"/>
        <v>5.5597447365850199</v>
      </c>
      <c r="AB175" s="200">
        <f t="shared" si="122"/>
        <v>5.6826586589123966</v>
      </c>
      <c r="AC175" s="200">
        <f t="shared" si="122"/>
        <v>5.8055725812397769</v>
      </c>
      <c r="AD175" s="200">
        <f t="shared" si="122"/>
        <v>6.003346840869475</v>
      </c>
      <c r="AE175" s="200">
        <f t="shared" si="122"/>
        <v>6.2011211004991731</v>
      </c>
      <c r="AF175" s="200">
        <f t="shared" si="122"/>
        <v>6.3988953601288712</v>
      </c>
      <c r="AG175" s="200">
        <f t="shared" si="122"/>
        <v>6.5966696197585692</v>
      </c>
      <c r="AH175" s="200">
        <f t="shared" si="122"/>
        <v>6.7944438793882673</v>
      </c>
      <c r="AI175" s="200">
        <f t="shared" si="122"/>
        <v>6.9922181390179654</v>
      </c>
      <c r="AJ175" s="200">
        <f t="shared" si="122"/>
        <v>7.1899923986476635</v>
      </c>
      <c r="AK175" s="200">
        <f t="shared" si="122"/>
        <v>7.3877666582773616</v>
      </c>
      <c r="AL175" s="200">
        <f t="shared" si="122"/>
        <v>7.5855409179070596</v>
      </c>
      <c r="AM175" s="200">
        <f t="shared" si="122"/>
        <v>7.7833151775367577</v>
      </c>
      <c r="AN175" s="200">
        <f t="shared" si="122"/>
        <v>8.0876116334318713</v>
      </c>
      <c r="AO175" s="200">
        <f t="shared" si="122"/>
        <v>10.826279736487901</v>
      </c>
      <c r="AP175" s="200">
        <f t="shared" si="122"/>
        <v>10.826279736487901</v>
      </c>
      <c r="AQ175" s="200">
        <f t="shared" si="122"/>
        <v>10.826279736487901</v>
      </c>
      <c r="AZ175" s="200"/>
      <c r="BA175" s="200"/>
      <c r="BB175" s="200"/>
      <c r="BC175" s="200"/>
      <c r="BD175" s="200"/>
      <c r="BE175" s="200"/>
    </row>
    <row r="176" spans="1:78">
      <c r="A176" s="199" t="s">
        <v>16</v>
      </c>
      <c r="B176" s="22" t="str">
        <f t="shared" si="114"/>
        <v/>
      </c>
      <c r="C176" s="23" t="str">
        <f t="shared" si="115"/>
        <v/>
      </c>
      <c r="D176" s="61"/>
      <c r="E176" s="23" t="str">
        <f t="shared" si="116"/>
        <v/>
      </c>
      <c r="F176" s="23" t="str">
        <f t="shared" si="116"/>
        <v/>
      </c>
      <c r="G176" s="23" t="str">
        <f t="shared" si="116"/>
        <v/>
      </c>
      <c r="H176" s="23"/>
      <c r="I176" s="23" t="str">
        <f t="shared" si="116"/>
        <v/>
      </c>
      <c r="J176" s="145" t="str">
        <f t="shared" si="118"/>
        <v>TFHCV5</v>
      </c>
      <c r="K176" s="200">
        <f t="shared" si="121"/>
        <v>2.9750185434856067</v>
      </c>
      <c r="L176" s="200">
        <f t="shared" si="122"/>
        <v>3.0226790878272287</v>
      </c>
      <c r="M176" s="200">
        <f t="shared" si="122"/>
        <v>3.0703396321688508</v>
      </c>
      <c r="N176" s="200">
        <f t="shared" si="122"/>
        <v>3.1180001765104728</v>
      </c>
      <c r="O176" s="200">
        <f t="shared" si="122"/>
        <v>3.1439279444552239</v>
      </c>
      <c r="P176" s="200">
        <f t="shared" si="122"/>
        <v>3.1698557123999747</v>
      </c>
      <c r="Q176" s="200">
        <f t="shared" si="122"/>
        <v>3.1181955680345959</v>
      </c>
      <c r="R176" s="200">
        <f t="shared" si="122"/>
        <v>3.0665354236692171</v>
      </c>
      <c r="S176" s="200">
        <f t="shared" si="122"/>
        <v>3.0148752793038378</v>
      </c>
      <c r="T176" s="200">
        <f t="shared" si="122"/>
        <v>3.0958488490952663</v>
      </c>
      <c r="U176" s="200">
        <f t="shared" si="122"/>
        <v>3.1768224188866947</v>
      </c>
      <c r="V176" s="200">
        <f t="shared" si="122"/>
        <v>3.2577959886781231</v>
      </c>
      <c r="W176" s="200">
        <f t="shared" si="122"/>
        <v>3.3387695584695516</v>
      </c>
      <c r="X176" s="200">
        <f t="shared" si="122"/>
        <v>3.41974312826098</v>
      </c>
      <c r="Y176" s="200">
        <f t="shared" si="123"/>
        <v>3.5007166980524085</v>
      </c>
      <c r="Z176" s="200">
        <f t="shared" si="123"/>
        <v>3.5816902678438369</v>
      </c>
      <c r="AA176" s="200">
        <f t="shared" si="123"/>
        <v>3.6626638376352654</v>
      </c>
      <c r="AB176" s="200">
        <f t="shared" si="122"/>
        <v>3.7436374074266938</v>
      </c>
      <c r="AC176" s="200">
        <f t="shared" si="122"/>
        <v>3.8246109772181214</v>
      </c>
      <c r="AD176" s="200">
        <f t="shared" si="122"/>
        <v>3.9549012446820413</v>
      </c>
      <c r="AE176" s="200">
        <f t="shared" si="122"/>
        <v>4.0851915121459612</v>
      </c>
      <c r="AF176" s="200">
        <f t="shared" si="122"/>
        <v>4.2154817796098811</v>
      </c>
      <c r="AG176" s="200">
        <f t="shared" si="122"/>
        <v>4.345772047073801</v>
      </c>
      <c r="AH176" s="200">
        <f t="shared" si="122"/>
        <v>4.476062314537721</v>
      </c>
      <c r="AI176" s="200">
        <f t="shared" si="122"/>
        <v>4.6063525820016409</v>
      </c>
      <c r="AJ176" s="200">
        <f t="shared" si="122"/>
        <v>4.7366428494655608</v>
      </c>
      <c r="AK176" s="200">
        <f t="shared" si="122"/>
        <v>4.8669331169294807</v>
      </c>
      <c r="AL176" s="200">
        <f t="shared" si="122"/>
        <v>4.9972233843934006</v>
      </c>
      <c r="AM176" s="200">
        <f t="shared" si="122"/>
        <v>5.1275136518573197</v>
      </c>
      <c r="AN176" s="200">
        <f t="shared" si="122"/>
        <v>5.327978903003399</v>
      </c>
      <c r="AO176" s="200">
        <f t="shared" si="122"/>
        <v>7.1321661633181126</v>
      </c>
      <c r="AP176" s="200">
        <f t="shared" si="122"/>
        <v>7.1321661633181126</v>
      </c>
      <c r="AQ176" s="200">
        <f t="shared" si="122"/>
        <v>7.1321661633181126</v>
      </c>
      <c r="AZ176" s="200"/>
      <c r="BA176" s="200"/>
      <c r="BB176" s="200"/>
      <c r="BC176" s="200"/>
      <c r="BD176" s="200"/>
      <c r="BE176" s="200"/>
    </row>
    <row r="177" spans="1:57">
      <c r="A177" s="199" t="s">
        <v>16</v>
      </c>
      <c r="B177" s="22" t="str">
        <f t="shared" si="114"/>
        <v/>
      </c>
      <c r="C177" s="23" t="str">
        <f t="shared" si="115"/>
        <v/>
      </c>
      <c r="D177" s="61"/>
      <c r="E177" s="23" t="str">
        <f t="shared" si="116"/>
        <v/>
      </c>
      <c r="F177" s="23" t="str">
        <f t="shared" si="116"/>
        <v/>
      </c>
      <c r="G177" s="23" t="str">
        <f t="shared" si="116"/>
        <v/>
      </c>
      <c r="H177" s="23"/>
      <c r="I177" s="23" t="str">
        <f t="shared" si="116"/>
        <v/>
      </c>
      <c r="J177" s="145" t="str">
        <f t="shared" si="118"/>
        <v>TFHCV6</v>
      </c>
      <c r="K177" s="200">
        <f t="shared" si="121"/>
        <v>98.309314568087203</v>
      </c>
      <c r="L177" s="200">
        <f t="shared" si="122"/>
        <v>99.884254481126248</v>
      </c>
      <c r="M177" s="200">
        <f t="shared" si="122"/>
        <v>101.45919439416529</v>
      </c>
      <c r="N177" s="200">
        <f t="shared" si="122"/>
        <v>103.03413430720434</v>
      </c>
      <c r="O177" s="200">
        <f t="shared" si="122"/>
        <v>103.89091588946047</v>
      </c>
      <c r="P177" s="200">
        <f t="shared" si="122"/>
        <v>104.74769747171659</v>
      </c>
      <c r="Q177" s="200">
        <f t="shared" si="122"/>
        <v>103.04059100874358</v>
      </c>
      <c r="R177" s="200">
        <f t="shared" si="122"/>
        <v>101.33348454577056</v>
      </c>
      <c r="S177" s="200">
        <f t="shared" si="122"/>
        <v>99.626378082797544</v>
      </c>
      <c r="T177" s="200">
        <f t="shared" si="122"/>
        <v>102.30214498238796</v>
      </c>
      <c r="U177" s="200">
        <f t="shared" si="122"/>
        <v>104.97791188197837</v>
      </c>
      <c r="V177" s="200">
        <f t="shared" si="122"/>
        <v>107.65367878156879</v>
      </c>
      <c r="W177" s="200">
        <f t="shared" si="122"/>
        <v>110.3294456811592</v>
      </c>
      <c r="X177" s="200">
        <f t="shared" si="122"/>
        <v>113.00521258074961</v>
      </c>
      <c r="Y177" s="200">
        <f t="shared" si="123"/>
        <v>115.68097948034003</v>
      </c>
      <c r="Z177" s="200">
        <f t="shared" si="123"/>
        <v>118.35674637993044</v>
      </c>
      <c r="AA177" s="200">
        <f t="shared" si="123"/>
        <v>121.03251327952086</v>
      </c>
      <c r="AB177" s="200">
        <f t="shared" si="122"/>
        <v>123.70828017911127</v>
      </c>
      <c r="AC177" s="200">
        <f t="shared" si="122"/>
        <v>126.38404707870174</v>
      </c>
      <c r="AD177" s="200">
        <f t="shared" si="122"/>
        <v>130.68948138173087</v>
      </c>
      <c r="AE177" s="200">
        <f t="shared" si="122"/>
        <v>134.99491568476</v>
      </c>
      <c r="AF177" s="200">
        <f t="shared" si="122"/>
        <v>139.30034998778913</v>
      </c>
      <c r="AG177" s="200">
        <f t="shared" si="122"/>
        <v>143.60578429081826</v>
      </c>
      <c r="AH177" s="200">
        <f t="shared" si="122"/>
        <v>147.91121859384739</v>
      </c>
      <c r="AI177" s="200">
        <f t="shared" si="122"/>
        <v>152.21665289687652</v>
      </c>
      <c r="AJ177" s="200">
        <f t="shared" si="122"/>
        <v>156.52208719990566</v>
      </c>
      <c r="AK177" s="200">
        <f t="shared" si="122"/>
        <v>160.82752150293479</v>
      </c>
      <c r="AL177" s="200">
        <f t="shared" si="122"/>
        <v>165.13295580596392</v>
      </c>
      <c r="AM177" s="200">
        <f t="shared" si="122"/>
        <v>169.43839010899313</v>
      </c>
      <c r="AN177" s="200">
        <f t="shared" si="122"/>
        <v>176.0627526623104</v>
      </c>
      <c r="AO177" s="200">
        <f t="shared" si="122"/>
        <v>235.68201564216574</v>
      </c>
      <c r="AP177" s="200">
        <f t="shared" si="122"/>
        <v>235.68201564216574</v>
      </c>
      <c r="AQ177" s="200">
        <f t="shared" si="122"/>
        <v>235.68201564216574</v>
      </c>
      <c r="AZ177" s="200"/>
      <c r="BA177" s="200"/>
      <c r="BB177" s="200"/>
      <c r="BC177" s="200"/>
      <c r="BD177" s="200"/>
      <c r="BE177" s="200"/>
    </row>
    <row r="178" spans="1:57">
      <c r="A178" s="199" t="s">
        <v>16</v>
      </c>
      <c r="B178" s="22" t="str">
        <f t="shared" si="114"/>
        <v/>
      </c>
      <c r="C178" s="23" t="str">
        <f t="shared" si="115"/>
        <v/>
      </c>
      <c r="D178" s="61"/>
      <c r="E178" s="23" t="str">
        <f t="shared" si="116"/>
        <v/>
      </c>
      <c r="F178" s="23" t="str">
        <f t="shared" si="116"/>
        <v/>
      </c>
      <c r="G178" s="23" t="str">
        <f t="shared" si="116"/>
        <v/>
      </c>
      <c r="H178" s="23"/>
      <c r="I178" s="23" t="str">
        <f t="shared" si="116"/>
        <v/>
      </c>
      <c r="J178" s="145" t="str">
        <f t="shared" si="118"/>
        <v>TFHCV7</v>
      </c>
      <c r="K178" s="200">
        <f t="shared" si="121"/>
        <v>28.003212301240232</v>
      </c>
      <c r="L178" s="200">
        <f t="shared" si="122"/>
        <v>28.451830796245446</v>
      </c>
      <c r="M178" s="200">
        <f t="shared" si="122"/>
        <v>28.900449291250659</v>
      </c>
      <c r="N178" s="200">
        <f t="shared" si="122"/>
        <v>29.349067786255869</v>
      </c>
      <c r="O178" s="200">
        <f t="shared" si="122"/>
        <v>29.593120312195246</v>
      </c>
      <c r="P178" s="200">
        <f t="shared" si="122"/>
        <v>29.837172838134627</v>
      </c>
      <c r="Q178" s="200">
        <f t="shared" si="122"/>
        <v>29.3509069648196</v>
      </c>
      <c r="R178" s="200">
        <f t="shared" si="122"/>
        <v>28.864641091504573</v>
      </c>
      <c r="S178" s="200">
        <f t="shared" si="122"/>
        <v>28.378375218189547</v>
      </c>
      <c r="T178" s="200">
        <f t="shared" si="122"/>
        <v>29.140562086108016</v>
      </c>
      <c r="U178" s="200">
        <f t="shared" si="122"/>
        <v>29.902748954026485</v>
      </c>
      <c r="V178" s="200">
        <f t="shared" si="122"/>
        <v>30.664935821944955</v>
      </c>
      <c r="W178" s="200">
        <f t="shared" si="122"/>
        <v>31.427122689863424</v>
      </c>
      <c r="X178" s="200">
        <f t="shared" si="122"/>
        <v>32.189309557781897</v>
      </c>
      <c r="Y178" s="200">
        <f t="shared" si="123"/>
        <v>32.95149642570037</v>
      </c>
      <c r="Z178" s="200">
        <f t="shared" si="123"/>
        <v>33.713683293618843</v>
      </c>
      <c r="AA178" s="200">
        <f t="shared" si="123"/>
        <v>34.475870161537316</v>
      </c>
      <c r="AB178" s="200">
        <f t="shared" si="122"/>
        <v>35.238057029455788</v>
      </c>
      <c r="AC178" s="200">
        <f t="shared" si="122"/>
        <v>36.00024389737424</v>
      </c>
      <c r="AD178" s="200">
        <f t="shared" si="122"/>
        <v>37.226638276853564</v>
      </c>
      <c r="AE178" s="200">
        <f t="shared" si="122"/>
        <v>38.453032656332887</v>
      </c>
      <c r="AF178" s="200">
        <f t="shared" si="122"/>
        <v>39.679427035812211</v>
      </c>
      <c r="AG178" s="200">
        <f t="shared" si="122"/>
        <v>40.905821415291534</v>
      </c>
      <c r="AH178" s="200">
        <f t="shared" si="122"/>
        <v>42.132215794770858</v>
      </c>
      <c r="AI178" s="200">
        <f t="shared" si="122"/>
        <v>43.358610174250181</v>
      </c>
      <c r="AJ178" s="200">
        <f t="shared" si="122"/>
        <v>44.585004553729505</v>
      </c>
      <c r="AK178" s="200">
        <f t="shared" si="122"/>
        <v>45.811398933208828</v>
      </c>
      <c r="AL178" s="200">
        <f t="shared" si="122"/>
        <v>47.037793312688152</v>
      </c>
      <c r="AM178" s="200">
        <f t="shared" si="122"/>
        <v>48.264187692167503</v>
      </c>
      <c r="AN178" s="200">
        <f t="shared" si="122"/>
        <v>50.151124161574508</v>
      </c>
      <c r="AO178" s="200">
        <f t="shared" si="122"/>
        <v>67.133552386237554</v>
      </c>
      <c r="AP178" s="200">
        <f t="shared" si="122"/>
        <v>67.133552386237554</v>
      </c>
      <c r="AQ178" s="200">
        <f t="shared" si="122"/>
        <v>67.133552386237554</v>
      </c>
      <c r="AZ178" s="200"/>
      <c r="BA178" s="200"/>
      <c r="BB178" s="200"/>
      <c r="BC178" s="200"/>
      <c r="BD178" s="200"/>
      <c r="BE178" s="200"/>
    </row>
    <row r="179" spans="1:57">
      <c r="A179" s="199" t="s">
        <v>16</v>
      </c>
      <c r="B179" s="22" t="str">
        <f t="shared" si="114"/>
        <v/>
      </c>
      <c r="C179" s="23" t="str">
        <f t="shared" si="115"/>
        <v/>
      </c>
      <c r="D179" s="61"/>
      <c r="E179" s="23" t="str">
        <f t="shared" si="116"/>
        <v/>
      </c>
      <c r="F179" s="23" t="str">
        <f t="shared" si="116"/>
        <v/>
      </c>
      <c r="G179" s="23" t="str">
        <f t="shared" si="116"/>
        <v/>
      </c>
      <c r="H179" s="23"/>
      <c r="I179" s="23" t="str">
        <f t="shared" si="116"/>
        <v/>
      </c>
      <c r="J179" s="145" t="str">
        <f t="shared" si="118"/>
        <v>TFHCV8</v>
      </c>
      <c r="K179" s="200">
        <f t="shared" si="121"/>
        <v>1.0763192990282064</v>
      </c>
      <c r="L179" s="200">
        <f t="shared" si="122"/>
        <v>1.0935622045520743</v>
      </c>
      <c r="M179" s="200">
        <f t="shared" si="122"/>
        <v>1.1108051100759422</v>
      </c>
      <c r="N179" s="200">
        <f t="shared" si="122"/>
        <v>1.12804801559981</v>
      </c>
      <c r="O179" s="200">
        <f t="shared" si="122"/>
        <v>1.1374283124321667</v>
      </c>
      <c r="P179" s="200">
        <f t="shared" si="122"/>
        <v>1.1468086092645235</v>
      </c>
      <c r="Q179" s="200">
        <f t="shared" si="122"/>
        <v>1.1281187054678585</v>
      </c>
      <c r="R179" s="200">
        <f t="shared" si="122"/>
        <v>1.1094288016711935</v>
      </c>
      <c r="S179" s="200">
        <f t="shared" si="122"/>
        <v>1.0907388978745283</v>
      </c>
      <c r="T179" s="200">
        <f t="shared" si="122"/>
        <v>1.1200339811164668</v>
      </c>
      <c r="U179" s="200">
        <f t="shared" si="122"/>
        <v>1.1493290643584053</v>
      </c>
      <c r="V179" s="200">
        <f t="shared" si="122"/>
        <v>1.1786241476003438</v>
      </c>
      <c r="W179" s="200">
        <f t="shared" si="122"/>
        <v>1.2079192308422824</v>
      </c>
      <c r="X179" s="200">
        <f t="shared" si="122"/>
        <v>1.2372143140842209</v>
      </c>
      <c r="Y179" s="200">
        <f t="shared" si="123"/>
        <v>1.2665093973261594</v>
      </c>
      <c r="Z179" s="200">
        <f t="shared" si="123"/>
        <v>1.2958044805680979</v>
      </c>
      <c r="AA179" s="200">
        <f t="shared" si="123"/>
        <v>1.3250995638100365</v>
      </c>
      <c r="AB179" s="200">
        <f t="shared" si="122"/>
        <v>1.354394647051975</v>
      </c>
      <c r="AC179" s="200">
        <f t="shared" si="122"/>
        <v>1.383689730293914</v>
      </c>
      <c r="AD179" s="200">
        <f t="shared" si="122"/>
        <v>1.4308268917257423</v>
      </c>
      <c r="AE179" s="200">
        <f t="shared" si="122"/>
        <v>1.4779640531575706</v>
      </c>
      <c r="AF179" s="200">
        <f t="shared" si="122"/>
        <v>1.525101214589399</v>
      </c>
      <c r="AG179" s="200">
        <f t="shared" si="122"/>
        <v>1.5722383760212273</v>
      </c>
      <c r="AH179" s="200">
        <f t="shared" si="122"/>
        <v>1.6193755374530556</v>
      </c>
      <c r="AI179" s="200">
        <f t="shared" si="122"/>
        <v>1.666512698884884</v>
      </c>
      <c r="AJ179" s="200">
        <f t="shared" si="122"/>
        <v>1.7136498603167123</v>
      </c>
      <c r="AK179" s="200">
        <f t="shared" si="122"/>
        <v>1.7607870217485406</v>
      </c>
      <c r="AL179" s="200">
        <f t="shared" si="122"/>
        <v>1.807924183180369</v>
      </c>
      <c r="AM179" s="200">
        <f t="shared" si="122"/>
        <v>1.8550613446121968</v>
      </c>
      <c r="AN179" s="200">
        <f t="shared" si="122"/>
        <v>1.9275868147695245</v>
      </c>
      <c r="AO179" s="200">
        <f t="shared" si="122"/>
        <v>2.5803160461854726</v>
      </c>
      <c r="AP179" s="200">
        <f t="shared" si="122"/>
        <v>2.5803160461854726</v>
      </c>
      <c r="AQ179" s="200">
        <f t="shared" si="122"/>
        <v>2.5803160461854726</v>
      </c>
      <c r="AZ179" s="200"/>
      <c r="BA179" s="200"/>
      <c r="BB179" s="200"/>
      <c r="BC179" s="200"/>
      <c r="BD179" s="200"/>
      <c r="BE179" s="200"/>
    </row>
    <row r="180" spans="1:57">
      <c r="A180" s="199" t="s">
        <v>16</v>
      </c>
      <c r="B180" s="22"/>
      <c r="C180" s="23"/>
      <c r="D180" s="61"/>
      <c r="E180" s="23"/>
      <c r="F180" s="23"/>
      <c r="G180" s="23"/>
      <c r="H180" s="23"/>
      <c r="I180" s="23"/>
      <c r="J180" s="145" t="str">
        <f t="shared" si="118"/>
        <v>TFHCV9</v>
      </c>
      <c r="K180" s="200">
        <f t="shared" si="121"/>
        <v>0.87560973396075781</v>
      </c>
      <c r="L180" s="200">
        <f t="shared" si="122"/>
        <v>0.88963722183735383</v>
      </c>
      <c r="M180" s="200">
        <f t="shared" si="122"/>
        <v>0.90366470971394985</v>
      </c>
      <c r="N180" s="200">
        <f t="shared" si="122"/>
        <v>0.91769219759054577</v>
      </c>
      <c r="O180" s="200">
        <f t="shared" si="122"/>
        <v>0.92532327808986281</v>
      </c>
      <c r="P180" s="200">
        <f t="shared" si="122"/>
        <v>0.93295435858917986</v>
      </c>
      <c r="Q180" s="200">
        <f t="shared" si="122"/>
        <v>0.91774970537342326</v>
      </c>
      <c r="R180" s="200">
        <f t="shared" si="122"/>
        <v>0.90254505215766667</v>
      </c>
      <c r="S180" s="200">
        <f t="shared" si="122"/>
        <v>0.88734039894191019</v>
      </c>
      <c r="T180" s="200">
        <f t="shared" si="122"/>
        <v>0.91117260195730909</v>
      </c>
      <c r="U180" s="200">
        <f t="shared" si="122"/>
        <v>0.93500480497270799</v>
      </c>
      <c r="V180" s="200">
        <f t="shared" si="122"/>
        <v>0.95883700798810689</v>
      </c>
      <c r="W180" s="200">
        <f t="shared" si="122"/>
        <v>0.98266921100350579</v>
      </c>
      <c r="X180" s="200">
        <f t="shared" si="122"/>
        <v>1.0065014140189048</v>
      </c>
      <c r="Y180" s="200">
        <f t="shared" si="123"/>
        <v>1.0303336170343038</v>
      </c>
      <c r="Z180" s="200">
        <f t="shared" si="123"/>
        <v>1.0541658200497028</v>
      </c>
      <c r="AA180" s="200">
        <f t="shared" si="123"/>
        <v>1.0779980230651018</v>
      </c>
      <c r="AB180" s="200">
        <f t="shared" si="122"/>
        <v>1.1018302260805009</v>
      </c>
      <c r="AC180" s="200">
        <f t="shared" si="122"/>
        <v>1.1256624290958994</v>
      </c>
      <c r="AD180" s="200">
        <f t="shared" si="122"/>
        <v>1.1640095603033895</v>
      </c>
      <c r="AE180" s="200">
        <f t="shared" si="122"/>
        <v>1.2023566915108796</v>
      </c>
      <c r="AF180" s="200">
        <f t="shared" si="122"/>
        <v>1.2407038227183698</v>
      </c>
      <c r="AG180" s="200">
        <f t="shared" si="122"/>
        <v>1.2790509539258599</v>
      </c>
      <c r="AH180" s="200">
        <f t="shared" si="122"/>
        <v>1.31739808513335</v>
      </c>
      <c r="AI180" s="200">
        <f t="shared" si="122"/>
        <v>1.3557452163408401</v>
      </c>
      <c r="AJ180" s="200">
        <f t="shared" si="122"/>
        <v>1.3940923475483302</v>
      </c>
      <c r="AK180" s="200">
        <f t="shared" si="122"/>
        <v>1.4324394787558203</v>
      </c>
      <c r="AL180" s="200">
        <f t="shared" si="122"/>
        <v>1.4707866099633105</v>
      </c>
      <c r="AM180" s="200">
        <f t="shared" si="122"/>
        <v>1.509133741170801</v>
      </c>
      <c r="AN180" s="200">
        <f t="shared" si="122"/>
        <v>1.5681348272678108</v>
      </c>
      <c r="AO180" s="200">
        <f t="shared" si="122"/>
        <v>2.0991446021408993</v>
      </c>
      <c r="AP180" s="200">
        <f t="shared" si="122"/>
        <v>2.0991446021408993</v>
      </c>
      <c r="AQ180" s="200">
        <f t="shared" ref="AQ180" si="124">IF(AQ$169=-1,AR180,IF(AQ$169=99,AP180,IF(AQ$169=0,INDEX($F58:$L58,0,AQ$167),(INDEX($F58:$L58,0,AQ$169+1)-INDEX($F58:$L58,0,AQ$169))/(INDEX($F$4:$L$4,0,AQ$169+1)-INDEX($F$4:$L$4,0,AQ$169))+AP180)))</f>
        <v>2.0991446021408993</v>
      </c>
      <c r="AZ180" s="200"/>
      <c r="BA180" s="200"/>
      <c r="BB180" s="200"/>
      <c r="BC180" s="200"/>
      <c r="BD180" s="200"/>
      <c r="BE180" s="200"/>
    </row>
    <row r="181" spans="1:57">
      <c r="A181" s="199" t="s">
        <v>16</v>
      </c>
      <c r="B181" s="22"/>
      <c r="C181" s="23"/>
      <c r="D181" s="61"/>
      <c r="E181" s="23"/>
      <c r="F181" s="23"/>
      <c r="G181" s="23"/>
      <c r="H181" s="23"/>
      <c r="I181" s="23"/>
      <c r="J181" s="145" t="str">
        <f t="shared" si="118"/>
        <v>TFRCO</v>
      </c>
      <c r="K181" s="200">
        <f t="shared" ref="K181:AQ183" si="125">J142</f>
        <v>22</v>
      </c>
      <c r="L181" s="200">
        <f t="shared" si="125"/>
        <v>22.352445526032646</v>
      </c>
      <c r="M181" s="200">
        <f t="shared" si="125"/>
        <v>22.704891052065292</v>
      </c>
      <c r="N181" s="200">
        <f t="shared" si="125"/>
        <v>23.057336578097942</v>
      </c>
      <c r="O181" s="200">
        <f t="shared" si="125"/>
        <v>23.249070137552067</v>
      </c>
      <c r="P181" s="200">
        <f t="shared" si="125"/>
        <v>23.440803697006192</v>
      </c>
      <c r="Q181" s="200">
        <f t="shared" si="125"/>
        <v>23.058781481202871</v>
      </c>
      <c r="R181" s="200">
        <f t="shared" si="125"/>
        <v>22.67675926539955</v>
      </c>
      <c r="S181" s="200">
        <f t="shared" si="125"/>
        <v>22.294737049596232</v>
      </c>
      <c r="T181" s="200">
        <f t="shared" si="125"/>
        <v>24.827138909995355</v>
      </c>
      <c r="U181" s="200">
        <f t="shared" si="125"/>
        <v>27.359540770394482</v>
      </c>
      <c r="V181" s="200">
        <f t="shared" si="125"/>
        <v>29.891942630793608</v>
      </c>
      <c r="W181" s="200">
        <f t="shared" si="125"/>
        <v>32.424344491192734</v>
      </c>
      <c r="X181" s="200">
        <f t="shared" si="125"/>
        <v>34.95674635159186</v>
      </c>
      <c r="Y181" s="200">
        <f t="shared" si="125"/>
        <v>37.489148211990987</v>
      </c>
      <c r="Z181" s="200">
        <f t="shared" ref="Z181:AA183" si="126">Y142</f>
        <v>40.021550072390113</v>
      </c>
      <c r="AA181" s="200">
        <f t="shared" si="126"/>
        <v>42.553951932789239</v>
      </c>
      <c r="AB181" s="200">
        <f t="shared" si="125"/>
        <v>45.086353793188366</v>
      </c>
      <c r="AC181" s="200">
        <f t="shared" si="125"/>
        <v>47.618755653587478</v>
      </c>
      <c r="AD181" s="200">
        <f t="shared" si="125"/>
        <v>51.679958610526427</v>
      </c>
      <c r="AE181" s="200">
        <f t="shared" si="125"/>
        <v>55.741161567465369</v>
      </c>
      <c r="AF181" s="200">
        <f t="shared" si="125"/>
        <v>59.802364524404311</v>
      </c>
      <c r="AG181" s="200">
        <f t="shared" si="125"/>
        <v>63.863567481343253</v>
      </c>
      <c r="AH181" s="200">
        <f t="shared" si="125"/>
        <v>67.924770438282195</v>
      </c>
      <c r="AI181" s="200">
        <f t="shared" si="125"/>
        <v>71.985973395221137</v>
      </c>
      <c r="AJ181" s="200">
        <f t="shared" si="125"/>
        <v>76.047176352160079</v>
      </c>
      <c r="AK181" s="200">
        <f t="shared" si="125"/>
        <v>80.108379309099021</v>
      </c>
      <c r="AL181" s="200">
        <f t="shared" si="125"/>
        <v>84.169582266037963</v>
      </c>
      <c r="AM181" s="200">
        <f t="shared" si="125"/>
        <v>88.230785222976934</v>
      </c>
      <c r="AN181" s="200">
        <f t="shared" si="125"/>
        <v>123.71772856379623</v>
      </c>
      <c r="AO181" s="200">
        <f t="shared" si="125"/>
        <v>159.20467190461548</v>
      </c>
      <c r="AP181" s="200">
        <f t="shared" si="125"/>
        <v>159.20467190461548</v>
      </c>
      <c r="AQ181" s="200">
        <f t="shared" si="125"/>
        <v>159.20467190461548</v>
      </c>
      <c r="AZ181" s="200"/>
      <c r="BA181" s="200"/>
      <c r="BB181" s="200"/>
      <c r="BC181" s="200"/>
      <c r="BD181" s="200"/>
      <c r="BE181" s="200"/>
    </row>
    <row r="182" spans="1:57">
      <c r="A182" s="199" t="s">
        <v>16</v>
      </c>
      <c r="B182" s="22"/>
      <c r="C182" s="23"/>
      <c r="D182" s="61"/>
      <c r="E182" s="23"/>
      <c r="F182" s="23"/>
      <c r="G182" s="23"/>
      <c r="H182" s="23"/>
      <c r="I182" s="23"/>
      <c r="J182" s="145" t="str">
        <f t="shared" si="118"/>
        <v>TFROT</v>
      </c>
      <c r="K182" s="200">
        <f t="shared" si="125"/>
        <v>25.1</v>
      </c>
      <c r="L182" s="200">
        <f t="shared" si="125"/>
        <v>25.502108304700894</v>
      </c>
      <c r="M182" s="200">
        <f t="shared" si="125"/>
        <v>25.904216609401786</v>
      </c>
      <c r="N182" s="200">
        <f t="shared" si="125"/>
        <v>26.306324914102674</v>
      </c>
      <c r="O182" s="200">
        <f t="shared" si="125"/>
        <v>26.655927661818367</v>
      </c>
      <c r="P182" s="200">
        <f t="shared" si="125"/>
        <v>27.00553040953406</v>
      </c>
      <c r="Q182" s="200">
        <f t="shared" si="125"/>
        <v>26.565412711380571</v>
      </c>
      <c r="R182" s="200">
        <f t="shared" si="125"/>
        <v>26.125295013227081</v>
      </c>
      <c r="S182" s="200">
        <f t="shared" si="125"/>
        <v>25.685177315073595</v>
      </c>
      <c r="T182" s="200">
        <f t="shared" si="125"/>
        <v>26.690972582655952</v>
      </c>
      <c r="U182" s="200">
        <f t="shared" si="125"/>
        <v>27.696767850238309</v>
      </c>
      <c r="V182" s="200">
        <f t="shared" si="125"/>
        <v>28.702563117820667</v>
      </c>
      <c r="W182" s="200">
        <f t="shared" si="125"/>
        <v>29.708358385403024</v>
      </c>
      <c r="X182" s="200">
        <f t="shared" si="125"/>
        <v>30.714153652985381</v>
      </c>
      <c r="Y182" s="200">
        <f t="shared" si="125"/>
        <v>31.719948920567738</v>
      </c>
      <c r="Z182" s="200">
        <f t="shared" si="126"/>
        <v>32.725744188150095</v>
      </c>
      <c r="AA182" s="200">
        <f t="shared" si="126"/>
        <v>33.731539455732452</v>
      </c>
      <c r="AB182" s="200">
        <f t="shared" si="125"/>
        <v>34.73733472331481</v>
      </c>
      <c r="AC182" s="200">
        <f t="shared" si="125"/>
        <v>35.743129990897167</v>
      </c>
      <c r="AD182" s="200">
        <f t="shared" si="125"/>
        <v>37.366103171087573</v>
      </c>
      <c r="AE182" s="200">
        <f t="shared" si="125"/>
        <v>38.98907635127798</v>
      </c>
      <c r="AF182" s="200">
        <f t="shared" si="125"/>
        <v>40.612049531468386</v>
      </c>
      <c r="AG182" s="200">
        <f t="shared" si="125"/>
        <v>42.235022711658793</v>
      </c>
      <c r="AH182" s="200">
        <f t="shared" si="125"/>
        <v>43.8579958918492</v>
      </c>
      <c r="AI182" s="200">
        <f t="shared" si="125"/>
        <v>45.480969072039606</v>
      </c>
      <c r="AJ182" s="200">
        <f t="shared" si="125"/>
        <v>47.103942252230013</v>
      </c>
      <c r="AK182" s="200">
        <f t="shared" si="125"/>
        <v>48.726915432420419</v>
      </c>
      <c r="AL182" s="200">
        <f t="shared" si="125"/>
        <v>50.349888612610826</v>
      </c>
      <c r="AM182" s="200">
        <f t="shared" si="125"/>
        <v>51.972861792801233</v>
      </c>
      <c r="AN182" s="200">
        <f t="shared" si="125"/>
        <v>65.170422943406763</v>
      </c>
      <c r="AO182" s="200">
        <f t="shared" si="125"/>
        <v>78.367984094012272</v>
      </c>
      <c r="AP182" s="200">
        <f t="shared" si="125"/>
        <v>78.367984094012272</v>
      </c>
      <c r="AQ182" s="200">
        <f t="shared" si="125"/>
        <v>78.367984094012272</v>
      </c>
      <c r="AZ182" s="200"/>
      <c r="BA182" s="200"/>
      <c r="BB182" s="200"/>
      <c r="BC182" s="200"/>
      <c r="BD182" s="200"/>
      <c r="BE182" s="200"/>
    </row>
    <row r="183" spans="1:57">
      <c r="A183" s="199" t="s">
        <v>16</v>
      </c>
      <c r="J183" s="145" t="str">
        <f t="shared" si="118"/>
        <v>TFREX</v>
      </c>
      <c r="K183" s="200">
        <f t="shared" si="125"/>
        <v>82</v>
      </c>
      <c r="L183" s="200">
        <f t="shared" si="125"/>
        <v>82</v>
      </c>
      <c r="M183" s="200">
        <f t="shared" si="125"/>
        <v>82</v>
      </c>
      <c r="N183" s="200">
        <f t="shared" si="125"/>
        <v>82</v>
      </c>
      <c r="O183" s="200">
        <f t="shared" si="125"/>
        <v>82</v>
      </c>
      <c r="P183" s="200">
        <f t="shared" si="125"/>
        <v>82</v>
      </c>
      <c r="Q183" s="200">
        <f t="shared" si="125"/>
        <v>79.765410049200213</v>
      </c>
      <c r="R183" s="200">
        <f t="shared" si="125"/>
        <v>77.530820098400426</v>
      </c>
      <c r="S183" s="200">
        <f t="shared" si="125"/>
        <v>75.296230147600639</v>
      </c>
      <c r="T183" s="200">
        <f t="shared" si="125"/>
        <v>77.385088910650026</v>
      </c>
      <c r="U183" s="200">
        <f t="shared" si="125"/>
        <v>79.473947673699413</v>
      </c>
      <c r="V183" s="200">
        <f t="shared" si="125"/>
        <v>81.562806436748801</v>
      </c>
      <c r="W183" s="200">
        <f t="shared" si="125"/>
        <v>83.651665199798188</v>
      </c>
      <c r="X183" s="200">
        <f t="shared" si="125"/>
        <v>85.740523962847575</v>
      </c>
      <c r="Y183" s="200">
        <f t="shared" si="125"/>
        <v>87.829382725896963</v>
      </c>
      <c r="Z183" s="200">
        <f t="shared" si="126"/>
        <v>89.91824148894635</v>
      </c>
      <c r="AA183" s="200">
        <f t="shared" si="126"/>
        <v>92.007100251995737</v>
      </c>
      <c r="AB183" s="200">
        <f t="shared" si="125"/>
        <v>94.095959015045125</v>
      </c>
      <c r="AC183" s="200">
        <f t="shared" si="125"/>
        <v>96.184817778094512</v>
      </c>
      <c r="AD183" s="200">
        <f t="shared" si="125"/>
        <v>99.447523086599105</v>
      </c>
      <c r="AE183" s="200">
        <f t="shared" si="125"/>
        <v>102.7102283951037</v>
      </c>
      <c r="AF183" s="200">
        <f t="shared" si="125"/>
        <v>105.97293370360829</v>
      </c>
      <c r="AG183" s="200">
        <f t="shared" si="125"/>
        <v>109.23563901211288</v>
      </c>
      <c r="AH183" s="200">
        <f t="shared" si="125"/>
        <v>112.49834432061748</v>
      </c>
      <c r="AI183" s="200">
        <f t="shared" si="125"/>
        <v>115.76104962912207</v>
      </c>
      <c r="AJ183" s="200">
        <f t="shared" si="125"/>
        <v>119.02375493762666</v>
      </c>
      <c r="AK183" s="200">
        <f t="shared" si="125"/>
        <v>122.28646024613126</v>
      </c>
      <c r="AL183" s="200">
        <f t="shared" si="125"/>
        <v>125.54916555463585</v>
      </c>
      <c r="AM183" s="200">
        <f t="shared" si="125"/>
        <v>128.81187086314046</v>
      </c>
      <c r="AN183" s="200">
        <f t="shared" si="125"/>
        <v>157.88701031374791</v>
      </c>
      <c r="AO183" s="200">
        <f t="shared" si="125"/>
        <v>186.96214976435544</v>
      </c>
      <c r="AP183" s="200">
        <f t="shared" si="125"/>
        <v>186.96214976435544</v>
      </c>
      <c r="AQ183" s="200">
        <f t="shared" si="125"/>
        <v>186.96214976435544</v>
      </c>
      <c r="AZ183" s="200"/>
      <c r="BA183" s="200"/>
      <c r="BB183" s="200"/>
      <c r="BC183" s="200"/>
      <c r="BD183" s="200"/>
      <c r="BE183" s="200"/>
    </row>
    <row r="184" spans="1:57">
      <c r="A184" s="199"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J277"/>
  <sheetViews>
    <sheetView topLeftCell="A171" zoomScale="76" zoomScaleNormal="76" workbookViewId="0">
      <selection activeCell="G15" sqref="G15"/>
    </sheetView>
  </sheetViews>
  <sheetFormatPr defaultColWidth="9.140625" defaultRowHeight="15"/>
  <cols>
    <col min="1" max="1" width="9" style="199" customWidth="1"/>
    <col min="2" max="2" width="11.140625" style="199" customWidth="1"/>
    <col min="3" max="3" width="42.85546875" style="199" customWidth="1"/>
    <col min="4" max="4" width="15.85546875" style="199" customWidth="1"/>
    <col min="5" max="5" width="10.140625" style="199" customWidth="1"/>
    <col min="6" max="7" width="7.42578125" style="199" customWidth="1"/>
    <col min="8" max="8" width="8.42578125" style="199" bestFit="1" customWidth="1"/>
    <col min="9" max="9" width="8.85546875" style="199" bestFit="1" customWidth="1"/>
    <col min="10" max="11" width="11.140625" style="199" bestFit="1" customWidth="1"/>
    <col min="12" max="12" width="9.140625" style="41" bestFit="1" customWidth="1"/>
    <col min="13" max="13" width="7.85546875" style="199" customWidth="1"/>
    <col min="14" max="14" width="7.7109375" style="199" customWidth="1"/>
    <col min="15" max="15" width="8.42578125" style="199" bestFit="1" customWidth="1"/>
    <col min="16" max="17" width="8.42578125" style="199" customWidth="1"/>
    <col min="18" max="18" width="7.5703125" style="199" customWidth="1"/>
    <col min="19" max="19" width="7.85546875" style="199" customWidth="1"/>
    <col min="20" max="20" width="9.42578125" style="199" customWidth="1"/>
    <col min="21" max="21" width="8.140625" style="199" customWidth="1"/>
    <col min="22" max="22" width="9.85546875" style="199" customWidth="1"/>
    <col min="23" max="23" width="9.42578125" style="199" customWidth="1"/>
    <col min="24" max="24" width="9.7109375" style="199" customWidth="1"/>
    <col min="25" max="42" width="7.7109375" style="199" customWidth="1"/>
    <col min="43" max="53" width="9.140625" style="199"/>
    <col min="54" max="54" width="19.140625" style="199" customWidth="1"/>
    <col min="55" max="16384" width="9.140625" style="199"/>
  </cols>
  <sheetData>
    <row r="1" spans="1:62">
      <c r="A1" s="199" t="str">
        <f>IF(TRA,"TS DATA","")</f>
        <v>TS DATA</v>
      </c>
      <c r="B1" s="199" t="s">
        <v>17</v>
      </c>
      <c r="D1" s="199">
        <f>DriversGams!C163</f>
        <v>2</v>
      </c>
      <c r="BA1" s="206" t="s">
        <v>223</v>
      </c>
      <c r="BB1" s="206" t="s">
        <v>540</v>
      </c>
      <c r="BC1" s="206" t="s">
        <v>197</v>
      </c>
      <c r="BD1" s="206" t="s">
        <v>544</v>
      </c>
      <c r="BE1" s="206"/>
      <c r="BF1" s="206"/>
      <c r="BG1" s="304" t="s">
        <v>624</v>
      </c>
      <c r="BH1" s="304"/>
      <c r="BI1" s="304"/>
      <c r="BJ1" s="206"/>
    </row>
    <row r="2" spans="1:62" ht="15.75" thickBot="1">
      <c r="A2" s="199" t="s">
        <v>16</v>
      </c>
      <c r="B2" s="301" t="s">
        <v>296</v>
      </c>
      <c r="C2" s="301"/>
      <c r="L2" s="150"/>
      <c r="M2" s="150"/>
      <c r="N2" s="150"/>
      <c r="O2" s="150"/>
      <c r="P2" s="34"/>
      <c r="Q2" s="34"/>
      <c r="R2" s="34"/>
      <c r="S2" s="34"/>
      <c r="T2" s="34"/>
      <c r="U2" s="34"/>
      <c r="V2" s="34"/>
      <c r="W2" s="34"/>
      <c r="X2" s="34"/>
      <c r="Y2" s="34"/>
      <c r="Z2" s="34"/>
      <c r="AA2" s="34"/>
      <c r="AB2" s="34"/>
      <c r="AC2" s="34"/>
      <c r="AD2" s="34"/>
      <c r="AE2" s="34"/>
      <c r="AF2" s="34"/>
      <c r="AG2" s="34"/>
      <c r="AH2" s="34"/>
      <c r="AI2" s="34"/>
      <c r="AJ2" s="34"/>
      <c r="BA2" s="206"/>
      <c r="BB2" s="206"/>
      <c r="BC2" s="206"/>
      <c r="BD2" s="206" t="s">
        <v>541</v>
      </c>
      <c r="BE2" s="206" t="s">
        <v>541</v>
      </c>
      <c r="BF2" s="206" t="s">
        <v>546</v>
      </c>
      <c r="BG2" s="206" t="s">
        <v>621</v>
      </c>
      <c r="BH2" s="206" t="s">
        <v>622</v>
      </c>
      <c r="BI2" s="206" t="s">
        <v>623</v>
      </c>
      <c r="BJ2" s="206"/>
    </row>
    <row r="3" spans="1:62">
      <c r="A3" s="199" t="s">
        <v>16</v>
      </c>
      <c r="B3" s="245"/>
      <c r="C3" s="206" t="str">
        <f>INDEX($BB$4:$BB$7,MATCH($D$3,$BA$4:$BA$7,0))</f>
        <v>NDC-PAMS-lo</v>
      </c>
      <c r="D3" s="210">
        <f>D1</f>
        <v>2</v>
      </c>
      <c r="L3" s="40"/>
      <c r="BA3" s="206"/>
      <c r="BB3" s="206"/>
      <c r="BC3" s="206"/>
      <c r="BD3" s="206" t="s">
        <v>542</v>
      </c>
      <c r="BE3" s="206" t="s">
        <v>543</v>
      </c>
      <c r="BF3" s="206"/>
      <c r="BG3" s="206"/>
      <c r="BH3" s="206"/>
      <c r="BI3" s="206"/>
      <c r="BJ3" s="206"/>
    </row>
    <row r="4" spans="1:62">
      <c r="A4" s="199" t="s">
        <v>16</v>
      </c>
      <c r="C4" s="5" t="s">
        <v>198</v>
      </c>
      <c r="D4" s="209">
        <f>INDEX($BC$4:$BC$7,MATCH($D$3,$BA$4:$BA$7,0))</f>
        <v>1</v>
      </c>
      <c r="E4" s="199">
        <v>2012</v>
      </c>
      <c r="F4" s="199">
        <v>2015</v>
      </c>
      <c r="G4" s="199">
        <v>2017</v>
      </c>
      <c r="H4" s="199">
        <v>2020</v>
      </c>
      <c r="I4" s="199">
        <v>2030</v>
      </c>
      <c r="J4" s="199">
        <v>2040</v>
      </c>
      <c r="K4" s="131">
        <v>2050</v>
      </c>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BA4" s="206">
        <v>-1</v>
      </c>
      <c r="BB4" s="206" t="s">
        <v>627</v>
      </c>
      <c r="BC4" s="206">
        <v>0</v>
      </c>
      <c r="BD4" s="197">
        <v>0.97499999999999998</v>
      </c>
      <c r="BE4" s="198">
        <v>0.95</v>
      </c>
      <c r="BF4" s="215">
        <v>1</v>
      </c>
      <c r="BG4" s="198">
        <v>0</v>
      </c>
      <c r="BH4" s="195">
        <v>0</v>
      </c>
      <c r="BI4" s="198">
        <v>0</v>
      </c>
      <c r="BJ4" s="206"/>
    </row>
    <row r="5" spans="1:62" ht="15.75" thickBot="1">
      <c r="A5" s="199" t="s">
        <v>16</v>
      </c>
      <c r="B5" s="244"/>
      <c r="C5" s="244"/>
      <c r="K5" s="131"/>
      <c r="L5" s="199"/>
      <c r="BA5" s="206">
        <v>1</v>
      </c>
      <c r="BB5" s="206" t="s">
        <v>628</v>
      </c>
      <c r="BC5" s="206">
        <v>1</v>
      </c>
      <c r="BD5" s="197">
        <v>0.97499999999999998</v>
      </c>
      <c r="BE5" s="198">
        <v>0.95</v>
      </c>
      <c r="BF5" s="215">
        <v>0</v>
      </c>
      <c r="BG5" s="198">
        <v>0</v>
      </c>
      <c r="BH5" s="195">
        <v>0</v>
      </c>
      <c r="BI5" s="198">
        <v>0</v>
      </c>
      <c r="BJ5" s="206"/>
    </row>
    <row r="6" spans="1:62">
      <c r="A6" s="199" t="s">
        <v>16</v>
      </c>
      <c r="E6" s="200"/>
      <c r="F6" s="200"/>
      <c r="G6" s="200"/>
      <c r="H6" s="200"/>
      <c r="I6" s="200"/>
      <c r="J6" s="200"/>
      <c r="K6" s="159"/>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BA6" s="206">
        <v>2</v>
      </c>
      <c r="BB6" s="206" t="s">
        <v>619</v>
      </c>
      <c r="BC6" s="206">
        <v>1</v>
      </c>
      <c r="BD6" s="197">
        <v>0.97499999999999998</v>
      </c>
      <c r="BE6" s="198">
        <v>0.95</v>
      </c>
      <c r="BF6" s="216">
        <v>1</v>
      </c>
      <c r="BG6" s="198">
        <v>0</v>
      </c>
      <c r="BH6" s="272">
        <v>0</v>
      </c>
      <c r="BI6" s="198">
        <v>0</v>
      </c>
      <c r="BJ6" s="206"/>
    </row>
    <row r="7" spans="1:62">
      <c r="A7" s="199" t="s">
        <v>16</v>
      </c>
      <c r="BA7" s="206">
        <v>3</v>
      </c>
      <c r="BB7" s="206" t="s">
        <v>629</v>
      </c>
      <c r="BC7" s="206">
        <v>1</v>
      </c>
      <c r="BD7" s="197">
        <v>0.97499999999999998</v>
      </c>
      <c r="BE7" s="198">
        <v>0.95</v>
      </c>
      <c r="BF7" s="216">
        <v>1</v>
      </c>
      <c r="BG7" s="197">
        <v>0.05</v>
      </c>
      <c r="BH7" s="197">
        <v>2.5000000000000001E-2</v>
      </c>
      <c r="BI7" s="197">
        <v>0.2</v>
      </c>
      <c r="BJ7" s="206"/>
    </row>
    <row r="8" spans="1:62">
      <c r="A8" s="199" t="s">
        <v>16</v>
      </c>
    </row>
    <row r="9" spans="1:62">
      <c r="A9" s="199" t="s">
        <v>16</v>
      </c>
    </row>
    <row r="10" spans="1:62">
      <c r="A10" s="199" t="s">
        <v>16</v>
      </c>
      <c r="B10" s="245"/>
      <c r="C10" s="245"/>
    </row>
    <row r="11" spans="1:62" ht="15.75" thickBot="1">
      <c r="A11" s="199" t="s">
        <v>16</v>
      </c>
      <c r="B11" s="244" t="s">
        <v>56</v>
      </c>
      <c r="E11" s="199">
        <f>MATCH(E12,Drivers!$C$5:$AG$5,0)</f>
        <v>1</v>
      </c>
      <c r="F11" s="199">
        <f>MATCH(F12,Drivers!$C$5:$AG$5,0)</f>
        <v>4</v>
      </c>
      <c r="G11" s="199">
        <f>MATCH(G12,Drivers!$C$5:$AG$5,0)</f>
        <v>6</v>
      </c>
      <c r="H11" s="199">
        <f>MATCH(H12,Drivers!$C$5:$AG$5,0)</f>
        <v>9</v>
      </c>
      <c r="I11" s="199">
        <f>MATCH(I12,Drivers!$C$5:$AG$5,0)</f>
        <v>19</v>
      </c>
      <c r="J11" s="199">
        <f>MATCH(J12,Drivers!$C$5:$AG$5,0)</f>
        <v>29</v>
      </c>
      <c r="K11" s="199">
        <f>MATCH(K12,Drivers!$C$5:$AG$5,0)</f>
        <v>31</v>
      </c>
      <c r="M11" s="5" t="s">
        <v>41</v>
      </c>
      <c r="S11" s="5" t="s">
        <v>197</v>
      </c>
    </row>
    <row r="12" spans="1:62" ht="15.75" thickBot="1">
      <c r="A12" s="199" t="s">
        <v>16</v>
      </c>
      <c r="D12" s="244"/>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row>
    <row r="13" spans="1:62">
      <c r="A13" s="199" t="s">
        <v>16</v>
      </c>
      <c r="C13" s="199" t="s">
        <v>49</v>
      </c>
      <c r="D13" s="199" t="s">
        <v>47</v>
      </c>
      <c r="E13" s="200">
        <f>INDEX(Drivers!$C$31:$AG$33,1,E$11)</f>
        <v>26.164390783448656</v>
      </c>
      <c r="F13" s="200">
        <f>INDEX(Drivers!$C$31:$AG$33,1,F$11)</f>
        <v>26.360993218184007</v>
      </c>
      <c r="G13" s="200">
        <f>INDEX(Drivers!$C$31:$AG$33,1,G$11)</f>
        <v>26.578764727799523</v>
      </c>
      <c r="H13" s="200">
        <f>INDEX(Drivers!$C$31:$AG$33,1,H$11)</f>
        <v>28.111589337230718</v>
      </c>
      <c r="I13" s="200">
        <f>INDEX(Drivers!$C$31:$AG$33,1,I$11)</f>
        <v>22.876934152996679</v>
      </c>
      <c r="J13" s="200">
        <f>INDEX(Drivers!$C$31:$AG$33,1,J$11)</f>
        <v>16.278935059402933</v>
      </c>
      <c r="K13" s="200">
        <f>INDEX(Drivers!$C$31:$AG$33,1,K$11)</f>
        <v>11.524488674982097</v>
      </c>
      <c r="M13" s="200">
        <f>E13</f>
        <v>26.164390783448656</v>
      </c>
      <c r="N13" s="200">
        <f t="shared" ref="N13:Q15" si="0">H13</f>
        <v>28.111589337230718</v>
      </c>
      <c r="O13" s="200">
        <f t="shared" si="0"/>
        <v>22.876934152996679</v>
      </c>
      <c r="P13" s="200">
        <f t="shared" si="0"/>
        <v>16.278935059402933</v>
      </c>
      <c r="Q13" s="200">
        <f t="shared" si="0"/>
        <v>11.524488674982097</v>
      </c>
      <c r="S13" s="200">
        <f>E13</f>
        <v>26.164390783448656</v>
      </c>
      <c r="T13" s="200">
        <f t="shared" ref="T13:W15" si="1">H13</f>
        <v>28.111589337230718</v>
      </c>
      <c r="U13" s="200">
        <f t="shared" si="1"/>
        <v>22.876934152996679</v>
      </c>
      <c r="V13" s="200">
        <f t="shared" si="1"/>
        <v>16.278935059402933</v>
      </c>
      <c r="W13" s="200">
        <f t="shared" si="1"/>
        <v>11.524488674982097</v>
      </c>
    </row>
    <row r="14" spans="1:62">
      <c r="A14" s="199" t="s">
        <v>16</v>
      </c>
      <c r="C14" s="199" t="s">
        <v>51</v>
      </c>
      <c r="D14" s="199" t="s">
        <v>47</v>
      </c>
      <c r="E14" s="200">
        <f>INDEX(Drivers!$C$31:$AG$33,2,E$11)</f>
        <v>15.698634470069196</v>
      </c>
      <c r="F14" s="200">
        <f>INDEX(Drivers!$C$31:$AG$33,2,F$11)</f>
        <v>16.60012737178209</v>
      </c>
      <c r="G14" s="200">
        <f>INDEX(Drivers!$C$31:$AG$33,2,G$11)</f>
        <v>17.298814732088275</v>
      </c>
      <c r="H14" s="200">
        <f>INDEX(Drivers!$C$31:$AG$33,2,H$11)</f>
        <v>19.201285369797056</v>
      </c>
      <c r="I14" s="200">
        <f>INDEX(Drivers!$C$31:$AG$33,2,I$11)</f>
        <v>24.06096742215124</v>
      </c>
      <c r="J14" s="200">
        <f>INDEX(Drivers!$C$31:$AG$33,2,J$11)</f>
        <v>28.553913135980249</v>
      </c>
      <c r="K14" s="200">
        <f>INDEX(Drivers!$C$31:$AG$33,2,K$11)</f>
        <v>30.593228691543604</v>
      </c>
      <c r="M14" s="200">
        <f>E14</f>
        <v>15.698634470069196</v>
      </c>
      <c r="N14" s="200">
        <f t="shared" si="0"/>
        <v>19.201285369797056</v>
      </c>
      <c r="O14" s="200">
        <f t="shared" si="0"/>
        <v>24.06096742215124</v>
      </c>
      <c r="P14" s="200">
        <f t="shared" si="0"/>
        <v>28.553913135980249</v>
      </c>
      <c r="Q14" s="200">
        <f t="shared" si="0"/>
        <v>30.593228691543604</v>
      </c>
      <c r="S14" s="200">
        <f>E14</f>
        <v>15.698634470069196</v>
      </c>
      <c r="T14" s="200">
        <f t="shared" si="1"/>
        <v>19.201285369797056</v>
      </c>
      <c r="U14" s="200">
        <f t="shared" si="1"/>
        <v>24.06096742215124</v>
      </c>
      <c r="V14" s="200">
        <f t="shared" si="1"/>
        <v>28.553913135980249</v>
      </c>
      <c r="W14" s="200">
        <f t="shared" si="1"/>
        <v>30.593228691543604</v>
      </c>
    </row>
    <row r="15" spans="1:62">
      <c r="A15" s="199" t="s">
        <v>16</v>
      </c>
      <c r="C15" s="199" t="s">
        <v>50</v>
      </c>
      <c r="D15" s="199" t="s">
        <v>47</v>
      </c>
      <c r="E15" s="200">
        <f>INDEX(Drivers!$C$31:$AG$33,3,E$11)</f>
        <v>10.46240762855223</v>
      </c>
      <c r="F15" s="200">
        <f>INDEX(Drivers!$C$31:$AG$33,3,F$11)</f>
        <v>11.789370867355018</v>
      </c>
      <c r="G15" s="200">
        <f>INDEX(Drivers!$C$31:$AG$33,3,G$11)</f>
        <v>12.644368581760297</v>
      </c>
      <c r="H15" s="200">
        <f>INDEX(Drivers!$C$31:$AG$33,3,H$11)</f>
        <v>11.995815292972233</v>
      </c>
      <c r="I15" s="200">
        <f>INDEX(Drivers!$C$31:$AG$33,3,I$11)</f>
        <v>19.018188424852077</v>
      </c>
      <c r="J15" s="200">
        <f>INDEX(Drivers!$C$31:$AG$33,3,J$11)</f>
        <v>26.542457804616809</v>
      </c>
      <c r="K15" s="200">
        <f>INDEX(Drivers!$C$31:$AG$33,3,K$11)</f>
        <v>33.400191633474286</v>
      </c>
      <c r="M15" s="200">
        <f>E15</f>
        <v>10.46240762855223</v>
      </c>
      <c r="N15" s="200">
        <f t="shared" si="0"/>
        <v>11.995815292972233</v>
      </c>
      <c r="O15" s="200">
        <f t="shared" si="0"/>
        <v>19.018188424852077</v>
      </c>
      <c r="P15" s="200">
        <f t="shared" si="0"/>
        <v>26.542457804616809</v>
      </c>
      <c r="Q15" s="200">
        <f t="shared" si="0"/>
        <v>33.400191633474286</v>
      </c>
      <c r="S15" s="200">
        <f>E15</f>
        <v>10.46240762855223</v>
      </c>
      <c r="T15" s="200">
        <f t="shared" si="1"/>
        <v>11.995815292972233</v>
      </c>
      <c r="U15" s="200">
        <f t="shared" si="1"/>
        <v>19.018188424852077</v>
      </c>
      <c r="V15" s="200">
        <f t="shared" si="1"/>
        <v>26.542457804616809</v>
      </c>
      <c r="W15" s="200">
        <f t="shared" si="1"/>
        <v>33.400191633474286</v>
      </c>
      <c r="BD15" s="30"/>
    </row>
    <row r="16" spans="1:62">
      <c r="A16" s="199" t="s">
        <v>16</v>
      </c>
      <c r="E16" s="3">
        <f t="shared" ref="E16:K16" si="2">SUM(E13:E15)</f>
        <v>52.325432882070082</v>
      </c>
      <c r="F16" s="3">
        <f>SUM(F13:F15)</f>
        <v>54.750491457321118</v>
      </c>
      <c r="G16" s="3">
        <f>SUM(G13:G15)</f>
        <v>56.521948041648095</v>
      </c>
      <c r="H16" s="3">
        <f t="shared" si="2"/>
        <v>59.308690000000006</v>
      </c>
      <c r="I16" s="3">
        <f t="shared" si="2"/>
        <v>65.956089999999989</v>
      </c>
      <c r="J16" s="3">
        <f t="shared" si="2"/>
        <v>71.375305999999995</v>
      </c>
      <c r="K16" s="3">
        <f t="shared" si="2"/>
        <v>75.517908999999989</v>
      </c>
      <c r="M16" s="3">
        <f>SUM(M13:M15)</f>
        <v>52.325432882070082</v>
      </c>
      <c r="N16" s="3">
        <f>SUM(N13:N15)</f>
        <v>59.308690000000006</v>
      </c>
      <c r="O16" s="3">
        <f>SUM(O13:O15)</f>
        <v>65.956089999999989</v>
      </c>
      <c r="P16" s="3">
        <f>SUM(P13:P15)</f>
        <v>71.375305999999995</v>
      </c>
      <c r="Q16" s="3">
        <f>SUM(Q13:Q15)</f>
        <v>75.517908999999989</v>
      </c>
      <c r="S16" s="49">
        <f>SUM(S13:S15)</f>
        <v>52.325432882070082</v>
      </c>
      <c r="T16" s="49">
        <f>SUM(T13:T15)</f>
        <v>59.308690000000006</v>
      </c>
      <c r="U16" s="49">
        <f>SUM(U13:U15)</f>
        <v>65.956089999999989</v>
      </c>
      <c r="V16" s="49">
        <f>SUM(V13:V15)</f>
        <v>71.375305999999995</v>
      </c>
      <c r="W16" s="49">
        <f>SUM(W13:W15)</f>
        <v>75.517908999999989</v>
      </c>
      <c r="BD16" s="30"/>
    </row>
    <row r="17" spans="1:56">
      <c r="A17" s="199" t="s">
        <v>16</v>
      </c>
      <c r="B17" s="245"/>
      <c r="BD17" s="30"/>
    </row>
    <row r="18" spans="1:56" ht="15.75" thickBot="1">
      <c r="A18" s="199" t="s">
        <v>16</v>
      </c>
      <c r="B18" s="28"/>
      <c r="C18" s="244" t="s">
        <v>58</v>
      </c>
      <c r="D18" s="244"/>
      <c r="E18" s="7">
        <v>2012</v>
      </c>
      <c r="F18" s="7">
        <v>2015</v>
      </c>
      <c r="G18" s="7">
        <f>G12</f>
        <v>2017</v>
      </c>
      <c r="H18" s="7">
        <v>2020</v>
      </c>
      <c r="I18" s="7">
        <v>2030</v>
      </c>
      <c r="J18" s="7">
        <v>2040</v>
      </c>
      <c r="K18" s="7">
        <v>2050</v>
      </c>
    </row>
    <row r="19" spans="1:56">
      <c r="A19" s="199" t="s">
        <v>16</v>
      </c>
      <c r="B19" s="245"/>
      <c r="C19" s="199" t="s">
        <v>7</v>
      </c>
      <c r="D19" s="36" t="s">
        <v>512</v>
      </c>
      <c r="E19" s="10">
        <f>RES!E43</f>
        <v>1</v>
      </c>
      <c r="F19" s="10">
        <f>RES!E43</f>
        <v>1</v>
      </c>
      <c r="G19" s="232">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56">
      <c r="A20" s="199" t="s">
        <v>16</v>
      </c>
      <c r="B20" s="245"/>
      <c r="C20" s="245" t="s">
        <v>8</v>
      </c>
      <c r="D20" s="36" t="s">
        <v>512</v>
      </c>
      <c r="E20" s="10">
        <f>RES!E44</f>
        <v>1</v>
      </c>
      <c r="F20" s="10">
        <f>RES!E44</f>
        <v>1</v>
      </c>
      <c r="G20" s="232">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56">
      <c r="A21" s="199" t="s">
        <v>16</v>
      </c>
      <c r="C21" s="245" t="s">
        <v>406</v>
      </c>
      <c r="D21" s="36" t="s">
        <v>512</v>
      </c>
      <c r="E21" s="10">
        <f>RES!E45</f>
        <v>1</v>
      </c>
      <c r="F21" s="10">
        <f>RES!E45</f>
        <v>1</v>
      </c>
      <c r="G21" s="232">
        <f t="shared" si="3"/>
        <v>0.97610921501706494</v>
      </c>
      <c r="H21" s="10">
        <f>RES!F45</f>
        <v>0.95221843003412987</v>
      </c>
      <c r="I21" s="10">
        <f>RES!G45</f>
        <v>1.4534975989004102</v>
      </c>
      <c r="J21" s="10">
        <f>RES!H45</f>
        <v>2.3000370272294726</v>
      </c>
      <c r="K21" s="10">
        <f>RES!I45</f>
        <v>3.4578865447130722</v>
      </c>
      <c r="L21" s="44"/>
      <c r="M21" s="10"/>
      <c r="N21" s="47">
        <v>0.25</v>
      </c>
      <c r="O21" s="47">
        <f>N21</f>
        <v>0.25</v>
      </c>
      <c r="P21" s="47">
        <f>O21</f>
        <v>0.25</v>
      </c>
      <c r="Q21" s="47">
        <f>P21</f>
        <v>0.25</v>
      </c>
      <c r="R21" s="10"/>
      <c r="T21" s="118"/>
      <c r="U21" s="10"/>
      <c r="V21" s="10"/>
      <c r="W21" s="10"/>
      <c r="X21" s="10"/>
      <c r="Y21" s="10"/>
      <c r="Z21" s="10"/>
      <c r="AA21" s="10"/>
      <c r="AB21" s="10"/>
      <c r="AC21" s="10"/>
      <c r="AD21" s="10"/>
      <c r="AE21" s="10"/>
      <c r="AF21" s="10"/>
      <c r="AG21" s="10"/>
      <c r="AH21" s="10"/>
      <c r="AI21" s="10"/>
      <c r="AJ21" s="10"/>
      <c r="AK21" s="10"/>
      <c r="AL21" s="10"/>
      <c r="AM21" s="8"/>
      <c r="AN21" s="8"/>
      <c r="AO21" s="8"/>
      <c r="AP21" s="8"/>
    </row>
    <row r="22" spans="1:56">
      <c r="A22" s="199" t="s">
        <v>16</v>
      </c>
      <c r="C22" s="245"/>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56">
      <c r="A23" s="199" t="s">
        <v>16</v>
      </c>
      <c r="B23" s="245"/>
      <c r="C23" s="245"/>
      <c r="S23" s="199" t="s">
        <v>199</v>
      </c>
    </row>
    <row r="24" spans="1:56" ht="15.75" thickBot="1">
      <c r="A24" s="199" t="s">
        <v>16</v>
      </c>
      <c r="B24" s="244" t="s">
        <v>160</v>
      </c>
      <c r="D24" s="244"/>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56">
      <c r="A25" s="199" t="s">
        <v>16</v>
      </c>
      <c r="B25" s="245"/>
      <c r="C25" s="245" t="str">
        <f>C19</f>
        <v>Low Income</v>
      </c>
      <c r="D25" s="199" t="s">
        <v>48</v>
      </c>
      <c r="E25" s="247">
        <f>[2]Calib_1011!$H$86</f>
        <v>0.02</v>
      </c>
      <c r="F25" s="66">
        <f t="shared" ref="F25:G27" si="4">IF($D$4,S25,M25)</f>
        <v>0.02</v>
      </c>
      <c r="G25" s="66">
        <f t="shared" si="4"/>
        <v>0.02</v>
      </c>
      <c r="H25" s="66">
        <f t="shared" ref="H25:K27" si="5">IF($D$4,T25,N25)</f>
        <v>0.02</v>
      </c>
      <c r="I25" s="66">
        <f t="shared" si="5"/>
        <v>0.05</v>
      </c>
      <c r="J25" s="66">
        <f t="shared" si="5"/>
        <v>0.04</v>
      </c>
      <c r="K25" s="66">
        <f t="shared" si="5"/>
        <v>0.04</v>
      </c>
      <c r="L25" s="257"/>
      <c r="M25" s="66">
        <f>E25</f>
        <v>0.02</v>
      </c>
      <c r="N25" s="35">
        <f>M25</f>
        <v>0.02</v>
      </c>
      <c r="O25" s="35">
        <f t="shared" ref="O25:Q26" si="6">N25</f>
        <v>0.02</v>
      </c>
      <c r="P25" s="35">
        <f t="shared" si="6"/>
        <v>0.02</v>
      </c>
      <c r="Q25" s="35">
        <f t="shared" si="6"/>
        <v>0.02</v>
      </c>
      <c r="R25" s="258"/>
      <c r="S25" s="66">
        <f>M25</f>
        <v>0.02</v>
      </c>
      <c r="T25" s="77">
        <f>N25</f>
        <v>0.02</v>
      </c>
      <c r="U25" s="77">
        <v>0.05</v>
      </c>
      <c r="V25" s="77">
        <v>0.04</v>
      </c>
      <c r="W25" s="77">
        <v>0.04</v>
      </c>
      <c r="X25" s="258"/>
      <c r="Y25" s="258"/>
      <c r="Z25" s="258"/>
      <c r="AA25" s="258"/>
      <c r="AB25" s="258"/>
      <c r="AC25" s="258"/>
      <c r="AD25" s="258"/>
      <c r="AE25" s="258"/>
      <c r="AF25" s="258"/>
      <c r="AG25" s="258"/>
      <c r="AH25" s="258"/>
      <c r="AI25" s="258"/>
      <c r="AJ25" s="258"/>
      <c r="AK25" s="258"/>
      <c r="AL25" s="258"/>
      <c r="AM25" s="258"/>
      <c r="AN25" s="258"/>
      <c r="AO25" s="258"/>
      <c r="AP25" s="258"/>
    </row>
    <row r="26" spans="1:56">
      <c r="A26" s="199" t="s">
        <v>16</v>
      </c>
      <c r="B26" s="207">
        <f>INDEX($BE$4:$BE$7,MATCH($D$3,$BA$4:$BA$7,0))</f>
        <v>0.95</v>
      </c>
      <c r="C26" s="245" t="str">
        <f>C20</f>
        <v>Middle Income</v>
      </c>
      <c r="D26" s="199" t="s">
        <v>48</v>
      </c>
      <c r="E26" s="247">
        <f>[2]Calib_1011!$I$86</f>
        <v>0.53</v>
      </c>
      <c r="F26" s="66">
        <f t="shared" si="4"/>
        <v>0.53</v>
      </c>
      <c r="G26" s="66">
        <f t="shared" si="4"/>
        <v>0.53</v>
      </c>
      <c r="H26" s="66">
        <f t="shared" si="5"/>
        <v>0.53</v>
      </c>
      <c r="I26" s="66">
        <f t="shared" si="5"/>
        <v>0.50349999999999995</v>
      </c>
      <c r="J26" s="66">
        <f t="shared" si="5"/>
        <v>0.47832499999999994</v>
      </c>
      <c r="K26" s="66">
        <f t="shared" si="5"/>
        <v>0.45440874999999992</v>
      </c>
      <c r="L26" s="257"/>
      <c r="M26" s="66">
        <f>E26</f>
        <v>0.53</v>
      </c>
      <c r="N26" s="35">
        <f>M26</f>
        <v>0.53</v>
      </c>
      <c r="O26" s="35">
        <f t="shared" si="6"/>
        <v>0.53</v>
      </c>
      <c r="P26" s="35">
        <f t="shared" si="6"/>
        <v>0.53</v>
      </c>
      <c r="Q26" s="35">
        <f t="shared" si="6"/>
        <v>0.53</v>
      </c>
      <c r="R26" s="258"/>
      <c r="S26" s="66">
        <f>M26</f>
        <v>0.53</v>
      </c>
      <c r="T26" s="77">
        <f t="shared" ref="T26:T27" si="7">N26</f>
        <v>0.53</v>
      </c>
      <c r="U26" s="77">
        <f>IF(INDEX($BF$4:$BF$7,MATCH($D$3,$BA$4:$BA$7,0)),T26*$B$26,T26)</f>
        <v>0.50349999999999995</v>
      </c>
      <c r="V26" s="77">
        <f>IF(INDEX($BF$4:$BF$7,MATCH($D$3,$BA$4:$BA$7,0)),U26*$B$26,U26)</f>
        <v>0.47832499999999994</v>
      </c>
      <c r="W26" s="77">
        <f>IF(INDEX($BF$4:$BF$7,MATCH($D$3,$BA$4:$BA$7,0)),V26*$B$26,V26)</f>
        <v>0.45440874999999992</v>
      </c>
      <c r="X26" s="258"/>
      <c r="Y26" s="258"/>
      <c r="Z26" s="258"/>
      <c r="AA26" s="258"/>
      <c r="AB26" s="258"/>
      <c r="AC26" s="258"/>
      <c r="AD26" s="258"/>
      <c r="AE26" s="258"/>
      <c r="AF26" s="258"/>
      <c r="AG26" s="258"/>
      <c r="AH26" s="258"/>
      <c r="AI26" s="258"/>
      <c r="AJ26" s="258"/>
      <c r="AK26" s="258"/>
      <c r="AL26" s="258"/>
      <c r="AM26" s="258"/>
      <c r="AN26" s="258"/>
      <c r="AO26" s="258"/>
      <c r="AP26" s="258"/>
    </row>
    <row r="27" spans="1:56">
      <c r="A27" s="199" t="s">
        <v>16</v>
      </c>
      <c r="B27" s="207">
        <f>INDEX($BD$4:$BD$7,MATCH($D$3,$BA$4:$BA$7,0))</f>
        <v>0.97499999999999998</v>
      </c>
      <c r="C27" s="245" t="str">
        <f>C21</f>
        <v>High Income</v>
      </c>
      <c r="D27" s="199" t="s">
        <v>48</v>
      </c>
      <c r="E27" s="299">
        <v>0.76</v>
      </c>
      <c r="F27" s="66">
        <f t="shared" si="4"/>
        <v>0.76</v>
      </c>
      <c r="G27" s="66">
        <f t="shared" si="4"/>
        <v>0.76</v>
      </c>
      <c r="H27" s="66">
        <f t="shared" si="5"/>
        <v>0.76</v>
      </c>
      <c r="I27" s="66">
        <f t="shared" si="5"/>
        <v>0.74099999999999999</v>
      </c>
      <c r="J27" s="66">
        <f t="shared" si="5"/>
        <v>0.72247499999999998</v>
      </c>
      <c r="K27" s="66">
        <f t="shared" si="5"/>
        <v>0.70441312499999997</v>
      </c>
      <c r="L27" s="257"/>
      <c r="M27" s="66">
        <f>E27</f>
        <v>0.76</v>
      </c>
      <c r="N27" s="35">
        <f>M27</f>
        <v>0.76</v>
      </c>
      <c r="O27" s="35">
        <f>N27</f>
        <v>0.76</v>
      </c>
      <c r="P27" s="35">
        <f>O27</f>
        <v>0.76</v>
      </c>
      <c r="Q27" s="35">
        <f>P27</f>
        <v>0.76</v>
      </c>
      <c r="R27" s="258"/>
      <c r="S27" s="66">
        <f>M27</f>
        <v>0.76</v>
      </c>
      <c r="T27" s="77">
        <f t="shared" si="7"/>
        <v>0.76</v>
      </c>
      <c r="U27" s="77">
        <f>IF(INDEX($BF$4:$BF$7,MATCH($D$3,$BA$4:$BA$7,0)),T27*$B$27,T27)</f>
        <v>0.74099999999999999</v>
      </c>
      <c r="V27" s="77">
        <f>IF(INDEX($BF$4:$BF$7,MATCH($D$3,$BA$4:$BA$7,0)),U27*$B$27,U27)</f>
        <v>0.72247499999999998</v>
      </c>
      <c r="W27" s="77">
        <f>IF(INDEX($BF$4:$BF$7,MATCH($D$3,$BA$4:$BA$7,0)),V27*$B$27,V27)</f>
        <v>0.70441312499999997</v>
      </c>
      <c r="X27" s="258"/>
      <c r="Y27" s="258"/>
      <c r="Z27" s="258"/>
      <c r="AA27" s="258"/>
      <c r="AB27" s="258"/>
      <c r="AC27" s="258"/>
      <c r="AD27" s="258"/>
      <c r="AE27" s="258"/>
      <c r="AF27" s="258"/>
      <c r="AG27" s="258"/>
      <c r="AH27" s="258"/>
      <c r="AI27" s="258"/>
      <c r="AJ27" s="258"/>
      <c r="AK27" s="258"/>
      <c r="AL27" s="258"/>
      <c r="AM27" s="258"/>
      <c r="AN27" s="258"/>
      <c r="AO27" s="258"/>
      <c r="AP27" s="258"/>
    </row>
    <row r="28" spans="1:56">
      <c r="A28" s="199" t="s">
        <v>16</v>
      </c>
      <c r="B28" s="245"/>
      <c r="C28" s="245"/>
      <c r="S28" s="199" t="s">
        <v>200</v>
      </c>
      <c r="T28" s="204"/>
      <c r="U28" s="204"/>
      <c r="V28" s="34"/>
    </row>
    <row r="29" spans="1:56" ht="15.75" thickBot="1">
      <c r="A29" s="199" t="s">
        <v>16</v>
      </c>
      <c r="B29" s="244" t="s">
        <v>188</v>
      </c>
      <c r="D29" s="244"/>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56">
      <c r="A30" s="199" t="s">
        <v>16</v>
      </c>
      <c r="C30" s="245" t="str">
        <f>C25</f>
        <v>Low Income</v>
      </c>
      <c r="D30" s="199" t="s">
        <v>48</v>
      </c>
      <c r="E30" s="51">
        <f>[2]Calib_1011!$H$93</f>
        <v>0.25</v>
      </c>
      <c r="F30" s="65">
        <f t="shared" ref="F30:G32" si="8">IF($D$4,S30,M30)</f>
        <v>0.25</v>
      </c>
      <c r="G30" s="65">
        <f t="shared" si="8"/>
        <v>0.25</v>
      </c>
      <c r="H30" s="65">
        <f t="shared" ref="H30:K32" si="9">IF($D$4,T30,N30)</f>
        <v>0.25</v>
      </c>
      <c r="I30" s="65">
        <f t="shared" si="9"/>
        <v>0.23749999999999999</v>
      </c>
      <c r="J30" s="65">
        <f t="shared" si="9"/>
        <v>0.22562499999999999</v>
      </c>
      <c r="K30" s="65">
        <f t="shared" si="9"/>
        <v>0.21434374999999997</v>
      </c>
      <c r="L30" s="43"/>
      <c r="M30" s="65">
        <f>E30</f>
        <v>0.25</v>
      </c>
      <c r="N30" s="47">
        <f>M30</f>
        <v>0.25</v>
      </c>
      <c r="O30" s="47">
        <f t="shared" ref="O30:Q31" si="10">N30</f>
        <v>0.25</v>
      </c>
      <c r="P30" s="47">
        <f t="shared" si="10"/>
        <v>0.25</v>
      </c>
      <c r="Q30" s="47">
        <f t="shared" si="10"/>
        <v>0.25</v>
      </c>
      <c r="R30" s="246"/>
      <c r="S30" s="65">
        <f>M30</f>
        <v>0.25</v>
      </c>
      <c r="T30" s="78">
        <f>N30</f>
        <v>0.25</v>
      </c>
      <c r="U30" s="78">
        <f t="shared" ref="U30:W31" si="11">T30*0.95</f>
        <v>0.23749999999999999</v>
      </c>
      <c r="V30" s="78">
        <f t="shared" si="11"/>
        <v>0.22562499999999999</v>
      </c>
      <c r="W30" s="78">
        <f t="shared" si="11"/>
        <v>0.21434374999999997</v>
      </c>
      <c r="X30" s="246"/>
      <c r="Y30" s="246"/>
      <c r="Z30" s="246"/>
      <c r="AA30" s="246"/>
      <c r="AB30" s="246"/>
      <c r="AC30" s="246"/>
      <c r="AD30" s="246"/>
      <c r="AE30" s="246"/>
      <c r="AF30" s="246"/>
      <c r="AG30" s="246"/>
      <c r="AH30" s="246"/>
      <c r="AI30" s="246"/>
      <c r="AJ30" s="246"/>
      <c r="AK30" s="246"/>
      <c r="AL30" s="246"/>
      <c r="AM30" s="246"/>
      <c r="AN30" s="246"/>
      <c r="AO30" s="246"/>
      <c r="AP30" s="246"/>
    </row>
    <row r="31" spans="1:56">
      <c r="A31" s="199" t="s">
        <v>16</v>
      </c>
      <c r="C31" s="245" t="str">
        <f>C26</f>
        <v>Middle Income</v>
      </c>
      <c r="D31" s="199" t="s">
        <v>48</v>
      </c>
      <c r="E31" s="51">
        <f>[2]Calib_1011!$I$93</f>
        <v>0.31311637080867849</v>
      </c>
      <c r="F31" s="65">
        <f t="shared" si="8"/>
        <v>0.31311637080867849</v>
      </c>
      <c r="G31" s="65">
        <f t="shared" si="8"/>
        <v>0.31311637080867849</v>
      </c>
      <c r="H31" s="65">
        <f t="shared" si="9"/>
        <v>0.31311637080867849</v>
      </c>
      <c r="I31" s="65">
        <f t="shared" si="9"/>
        <v>0.29746055226824453</v>
      </c>
      <c r="J31" s="65">
        <f t="shared" si="9"/>
        <v>0.28258752465483228</v>
      </c>
      <c r="K31" s="65">
        <f t="shared" si="9"/>
        <v>0.26845814842209065</v>
      </c>
      <c r="L31" s="43"/>
      <c r="M31" s="65">
        <f>E31</f>
        <v>0.31311637080867849</v>
      </c>
      <c r="N31" s="47">
        <f>M31</f>
        <v>0.31311637080867849</v>
      </c>
      <c r="O31" s="47">
        <f t="shared" si="10"/>
        <v>0.31311637080867849</v>
      </c>
      <c r="P31" s="47">
        <f t="shared" si="10"/>
        <v>0.31311637080867849</v>
      </c>
      <c r="Q31" s="47">
        <f t="shared" si="10"/>
        <v>0.31311637080867849</v>
      </c>
      <c r="R31" s="246"/>
      <c r="S31" s="65">
        <f>M31</f>
        <v>0.31311637080867849</v>
      </c>
      <c r="T31" s="78">
        <f t="shared" ref="T31:T32" si="12">N31</f>
        <v>0.31311637080867849</v>
      </c>
      <c r="U31" s="78">
        <f t="shared" si="11"/>
        <v>0.29746055226824453</v>
      </c>
      <c r="V31" s="78">
        <f t="shared" si="11"/>
        <v>0.28258752465483228</v>
      </c>
      <c r="W31" s="78">
        <f t="shared" si="11"/>
        <v>0.26845814842209065</v>
      </c>
      <c r="X31" s="246"/>
      <c r="Y31" s="246"/>
      <c r="Z31" s="246"/>
      <c r="AA31" s="246"/>
      <c r="AB31" s="246"/>
      <c r="AC31" s="246"/>
      <c r="AD31" s="246"/>
      <c r="AE31" s="246"/>
      <c r="AF31" s="246"/>
      <c r="AG31" s="246"/>
      <c r="AH31" s="246"/>
      <c r="AI31" s="246"/>
      <c r="AJ31" s="246"/>
      <c r="AK31" s="246"/>
      <c r="AL31" s="246"/>
      <c r="AM31" s="246"/>
      <c r="AN31" s="246"/>
      <c r="AO31" s="246"/>
      <c r="AP31" s="246"/>
    </row>
    <row r="32" spans="1:56">
      <c r="A32" s="199" t="s">
        <v>16</v>
      </c>
      <c r="C32" s="245" t="str">
        <f>C27</f>
        <v>High Income</v>
      </c>
      <c r="D32" s="199" t="s">
        <v>48</v>
      </c>
      <c r="E32" s="51">
        <f>[2]Calib_1011!$J$93</f>
        <v>0.41283463855351005</v>
      </c>
      <c r="F32" s="65">
        <f t="shared" si="8"/>
        <v>0.41283463855351005</v>
      </c>
      <c r="G32" s="65">
        <f t="shared" si="8"/>
        <v>0.40790316676191524</v>
      </c>
      <c r="H32" s="65">
        <f t="shared" si="9"/>
        <v>0.40790316676191524</v>
      </c>
      <c r="I32" s="65">
        <f t="shared" si="9"/>
        <v>0.39770558759286734</v>
      </c>
      <c r="J32" s="65">
        <f t="shared" si="9"/>
        <v>0.38776294790304566</v>
      </c>
      <c r="K32" s="65">
        <f t="shared" si="9"/>
        <v>0.37806887420546953</v>
      </c>
      <c r="L32" s="43"/>
      <c r="M32" s="65">
        <f>E32</f>
        <v>0.41283463855351005</v>
      </c>
      <c r="N32" s="47">
        <f>M32*(1+N21*(H21/F21-1))</f>
        <v>0.40790316676191524</v>
      </c>
      <c r="O32" s="47">
        <f>N32*(1+O21*(I21/H21-1))</f>
        <v>0.46158658486300358</v>
      </c>
      <c r="P32" s="47">
        <f>O32*(1+P21*(J21/I21-1))</f>
        <v>0.52879537213067773</v>
      </c>
      <c r="Q32" s="47">
        <f>P32*(1+Q21*(K21/J21-1))</f>
        <v>0.59534489494494469</v>
      </c>
      <c r="R32" s="246"/>
      <c r="S32" s="65">
        <f>M32</f>
        <v>0.41283463855351005</v>
      </c>
      <c r="T32" s="78">
        <f t="shared" si="12"/>
        <v>0.40790316676191524</v>
      </c>
      <c r="U32" s="77">
        <f>IF(INDEX($BF$4:$BF$7,MATCH($D$3,$BA$4:$BA$7,0)),T32*$B$27,T32)</f>
        <v>0.39770558759286734</v>
      </c>
      <c r="V32" s="77">
        <f>IF(INDEX($BF$4:$BF$7,MATCH($D$3,$BA$4:$BA$7,0)),U32*$B$27,U32)</f>
        <v>0.38776294790304566</v>
      </c>
      <c r="W32" s="77">
        <f>IF(INDEX($BF$4:$BF$7,MATCH($D$3,$BA$4:$BA$7,0)),V32*$B$27,V32)</f>
        <v>0.37806887420546953</v>
      </c>
      <c r="X32" s="246"/>
      <c r="Y32" s="246"/>
      <c r="Z32" s="246"/>
      <c r="AA32" s="246"/>
      <c r="AB32" s="246"/>
      <c r="AC32" s="246"/>
      <c r="AD32" s="246"/>
      <c r="AE32" s="246"/>
      <c r="AF32" s="246"/>
      <c r="AG32" s="246"/>
      <c r="AH32" s="246"/>
      <c r="AI32" s="246"/>
      <c r="AJ32" s="246"/>
      <c r="AK32" s="246"/>
      <c r="AL32" s="246"/>
      <c r="AM32" s="246"/>
      <c r="AN32" s="246"/>
      <c r="AO32" s="246"/>
      <c r="AP32" s="246"/>
    </row>
    <row r="33" spans="1:42">
      <c r="A33" s="199" t="s">
        <v>16</v>
      </c>
      <c r="C33" s="245"/>
      <c r="L33" s="43"/>
      <c r="M33" s="200"/>
      <c r="R33" s="246"/>
      <c r="S33" s="199" t="s">
        <v>201</v>
      </c>
      <c r="X33" s="246"/>
      <c r="Y33" s="246"/>
      <c r="Z33" s="246"/>
      <c r="AA33" s="246"/>
      <c r="AB33" s="246"/>
      <c r="AC33" s="246"/>
      <c r="AD33" s="246"/>
      <c r="AE33" s="246"/>
      <c r="AF33" s="246"/>
      <c r="AG33" s="246"/>
      <c r="AH33" s="246"/>
      <c r="AI33" s="246"/>
      <c r="AJ33" s="246"/>
      <c r="AK33" s="246"/>
      <c r="AL33" s="246"/>
      <c r="AM33" s="246"/>
      <c r="AN33" s="246"/>
      <c r="AO33" s="246"/>
      <c r="AP33" s="246"/>
    </row>
    <row r="34" spans="1:42" ht="15.75" thickBot="1">
      <c r="A34" s="199" t="s">
        <v>16</v>
      </c>
      <c r="B34" s="244" t="s">
        <v>189</v>
      </c>
      <c r="D34" s="273">
        <f>INDEX($BH$4:$BH$7,MATCH($D$3,$BA$4:$BA$7,0))</f>
        <v>0</v>
      </c>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199" t="s">
        <v>16</v>
      </c>
      <c r="C35" s="245" t="str">
        <f>C30</f>
        <v>Low Income</v>
      </c>
      <c r="D35" s="199" t="s">
        <v>96</v>
      </c>
      <c r="E35" s="51">
        <f>[2]Calib_1011!$H$113</f>
        <v>1.4</v>
      </c>
      <c r="F35" s="65">
        <f t="shared" ref="F35:G38" si="13">IF($D$4,S35,M35)</f>
        <v>1.4</v>
      </c>
      <c r="G35" s="65">
        <f t="shared" si="13"/>
        <v>1.4</v>
      </c>
      <c r="H35" s="65">
        <f t="shared" ref="H35:K38" si="14">IF($D$4,T35,N35)</f>
        <v>1.4</v>
      </c>
      <c r="I35" s="65">
        <f t="shared" si="14"/>
        <v>1.4</v>
      </c>
      <c r="J35" s="65">
        <f t="shared" si="14"/>
        <v>1.4</v>
      </c>
      <c r="K35" s="65">
        <f t="shared" si="14"/>
        <v>1.4</v>
      </c>
      <c r="L35" s="43"/>
      <c r="M35" s="65">
        <f>E35</f>
        <v>1.4</v>
      </c>
      <c r="N35" s="47">
        <f>M35</f>
        <v>1.4</v>
      </c>
      <c r="O35" s="47">
        <f t="shared" ref="O35:Q38" si="15">N35</f>
        <v>1.4</v>
      </c>
      <c r="P35" s="47">
        <f t="shared" si="15"/>
        <v>1.4</v>
      </c>
      <c r="Q35" s="47">
        <f t="shared" si="15"/>
        <v>1.4</v>
      </c>
      <c r="R35" s="246"/>
      <c r="S35" s="65">
        <f>M35</f>
        <v>1.4</v>
      </c>
      <c r="T35" s="78">
        <f>N35</f>
        <v>1.4</v>
      </c>
      <c r="U35" s="78">
        <f>T35*(1+$D$34)</f>
        <v>1.4</v>
      </c>
      <c r="V35" s="78">
        <f>U35*(1+$D$34)</f>
        <v>1.4</v>
      </c>
      <c r="W35" s="78">
        <f>V35*(1+$D$34)</f>
        <v>1.4</v>
      </c>
      <c r="X35" s="246"/>
      <c r="Y35" s="246"/>
      <c r="Z35" s="246"/>
      <c r="AA35" s="246"/>
      <c r="AB35" s="246"/>
      <c r="AC35" s="246"/>
      <c r="AD35" s="246"/>
      <c r="AE35" s="246"/>
      <c r="AF35" s="246"/>
      <c r="AG35" s="246"/>
      <c r="AH35" s="246"/>
      <c r="AI35" s="246"/>
      <c r="AJ35" s="246"/>
      <c r="AK35" s="246"/>
      <c r="AL35" s="246"/>
      <c r="AM35" s="246"/>
      <c r="AN35" s="246"/>
      <c r="AO35" s="246"/>
      <c r="AP35" s="246"/>
    </row>
    <row r="36" spans="1:42">
      <c r="A36" s="199" t="s">
        <v>16</v>
      </c>
      <c r="C36" s="245" t="str">
        <f>C31</f>
        <v>Middle Income</v>
      </c>
      <c r="D36" s="199" t="s">
        <v>96</v>
      </c>
      <c r="E36" s="51">
        <f>[2]Calib_1011!$I$113</f>
        <v>1.4</v>
      </c>
      <c r="F36" s="65">
        <f t="shared" si="13"/>
        <v>1.4</v>
      </c>
      <c r="G36" s="65">
        <f t="shared" si="13"/>
        <v>1.4</v>
      </c>
      <c r="H36" s="65">
        <f t="shared" si="14"/>
        <v>1.4</v>
      </c>
      <c r="I36" s="65">
        <f t="shared" si="14"/>
        <v>1.4</v>
      </c>
      <c r="J36" s="65">
        <f t="shared" si="14"/>
        <v>1.4</v>
      </c>
      <c r="K36" s="65">
        <f t="shared" si="14"/>
        <v>1.4</v>
      </c>
      <c r="L36" s="43"/>
      <c r="M36" s="65">
        <f>E36</f>
        <v>1.4</v>
      </c>
      <c r="N36" s="47">
        <f>M36</f>
        <v>1.4</v>
      </c>
      <c r="O36" s="47">
        <f t="shared" si="15"/>
        <v>1.4</v>
      </c>
      <c r="P36" s="47">
        <f t="shared" si="15"/>
        <v>1.4</v>
      </c>
      <c r="Q36" s="47">
        <f t="shared" si="15"/>
        <v>1.4</v>
      </c>
      <c r="R36" s="246"/>
      <c r="S36" s="65">
        <f>M36</f>
        <v>1.4</v>
      </c>
      <c r="T36" s="78">
        <f t="shared" ref="T36:T38" si="16">N36</f>
        <v>1.4</v>
      </c>
      <c r="U36" s="78">
        <f t="shared" ref="U36:W38" si="17">T36*(1+$D$34)</f>
        <v>1.4</v>
      </c>
      <c r="V36" s="78">
        <f t="shared" si="17"/>
        <v>1.4</v>
      </c>
      <c r="W36" s="78">
        <f t="shared" si="17"/>
        <v>1.4</v>
      </c>
      <c r="X36" s="246"/>
      <c r="Y36" s="246"/>
      <c r="Z36" s="246"/>
      <c r="AA36" s="246"/>
      <c r="AB36" s="246"/>
      <c r="AC36" s="246"/>
      <c r="AD36" s="246"/>
      <c r="AE36" s="246"/>
      <c r="AF36" s="246"/>
      <c r="AG36" s="246"/>
      <c r="AH36" s="246"/>
      <c r="AI36" s="246"/>
      <c r="AJ36" s="246"/>
      <c r="AK36" s="246"/>
      <c r="AL36" s="246"/>
      <c r="AM36" s="246"/>
      <c r="AN36" s="246"/>
      <c r="AO36" s="246"/>
      <c r="AP36" s="246"/>
    </row>
    <row r="37" spans="1:42">
      <c r="A37" s="199" t="s">
        <v>16</v>
      </c>
      <c r="C37" s="245" t="str">
        <f>C32</f>
        <v>High Income</v>
      </c>
      <c r="D37" s="199" t="s">
        <v>96</v>
      </c>
      <c r="E37" s="51">
        <f>[2]Calib_1011!$J$113</f>
        <v>1.4</v>
      </c>
      <c r="F37" s="65">
        <f t="shared" si="13"/>
        <v>1.4</v>
      </c>
      <c r="G37" s="65">
        <f t="shared" si="13"/>
        <v>1.4</v>
      </c>
      <c r="H37" s="65">
        <f t="shared" si="14"/>
        <v>1.4</v>
      </c>
      <c r="I37" s="65">
        <f t="shared" si="14"/>
        <v>1.4</v>
      </c>
      <c r="J37" s="65">
        <f t="shared" si="14"/>
        <v>1.4</v>
      </c>
      <c r="K37" s="65">
        <f t="shared" si="14"/>
        <v>1.4</v>
      </c>
      <c r="L37" s="43"/>
      <c r="M37" s="65">
        <f>E37</f>
        <v>1.4</v>
      </c>
      <c r="N37" s="47">
        <f>M37</f>
        <v>1.4</v>
      </c>
      <c r="O37" s="47">
        <f t="shared" si="15"/>
        <v>1.4</v>
      </c>
      <c r="P37" s="47">
        <f t="shared" si="15"/>
        <v>1.4</v>
      </c>
      <c r="Q37" s="47">
        <f t="shared" si="15"/>
        <v>1.4</v>
      </c>
      <c r="R37" s="246"/>
      <c r="S37" s="65">
        <f>M37</f>
        <v>1.4</v>
      </c>
      <c r="T37" s="78">
        <f t="shared" si="16"/>
        <v>1.4</v>
      </c>
      <c r="U37" s="78">
        <f t="shared" si="17"/>
        <v>1.4</v>
      </c>
      <c r="V37" s="78">
        <f t="shared" si="17"/>
        <v>1.4</v>
      </c>
      <c r="W37" s="78">
        <f t="shared" si="17"/>
        <v>1.4</v>
      </c>
      <c r="X37" s="246"/>
      <c r="Y37" s="246"/>
      <c r="Z37" s="246"/>
      <c r="AA37" s="246"/>
      <c r="AB37" s="246"/>
      <c r="AC37" s="246"/>
      <c r="AD37" s="246"/>
      <c r="AE37" s="246"/>
      <c r="AF37" s="246"/>
      <c r="AG37" s="246"/>
      <c r="AH37" s="246"/>
      <c r="AI37" s="246"/>
      <c r="AJ37" s="246"/>
      <c r="AK37" s="246"/>
      <c r="AL37" s="246"/>
      <c r="AM37" s="246"/>
      <c r="AN37" s="246"/>
      <c r="AO37" s="246"/>
      <c r="AP37" s="246"/>
    </row>
    <row r="38" spans="1:42">
      <c r="A38" s="199" t="s">
        <v>16</v>
      </c>
      <c r="C38" s="245" t="s">
        <v>195</v>
      </c>
      <c r="D38" s="199" t="s">
        <v>96</v>
      </c>
      <c r="E38" s="51">
        <f>[2]Calib_1011!K113</f>
        <v>1.4</v>
      </c>
      <c r="F38" s="65">
        <f t="shared" si="13"/>
        <v>1.4</v>
      </c>
      <c r="G38" s="65">
        <f t="shared" si="13"/>
        <v>1.4</v>
      </c>
      <c r="H38" s="65">
        <f t="shared" si="14"/>
        <v>1.4</v>
      </c>
      <c r="I38" s="65">
        <f t="shared" si="14"/>
        <v>1.4</v>
      </c>
      <c r="J38" s="65">
        <f t="shared" si="14"/>
        <v>1.4</v>
      </c>
      <c r="K38" s="65">
        <f t="shared" si="14"/>
        <v>1.4</v>
      </c>
      <c r="M38" s="65">
        <f>E38</f>
        <v>1.4</v>
      </c>
      <c r="N38" s="47">
        <f>M38</f>
        <v>1.4</v>
      </c>
      <c r="O38" s="47">
        <f t="shared" si="15"/>
        <v>1.4</v>
      </c>
      <c r="P38" s="47">
        <f t="shared" si="15"/>
        <v>1.4</v>
      </c>
      <c r="Q38" s="47">
        <f t="shared" si="15"/>
        <v>1.4</v>
      </c>
      <c r="S38" s="65">
        <f>M38</f>
        <v>1.4</v>
      </c>
      <c r="T38" s="78">
        <f t="shared" si="16"/>
        <v>1.4</v>
      </c>
      <c r="U38" s="78">
        <f t="shared" si="17"/>
        <v>1.4</v>
      </c>
      <c r="V38" s="78">
        <f t="shared" si="17"/>
        <v>1.4</v>
      </c>
      <c r="W38" s="78">
        <f t="shared" si="17"/>
        <v>1.4</v>
      </c>
    </row>
    <row r="39" spans="1:42">
      <c r="A39" s="199" t="s">
        <v>16</v>
      </c>
      <c r="C39" s="245"/>
      <c r="L39" s="43"/>
      <c r="M39" s="200"/>
      <c r="R39" s="246"/>
      <c r="S39" s="199" t="s">
        <v>202</v>
      </c>
      <c r="X39" s="246"/>
      <c r="Y39" s="246"/>
      <c r="Z39" s="246"/>
      <c r="AA39" s="246"/>
      <c r="AB39" s="246"/>
      <c r="AC39" s="246"/>
      <c r="AD39" s="246"/>
      <c r="AE39" s="246"/>
      <c r="AF39" s="246"/>
      <c r="AG39" s="246"/>
      <c r="AH39" s="246"/>
      <c r="AI39" s="246"/>
      <c r="AJ39" s="246"/>
      <c r="AK39" s="246"/>
      <c r="AL39" s="246"/>
      <c r="AM39" s="246"/>
      <c r="AN39" s="246"/>
      <c r="AO39" s="246"/>
      <c r="AP39" s="246"/>
    </row>
    <row r="40" spans="1:42" ht="15.75" thickBot="1">
      <c r="A40" s="199" t="s">
        <v>16</v>
      </c>
      <c r="B40" s="244" t="s">
        <v>190</v>
      </c>
      <c r="D40" s="244"/>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199" t="s">
        <v>16</v>
      </c>
      <c r="C41" s="245" t="str">
        <f>C35</f>
        <v>Low Income</v>
      </c>
      <c r="D41" s="36" t="s">
        <v>171</v>
      </c>
      <c r="E41" s="51">
        <f>[2]Calib_1011!$H$118</f>
        <v>8.0274119837508469</v>
      </c>
      <c r="F41" s="65">
        <f t="shared" ref="F41:G44" si="18">IF($D$4,S41,M41)</f>
        <v>8.0274119837508469</v>
      </c>
      <c r="G41" s="65">
        <f t="shared" si="18"/>
        <v>8.0274119837508469</v>
      </c>
      <c r="H41" s="65">
        <f t="shared" ref="H41:K44" si="19">IF($D$4,T41,N41)</f>
        <v>8.0274119837508469</v>
      </c>
      <c r="I41" s="65">
        <f t="shared" si="19"/>
        <v>7.6260413845633037</v>
      </c>
      <c r="J41" s="65">
        <f t="shared" si="19"/>
        <v>7.2447393153351385</v>
      </c>
      <c r="K41" s="65">
        <f t="shared" si="19"/>
        <v>6.882502349568381</v>
      </c>
      <c r="L41" s="43"/>
      <c r="M41" s="65">
        <f>E41</f>
        <v>8.0274119837508469</v>
      </c>
      <c r="N41" s="47">
        <f>M41</f>
        <v>8.0274119837508469</v>
      </c>
      <c r="O41" s="47">
        <f t="shared" ref="O41:Q44" si="20">N41</f>
        <v>8.0274119837508469</v>
      </c>
      <c r="P41" s="47">
        <f t="shared" si="20"/>
        <v>8.0274119837508469</v>
      </c>
      <c r="Q41" s="47">
        <f t="shared" si="20"/>
        <v>8.0274119837508469</v>
      </c>
      <c r="R41" s="246"/>
      <c r="S41" s="65">
        <f>M41</f>
        <v>8.0274119837508469</v>
      </c>
      <c r="T41" s="78">
        <f>N41</f>
        <v>8.0274119837508469</v>
      </c>
      <c r="U41" s="78">
        <f>T41*0.95</f>
        <v>7.6260413845633037</v>
      </c>
      <c r="V41" s="78">
        <f>U41*0.95</f>
        <v>7.2447393153351385</v>
      </c>
      <c r="W41" s="78">
        <f>V41*0.95</f>
        <v>6.882502349568381</v>
      </c>
      <c r="X41" s="246"/>
      <c r="Y41" s="246"/>
      <c r="Z41" s="246"/>
      <c r="AA41" s="246"/>
      <c r="AB41" s="246"/>
      <c r="AC41" s="246"/>
      <c r="AD41" s="246"/>
      <c r="AE41" s="246"/>
      <c r="AF41" s="246"/>
      <c r="AG41" s="246"/>
      <c r="AH41" s="246"/>
      <c r="AI41" s="246"/>
      <c r="AJ41" s="246"/>
      <c r="AK41" s="246"/>
      <c r="AL41" s="246"/>
      <c r="AM41" s="246"/>
      <c r="AN41" s="246"/>
      <c r="AO41" s="246"/>
      <c r="AP41" s="246"/>
    </row>
    <row r="42" spans="1:42">
      <c r="A42" s="199" t="s">
        <v>16</v>
      </c>
      <c r="B42" s="207">
        <f>INDEX($BE$4:$BE$7,MATCH($D$3,$BA$4:$BA$7,0))</f>
        <v>0.95</v>
      </c>
      <c r="C42" s="245" t="str">
        <f>C36</f>
        <v>Middle Income</v>
      </c>
      <c r="D42" s="36" t="s">
        <v>171</v>
      </c>
      <c r="E42" s="51">
        <f>[2]Calib_1011!$I$118</f>
        <v>13.418073439870216</v>
      </c>
      <c r="F42" s="65">
        <f t="shared" si="18"/>
        <v>13.418073439870216</v>
      </c>
      <c r="G42" s="65">
        <f t="shared" si="18"/>
        <v>13.418073439870216</v>
      </c>
      <c r="H42" s="65">
        <f t="shared" si="19"/>
        <v>13.418073439870216</v>
      </c>
      <c r="I42" s="65">
        <f t="shared" si="19"/>
        <v>12.747169767876706</v>
      </c>
      <c r="J42" s="65">
        <f t="shared" si="19"/>
        <v>12.109811279482869</v>
      </c>
      <c r="K42" s="65">
        <f t="shared" si="19"/>
        <v>11.504320715508726</v>
      </c>
      <c r="L42" s="43"/>
      <c r="M42" s="65">
        <f>E42</f>
        <v>13.418073439870216</v>
      </c>
      <c r="N42" s="194">
        <f>M42</f>
        <v>13.418073439870216</v>
      </c>
      <c r="O42" s="194">
        <f>N42</f>
        <v>13.418073439870216</v>
      </c>
      <c r="P42" s="194">
        <f>O42</f>
        <v>13.418073439870216</v>
      </c>
      <c r="Q42" s="194">
        <f>P42</f>
        <v>13.418073439870216</v>
      </c>
      <c r="R42" s="246"/>
      <c r="S42" s="65">
        <f>M42</f>
        <v>13.418073439870216</v>
      </c>
      <c r="T42" s="78">
        <f t="shared" ref="T42:T44" si="21">N42</f>
        <v>13.418073439870216</v>
      </c>
      <c r="U42" s="78">
        <f>T42*$B42</f>
        <v>12.747169767876706</v>
      </c>
      <c r="V42" s="78">
        <f t="shared" ref="V42:W42" si="22">U42*$B42</f>
        <v>12.109811279482869</v>
      </c>
      <c r="W42" s="78">
        <f t="shared" si="22"/>
        <v>11.504320715508726</v>
      </c>
      <c r="X42" s="246"/>
      <c r="Y42" s="246"/>
      <c r="Z42" s="246"/>
      <c r="AA42" s="246"/>
      <c r="AB42" s="246"/>
      <c r="AC42" s="246"/>
      <c r="AD42" s="246"/>
      <c r="AE42" s="246"/>
      <c r="AF42" s="246"/>
      <c r="AG42" s="246"/>
      <c r="AH42" s="246"/>
      <c r="AI42" s="246"/>
      <c r="AJ42" s="246"/>
      <c r="AK42" s="246"/>
      <c r="AL42" s="246"/>
      <c r="AM42" s="246"/>
      <c r="AN42" s="246"/>
      <c r="AO42" s="246"/>
      <c r="AP42" s="246"/>
    </row>
    <row r="43" spans="1:42">
      <c r="A43" s="199" t="s">
        <v>16</v>
      </c>
      <c r="B43" s="207">
        <f>INDEX($BD$4:$BD$7,MATCH($D$3,$BA$4:$BA$7,0))</f>
        <v>0.97499999999999998</v>
      </c>
      <c r="C43" s="245" t="str">
        <f>C37</f>
        <v>High Income</v>
      </c>
      <c r="D43" s="36" t="s">
        <v>171</v>
      </c>
      <c r="E43" s="51">
        <f>[2]Calib_1011!$J$118</f>
        <v>15.663966300310799</v>
      </c>
      <c r="F43" s="65">
        <f t="shared" si="18"/>
        <v>15.663966300310799</v>
      </c>
      <c r="G43" s="65">
        <f t="shared" si="18"/>
        <v>15.663966300310799</v>
      </c>
      <c r="H43" s="65">
        <f t="shared" si="19"/>
        <v>15.663966300310799</v>
      </c>
      <c r="I43" s="65">
        <f t="shared" si="19"/>
        <v>15.272367142803029</v>
      </c>
      <c r="J43" s="65">
        <f t="shared" si="19"/>
        <v>14.890557964232952</v>
      </c>
      <c r="K43" s="65">
        <f t="shared" si="19"/>
        <v>14.518294015127129</v>
      </c>
      <c r="L43" s="43"/>
      <c r="M43" s="65">
        <f>E43</f>
        <v>15.663966300310799</v>
      </c>
      <c r="N43" s="47">
        <f>M43</f>
        <v>15.663966300310799</v>
      </c>
      <c r="O43" s="47">
        <f>N43</f>
        <v>15.663966300310799</v>
      </c>
      <c r="P43" s="47">
        <f t="shared" si="20"/>
        <v>15.663966300310799</v>
      </c>
      <c r="Q43" s="47">
        <f t="shared" si="20"/>
        <v>15.663966300310799</v>
      </c>
      <c r="R43" s="246"/>
      <c r="S43" s="65">
        <f>M43</f>
        <v>15.663966300310799</v>
      </c>
      <c r="T43" s="78">
        <f t="shared" si="21"/>
        <v>15.663966300310799</v>
      </c>
      <c r="U43" s="78">
        <f>T43*$B43</f>
        <v>15.272367142803029</v>
      </c>
      <c r="V43" s="78">
        <f t="shared" ref="V43:W43" si="23">U43*$B43</f>
        <v>14.890557964232952</v>
      </c>
      <c r="W43" s="78">
        <f t="shared" si="23"/>
        <v>14.518294015127129</v>
      </c>
      <c r="X43" s="246"/>
      <c r="Y43" s="246"/>
      <c r="Z43" s="246"/>
      <c r="AA43" s="246"/>
      <c r="AB43" s="246"/>
      <c r="AC43" s="246"/>
      <c r="AD43" s="246"/>
      <c r="AE43" s="246"/>
      <c r="AF43" s="246"/>
      <c r="AG43" s="246"/>
      <c r="AH43" s="246"/>
      <c r="AI43" s="246"/>
      <c r="AJ43" s="246"/>
      <c r="AK43" s="246"/>
      <c r="AL43" s="246"/>
      <c r="AM43" s="246"/>
      <c r="AN43" s="246"/>
      <c r="AO43" s="246"/>
      <c r="AP43" s="246"/>
    </row>
    <row r="44" spans="1:42">
      <c r="A44" s="199" t="s">
        <v>16</v>
      </c>
      <c r="C44" s="245" t="s">
        <v>195</v>
      </c>
      <c r="D44" s="36" t="s">
        <v>171</v>
      </c>
      <c r="E44" s="51">
        <f>[2]Calib_1011!$K$118</f>
        <v>13.5</v>
      </c>
      <c r="F44" s="65">
        <f t="shared" si="18"/>
        <v>13.5</v>
      </c>
      <c r="G44" s="65">
        <f t="shared" si="18"/>
        <v>13.5</v>
      </c>
      <c r="H44" s="65">
        <f t="shared" si="19"/>
        <v>13.5</v>
      </c>
      <c r="I44" s="65">
        <f t="shared" si="19"/>
        <v>12.824999999999999</v>
      </c>
      <c r="J44" s="65">
        <f t="shared" si="19"/>
        <v>12.183749999999998</v>
      </c>
      <c r="K44" s="65">
        <f t="shared" si="19"/>
        <v>11.574562499999997</v>
      </c>
      <c r="L44" s="43"/>
      <c r="M44" s="65">
        <f>E44</f>
        <v>13.5</v>
      </c>
      <c r="N44" s="47">
        <f>M44</f>
        <v>13.5</v>
      </c>
      <c r="O44" s="47">
        <f t="shared" si="20"/>
        <v>13.5</v>
      </c>
      <c r="P44" s="47">
        <f t="shared" si="20"/>
        <v>13.5</v>
      </c>
      <c r="Q44" s="47">
        <f t="shared" si="20"/>
        <v>13.5</v>
      </c>
      <c r="R44" s="246"/>
      <c r="S44" s="65">
        <f>M44</f>
        <v>13.5</v>
      </c>
      <c r="T44" s="78">
        <f t="shared" si="21"/>
        <v>13.5</v>
      </c>
      <c r="U44" s="78">
        <f t="shared" ref="U44:W44" si="24">T44*0.95</f>
        <v>12.824999999999999</v>
      </c>
      <c r="V44" s="78">
        <f t="shared" si="24"/>
        <v>12.183749999999998</v>
      </c>
      <c r="W44" s="78">
        <f t="shared" si="24"/>
        <v>11.574562499999997</v>
      </c>
      <c r="X44" s="246"/>
      <c r="Y44" s="246"/>
      <c r="Z44" s="246"/>
      <c r="AA44" s="246"/>
      <c r="AB44" s="246"/>
      <c r="AC44" s="246"/>
      <c r="AD44" s="246"/>
      <c r="AE44" s="246"/>
      <c r="AF44" s="246"/>
      <c r="AG44" s="246"/>
      <c r="AH44" s="246"/>
      <c r="AI44" s="246"/>
      <c r="AJ44" s="246"/>
      <c r="AK44" s="246"/>
      <c r="AL44" s="246"/>
      <c r="AM44" s="246"/>
      <c r="AN44" s="246"/>
      <c r="AO44" s="246"/>
      <c r="AP44" s="246"/>
    </row>
    <row r="45" spans="1:42">
      <c r="A45" s="199" t="s">
        <v>16</v>
      </c>
      <c r="C45" s="245" t="s">
        <v>6</v>
      </c>
      <c r="D45" s="36" t="s">
        <v>171</v>
      </c>
      <c r="E45" s="200">
        <f t="shared" ref="E45:K45" si="25">SUMPRODUCT(E41:E44,E54:E57)/SUM(E54:E57)</f>
        <v>14.454676435708613</v>
      </c>
      <c r="F45" s="200">
        <f t="shared" si="25"/>
        <v>14.452683749432866</v>
      </c>
      <c r="G45" s="200">
        <f t="shared" ref="G45" si="26">SUMPRODUCT(G41:G44,G54:G57)/SUM(G54:G57)</f>
        <v>14.435804210570552</v>
      </c>
      <c r="H45" s="200">
        <f t="shared" si="25"/>
        <v>14.435804210570552</v>
      </c>
      <c r="I45" s="200">
        <f t="shared" si="25"/>
        <v>14.022132091158984</v>
      </c>
      <c r="J45" s="200">
        <f t="shared" si="25"/>
        <v>13.758900464732832</v>
      </c>
      <c r="K45" s="200">
        <f t="shared" si="25"/>
        <v>13.452739352384581</v>
      </c>
      <c r="L45" s="43"/>
      <c r="M45" s="200"/>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row>
    <row r="46" spans="1:42" ht="15.75" thickBot="1">
      <c r="A46" s="199" t="s">
        <v>16</v>
      </c>
      <c r="C46" s="244" t="s">
        <v>161</v>
      </c>
      <c r="D46" s="244"/>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46"/>
      <c r="Y46" s="246"/>
      <c r="Z46" s="246"/>
      <c r="AA46" s="246"/>
      <c r="AB46" s="246"/>
      <c r="AC46" s="246"/>
      <c r="AD46" s="246"/>
      <c r="AE46" s="246"/>
      <c r="AF46" s="246"/>
      <c r="AG46" s="246"/>
      <c r="AH46" s="246"/>
      <c r="AI46" s="246"/>
      <c r="AJ46" s="246"/>
      <c r="AK46" s="246"/>
      <c r="AL46" s="246"/>
      <c r="AM46" s="246"/>
      <c r="AN46" s="246"/>
      <c r="AO46" s="246"/>
      <c r="AP46" s="246"/>
    </row>
    <row r="47" spans="1:42">
      <c r="A47" s="199" t="s">
        <v>16</v>
      </c>
      <c r="C47" s="199" t="s">
        <v>13</v>
      </c>
      <c r="E47" s="200">
        <f>FTRA!F7</f>
        <v>135.96</v>
      </c>
      <c r="F47" s="200">
        <f>FTRA!G7</f>
        <v>144.16</v>
      </c>
      <c r="G47" s="200">
        <f>FTRA!I7</f>
        <v>138.22</v>
      </c>
      <c r="H47" s="200">
        <f>FTRA!I7</f>
        <v>138.22</v>
      </c>
      <c r="I47" s="200">
        <f>FTRA!J7</f>
        <v>206.20260168203126</v>
      </c>
      <c r="J47" s="200">
        <f>FTRA!K7</f>
        <v>325.04876983433491</v>
      </c>
      <c r="K47" s="200">
        <f>FTRA!L7</f>
        <v>536.30289008354384</v>
      </c>
      <c r="L47" s="43"/>
      <c r="M47" s="200">
        <f>SUMIF(FTRA!$N$4:$AR$4,M46,FTRA!$N$7:$AR$7)</f>
        <v>288.32</v>
      </c>
      <c r="N47" s="200">
        <f>SUMIF(FTRA!$N$4:$AR$4,N46,FTRA!$N$7:$AR$7)</f>
        <v>276.44</v>
      </c>
      <c r="O47" s="200">
        <f>SUMIF(FTRA!$N$4:$AR$4,O46,FTRA!$N$7:$AR$7)</f>
        <v>412.40520336406252</v>
      </c>
      <c r="P47" s="200">
        <f>SUMIF(FTRA!$N$4:$AR$4,P46,FTRA!$N$7:$AR$7)</f>
        <v>650.09753966866981</v>
      </c>
      <c r="Q47" s="200">
        <f>SUMIF(FTRA!$N$4:$AR$4,Q46,FTRA!$N$7:$AR$7)</f>
        <v>1072.6057801670877</v>
      </c>
      <c r="R47" s="246"/>
      <c r="S47" s="200">
        <f>SUMIF(FTRA!$N$4:$AR$4,S46,FTRA!$N$7:$AR$7)</f>
        <v>288.32</v>
      </c>
      <c r="T47" s="200">
        <f>SUMIF(FTRA!$N$4:$AR$4,T46,FTRA!$N$7:$AR$7)</f>
        <v>276.44</v>
      </c>
      <c r="U47" s="200">
        <f>SUMIF(FTRA!$N$4:$AR$4,U46,FTRA!$N$7:$AR$7)</f>
        <v>412.40520336406252</v>
      </c>
      <c r="V47" s="200">
        <f>SUMIF(FTRA!$N$4:$AR$4,V46,FTRA!$N$7:$AR$7)</f>
        <v>650.09753966866981</v>
      </c>
      <c r="W47" s="200">
        <f>SUMIF(FTRA!$N$4:$AR$4,W46,FTRA!$N$7:$AR$7)</f>
        <v>1072.6057801670877</v>
      </c>
      <c r="X47" s="246"/>
      <c r="Y47" s="246"/>
      <c r="Z47" s="246"/>
      <c r="AA47" s="246"/>
      <c r="AB47" s="246"/>
      <c r="AC47" s="246"/>
      <c r="AD47" s="246"/>
      <c r="AE47" s="246"/>
      <c r="AF47" s="246"/>
      <c r="AG47" s="246"/>
      <c r="AH47" s="246"/>
      <c r="AI47" s="246"/>
      <c r="AJ47" s="246"/>
      <c r="AK47" s="246"/>
      <c r="AL47" s="246"/>
      <c r="AM47" s="246"/>
      <c r="AN47" s="246"/>
      <c r="AO47" s="246"/>
      <c r="AP47" s="246"/>
    </row>
    <row r="48" spans="1:42">
      <c r="A48" s="199" t="s">
        <v>16</v>
      </c>
      <c r="C48" s="199"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46"/>
      <c r="S48" s="80">
        <f>$F48</f>
        <v>0.5</v>
      </c>
      <c r="T48" s="48">
        <f>S48</f>
        <v>0.5</v>
      </c>
      <c r="U48" s="48">
        <f>T48</f>
        <v>0.5</v>
      </c>
      <c r="V48" s="48">
        <v>0.4</v>
      </c>
      <c r="W48" s="48">
        <v>0.3</v>
      </c>
      <c r="X48" s="246"/>
      <c r="Y48" s="246"/>
      <c r="Z48" s="246"/>
      <c r="AA48" s="246"/>
      <c r="AB48" s="246"/>
      <c r="AC48" s="246"/>
      <c r="AD48" s="246"/>
      <c r="AE48" s="246"/>
      <c r="AF48" s="246"/>
      <c r="AG48" s="246"/>
      <c r="AH48" s="246"/>
      <c r="AI48" s="246"/>
      <c r="AJ48" s="246"/>
      <c r="AK48" s="246"/>
      <c r="AL48" s="246"/>
      <c r="AM48" s="246"/>
      <c r="AN48" s="246"/>
      <c r="AO48" s="246"/>
      <c r="AP48" s="246"/>
    </row>
    <row r="49" spans="1:42">
      <c r="A49" s="199" t="s">
        <v>16</v>
      </c>
      <c r="C49" s="245" t="s">
        <v>162</v>
      </c>
      <c r="D49" s="199" t="s">
        <v>164</v>
      </c>
      <c r="E49" s="76">
        <f>[2]Calib_1011!$K$116</f>
        <v>0.44857633535499813</v>
      </c>
      <c r="F49" s="24">
        <f>E49*(1+(F48*(F47/E47-1)))</f>
        <v>0.46210357112254363</v>
      </c>
      <c r="G49" s="24">
        <f>F49*(1+(G48*(G47/F47-1)))</f>
        <v>0.45258326308817937</v>
      </c>
      <c r="H49" s="200">
        <f>F49*(1+(H48*(H47/F47-1)))</f>
        <v>0.45258326308817937</v>
      </c>
      <c r="I49" s="200">
        <f>H49*(1+(I48*(I47/H47-1)))</f>
        <v>0.56388331989065976</v>
      </c>
      <c r="J49" s="200">
        <f>I49*(1+(J48*(J47/I47-1)))</f>
        <v>0.69388240100282472</v>
      </c>
      <c r="K49" s="200">
        <f>J49*(1+(K48*(K47/J47-1)))</f>
        <v>0.8291718065787661</v>
      </c>
      <c r="L49" s="43"/>
      <c r="M49" s="200">
        <f>$F49</f>
        <v>0.46210357112254363</v>
      </c>
      <c r="N49" s="200">
        <f>M49*(1+(N48*(N47/M47-1)))</f>
        <v>0.45258326308817937</v>
      </c>
      <c r="O49" s="200">
        <f>N49*(1+(O48*(O47/N47-1)))</f>
        <v>0.56388331989065976</v>
      </c>
      <c r="P49" s="200">
        <f>O49*(1+(P48*(P47/O47-1)))</f>
        <v>0.69388240100282472</v>
      </c>
      <c r="Q49" s="200">
        <f>P49*(1+(Q48*(Q47/P47-1)))</f>
        <v>0.8291718065787661</v>
      </c>
      <c r="R49" s="246"/>
      <c r="S49" s="200">
        <f>$F49</f>
        <v>0.46210357112254363</v>
      </c>
      <c r="T49" s="200">
        <f>S49*(1+(T48*(T47/S47-1)))</f>
        <v>0.45258326308817937</v>
      </c>
      <c r="U49" s="200">
        <f>T49*(1+(U48*(U47/T47-1)))</f>
        <v>0.56388331989065976</v>
      </c>
      <c r="V49" s="200">
        <f>U49*(1+(V48*(V47/U47-1)))</f>
        <v>0.69388240100282472</v>
      </c>
      <c r="W49" s="200">
        <f>V49*(1+(W48*(W47/V47-1)))</f>
        <v>0.8291718065787661</v>
      </c>
      <c r="X49" s="246"/>
      <c r="Y49" s="246"/>
      <c r="Z49" s="246"/>
      <c r="AA49" s="246"/>
      <c r="AB49" s="246"/>
      <c r="AC49" s="246"/>
      <c r="AD49" s="246"/>
      <c r="AE49" s="246"/>
      <c r="AF49" s="246"/>
      <c r="AG49" s="246"/>
      <c r="AH49" s="246"/>
      <c r="AI49" s="246"/>
      <c r="AJ49" s="246"/>
      <c r="AK49" s="246"/>
      <c r="AL49" s="246"/>
      <c r="AM49" s="246"/>
      <c r="AN49" s="246"/>
      <c r="AO49" s="246"/>
      <c r="AP49" s="246"/>
    </row>
    <row r="50" spans="1:42">
      <c r="A50" s="199" t="s">
        <v>16</v>
      </c>
      <c r="C50" s="245" t="s">
        <v>172</v>
      </c>
      <c r="D50" s="199" t="s">
        <v>173</v>
      </c>
      <c r="E50" s="200">
        <f t="shared" ref="E50:K50" si="27">E49*E44</f>
        <v>6.055780527292475</v>
      </c>
      <c r="F50" s="200">
        <f t="shared" si="27"/>
        <v>6.2383982101543394</v>
      </c>
      <c r="G50" s="200">
        <f t="shared" si="27"/>
        <v>6.1098740516904213</v>
      </c>
      <c r="H50" s="200">
        <f t="shared" si="27"/>
        <v>6.1098740516904213</v>
      </c>
      <c r="I50" s="200">
        <f>I49*I44</f>
        <v>7.2318035775977112</v>
      </c>
      <c r="J50" s="200">
        <f t="shared" si="27"/>
        <v>8.4540897032181643</v>
      </c>
      <c r="K50" s="200">
        <f t="shared" si="27"/>
        <v>9.5973008984838373</v>
      </c>
      <c r="L50" s="43"/>
      <c r="M50" s="200">
        <f>M49*M44</f>
        <v>6.2383982101543394</v>
      </c>
      <c r="N50" s="200">
        <f>N49*N44</f>
        <v>6.1098740516904213</v>
      </c>
      <c r="O50" s="200">
        <f>O49*O44</f>
        <v>7.6124248185239072</v>
      </c>
      <c r="P50" s="200">
        <f>P49*P44</f>
        <v>9.3674124135381334</v>
      </c>
      <c r="Q50" s="200">
        <f>Q49*Q44</f>
        <v>11.193819388813342</v>
      </c>
      <c r="R50" s="246"/>
      <c r="S50" s="200">
        <f>S49*S44</f>
        <v>6.2383982101543394</v>
      </c>
      <c r="T50" s="200">
        <f>T49*T44</f>
        <v>6.1098740516904213</v>
      </c>
      <c r="U50" s="200">
        <f>U49*U44</f>
        <v>7.2318035775977112</v>
      </c>
      <c r="V50" s="200">
        <f>V49*V44</f>
        <v>8.4540897032181643</v>
      </c>
      <c r="W50" s="200">
        <f>W49*W44</f>
        <v>9.5973008984838373</v>
      </c>
      <c r="X50" s="246"/>
      <c r="Y50" s="246"/>
      <c r="Z50" s="246"/>
      <c r="AA50" s="246"/>
      <c r="AB50" s="246"/>
      <c r="AC50" s="246"/>
      <c r="AD50" s="246"/>
      <c r="AE50" s="246"/>
      <c r="AF50" s="246"/>
      <c r="AG50" s="246"/>
      <c r="AH50" s="246"/>
      <c r="AI50" s="246"/>
      <c r="AJ50" s="246"/>
      <c r="AK50" s="246"/>
      <c r="AL50" s="246"/>
      <c r="AM50" s="246"/>
      <c r="AN50" s="246"/>
      <c r="AO50" s="246"/>
      <c r="AP50" s="246"/>
    </row>
    <row r="51" spans="1:42">
      <c r="A51" s="199" t="s">
        <v>16</v>
      </c>
      <c r="C51" s="245" t="s">
        <v>174</v>
      </c>
      <c r="D51" s="199" t="s">
        <v>136</v>
      </c>
      <c r="E51" s="200">
        <f t="shared" ref="E51:K51" si="28">E50*E38</f>
        <v>8.4780927382094635</v>
      </c>
      <c r="F51" s="200">
        <f t="shared" si="28"/>
        <v>8.7337574942160749</v>
      </c>
      <c r="G51" s="200">
        <f t="shared" si="28"/>
        <v>8.5538236723665886</v>
      </c>
      <c r="H51" s="200">
        <f t="shared" si="28"/>
        <v>8.5538236723665886</v>
      </c>
      <c r="I51" s="200">
        <f t="shared" si="28"/>
        <v>10.124525008636795</v>
      </c>
      <c r="J51" s="200">
        <f t="shared" si="28"/>
        <v>11.835725584505429</v>
      </c>
      <c r="K51" s="200">
        <f t="shared" si="28"/>
        <v>13.436221257877371</v>
      </c>
      <c r="L51" s="43"/>
      <c r="M51" s="200">
        <f>M50*M38</f>
        <v>8.7337574942160749</v>
      </c>
      <c r="N51" s="200">
        <f>N50*N38</f>
        <v>8.5538236723665886</v>
      </c>
      <c r="O51" s="200">
        <f>O50*O38</f>
        <v>10.65739474593347</v>
      </c>
      <c r="P51" s="200">
        <f>P50*P38</f>
        <v>13.114377378953385</v>
      </c>
      <c r="Q51" s="200">
        <f>Q50*Q38</f>
        <v>15.671347144338677</v>
      </c>
      <c r="R51" s="246"/>
      <c r="S51" s="200">
        <f>S50*S38</f>
        <v>8.7337574942160749</v>
      </c>
      <c r="T51" s="200">
        <f>T50*T38</f>
        <v>8.5538236723665886</v>
      </c>
      <c r="U51" s="200">
        <f>U50*U38</f>
        <v>10.124525008636795</v>
      </c>
      <c r="V51" s="200">
        <f>V50*V38</f>
        <v>11.835725584505429</v>
      </c>
      <c r="W51" s="200">
        <f>W50*W38</f>
        <v>13.436221257877371</v>
      </c>
      <c r="X51" s="246"/>
      <c r="Y51" s="246"/>
      <c r="Z51" s="246"/>
      <c r="AA51" s="246"/>
      <c r="AB51" s="246"/>
      <c r="AC51" s="246"/>
      <c r="AD51" s="246"/>
      <c r="AE51" s="246"/>
      <c r="AF51" s="246"/>
      <c r="AG51" s="246"/>
      <c r="AH51" s="246"/>
      <c r="AI51" s="246"/>
      <c r="AJ51" s="246"/>
      <c r="AK51" s="246"/>
      <c r="AL51" s="246"/>
      <c r="AM51" s="246"/>
      <c r="AN51" s="246"/>
      <c r="AO51" s="246"/>
      <c r="AP51" s="246"/>
    </row>
    <row r="52" spans="1:42">
      <c r="A52" s="199" t="s">
        <v>16</v>
      </c>
      <c r="C52" s="245"/>
      <c r="E52" s="30"/>
    </row>
    <row r="53" spans="1:42" ht="15.75" thickBot="1">
      <c r="A53" s="199" t="s">
        <v>16</v>
      </c>
      <c r="B53" s="244" t="s">
        <v>84</v>
      </c>
      <c r="D53" s="244"/>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199" t="s">
        <v>16</v>
      </c>
      <c r="C54" s="245" t="str">
        <f>C30</f>
        <v>Low Income</v>
      </c>
      <c r="D54" s="199" t="s">
        <v>67</v>
      </c>
      <c r="E54" s="200">
        <f>E30*E25*E13</f>
        <v>0.13082195391724327</v>
      </c>
      <c r="F54" s="65">
        <f t="shared" ref="F54:G61" si="29">IF($D$4,S54,M54)</f>
        <v>0.13082195391724327</v>
      </c>
      <c r="G54" s="65">
        <f t="shared" si="29"/>
        <v>0.1405579466861536</v>
      </c>
      <c r="H54" s="200">
        <f t="shared" ref="H54:K61" si="30">IF($D$4,T54,N54)</f>
        <v>0.1405579466861536</v>
      </c>
      <c r="I54" s="200">
        <f t="shared" si="30"/>
        <v>0.27166359306683557</v>
      </c>
      <c r="J54" s="200">
        <f t="shared" si="30"/>
        <v>0.14691738891111147</v>
      </c>
      <c r="K54" s="200">
        <f t="shared" si="30"/>
        <v>9.8808084777127755E-2</v>
      </c>
      <c r="L54" s="43"/>
      <c r="M54" s="200">
        <f t="shared" ref="M54:Q56" si="31">M30*M25*M13</f>
        <v>0.13082195391724327</v>
      </c>
      <c r="N54" s="200">
        <f t="shared" si="31"/>
        <v>0.1405579466861536</v>
      </c>
      <c r="O54" s="200">
        <f t="shared" si="31"/>
        <v>0.11438467076498339</v>
      </c>
      <c r="P54" s="200">
        <f t="shared" si="31"/>
        <v>8.1394675297014663E-2</v>
      </c>
      <c r="Q54" s="200">
        <f t="shared" si="31"/>
        <v>5.7622443374910487E-2</v>
      </c>
      <c r="R54" s="246"/>
      <c r="S54" s="200">
        <f t="shared" ref="S54:W56" si="32">S30*S25*S13</f>
        <v>0.13082195391724327</v>
      </c>
      <c r="T54" s="200">
        <f>T30*T25*T13</f>
        <v>0.1405579466861536</v>
      </c>
      <c r="U54" s="200">
        <f t="shared" si="32"/>
        <v>0.27166359306683557</v>
      </c>
      <c r="V54" s="200">
        <f t="shared" si="32"/>
        <v>0.14691738891111147</v>
      </c>
      <c r="W54" s="200">
        <f t="shared" si="32"/>
        <v>9.8808084777127755E-2</v>
      </c>
      <c r="X54" s="246"/>
      <c r="Y54" s="246"/>
      <c r="Z54" s="246"/>
      <c r="AA54" s="246"/>
      <c r="AB54" s="246"/>
      <c r="AC54" s="246"/>
      <c r="AD54" s="246"/>
      <c r="AE54" s="246"/>
      <c r="AF54" s="246"/>
      <c r="AG54" s="246"/>
      <c r="AH54" s="246"/>
      <c r="AI54" s="246"/>
      <c r="AJ54" s="246"/>
      <c r="AK54" s="246"/>
      <c r="AL54" s="246"/>
      <c r="AM54" s="246"/>
      <c r="AN54" s="246"/>
      <c r="AO54" s="246"/>
      <c r="AP54" s="246"/>
    </row>
    <row r="55" spans="1:42">
      <c r="A55" s="199" t="s">
        <v>16</v>
      </c>
      <c r="C55" s="245" t="str">
        <f>C31</f>
        <v>Middle Income</v>
      </c>
      <c r="D55" s="199" t="s">
        <v>67</v>
      </c>
      <c r="E55" s="200">
        <f>E31*E26*E14</f>
        <v>2.605214709517647</v>
      </c>
      <c r="F55" s="200">
        <f t="shared" si="29"/>
        <v>2.605214709517647</v>
      </c>
      <c r="G55" s="200">
        <f t="shared" si="29"/>
        <v>3.1864854986218929</v>
      </c>
      <c r="H55" s="200">
        <f t="shared" si="30"/>
        <v>3.1864854986218929</v>
      </c>
      <c r="I55" s="200">
        <f t="shared" si="30"/>
        <v>3.6036444890519284</v>
      </c>
      <c r="J55" s="200">
        <f t="shared" si="30"/>
        <v>3.8595946826226513</v>
      </c>
      <c r="K55" s="200">
        <f t="shared" si="30"/>
        <v>3.7320597584434507</v>
      </c>
      <c r="L55" s="43"/>
      <c r="M55" s="200">
        <f t="shared" si="31"/>
        <v>2.605214709517647</v>
      </c>
      <c r="N55" s="200">
        <f t="shared" si="31"/>
        <v>3.1864854986218929</v>
      </c>
      <c r="O55" s="200">
        <f t="shared" si="31"/>
        <v>3.9929578826060155</v>
      </c>
      <c r="P55" s="200">
        <f t="shared" si="31"/>
        <v>4.7385697563679257</v>
      </c>
      <c r="Q55" s="200">
        <f t="shared" si="31"/>
        <v>5.0769975917845169</v>
      </c>
      <c r="R55" s="246"/>
      <c r="S55" s="200">
        <f t="shared" si="32"/>
        <v>2.605214709517647</v>
      </c>
      <c r="T55" s="200">
        <f t="shared" si="32"/>
        <v>3.1864854986218929</v>
      </c>
      <c r="U55" s="200">
        <f t="shared" si="32"/>
        <v>3.6036444890519284</v>
      </c>
      <c r="V55" s="200">
        <f t="shared" si="32"/>
        <v>3.8595946826226513</v>
      </c>
      <c r="W55" s="200">
        <f t="shared" si="32"/>
        <v>3.7320597584434507</v>
      </c>
      <c r="X55" s="246"/>
      <c r="Y55" s="246"/>
      <c r="Z55" s="246"/>
      <c r="AA55" s="246"/>
      <c r="AB55" s="246"/>
      <c r="AC55" s="246"/>
      <c r="AD55" s="246"/>
      <c r="AE55" s="246"/>
      <c r="AF55" s="246"/>
      <c r="AG55" s="246"/>
      <c r="AH55" s="246"/>
      <c r="AI55" s="246"/>
      <c r="AJ55" s="246"/>
      <c r="AK55" s="246"/>
      <c r="AL55" s="246"/>
      <c r="AM55" s="246"/>
      <c r="AN55" s="246"/>
      <c r="AO55" s="246"/>
      <c r="AP55" s="246"/>
    </row>
    <row r="56" spans="1:42">
      <c r="A56" s="199" t="s">
        <v>16</v>
      </c>
      <c r="C56" s="245" t="str">
        <f>C32</f>
        <v>High Income</v>
      </c>
      <c r="D56" s="199" t="s">
        <v>67</v>
      </c>
      <c r="E56" s="200">
        <f>E32*E27*E15</f>
        <v>3.282625646516963</v>
      </c>
      <c r="F56" s="200">
        <f t="shared" si="29"/>
        <v>3.282625646516963</v>
      </c>
      <c r="G56" s="200">
        <f t="shared" si="29"/>
        <v>3.7187795948797335</v>
      </c>
      <c r="H56" s="200">
        <f t="shared" si="30"/>
        <v>3.7187795948797335</v>
      </c>
      <c r="I56" s="200">
        <f t="shared" si="30"/>
        <v>5.6046570936211291</v>
      </c>
      <c r="J56" s="200">
        <f t="shared" si="30"/>
        <v>7.4358439613607015</v>
      </c>
      <c r="K56" s="200">
        <f t="shared" si="30"/>
        <v>8.8950280518099447</v>
      </c>
      <c r="L56" s="43"/>
      <c r="M56" s="200">
        <f t="shared" si="31"/>
        <v>3.282625646516963</v>
      </c>
      <c r="N56" s="200">
        <f t="shared" si="31"/>
        <v>3.7187795948797335</v>
      </c>
      <c r="O56" s="200">
        <f t="shared" si="31"/>
        <v>6.671690890434518</v>
      </c>
      <c r="P56" s="200">
        <f t="shared" si="31"/>
        <v>10.66700192756192</v>
      </c>
      <c r="Q56" s="200">
        <f t="shared" si="31"/>
        <v>15.112321520170545</v>
      </c>
      <c r="R56" s="246"/>
      <c r="S56" s="200">
        <f t="shared" si="32"/>
        <v>3.282625646516963</v>
      </c>
      <c r="T56" s="200">
        <f t="shared" si="32"/>
        <v>3.7187795948797335</v>
      </c>
      <c r="U56" s="200">
        <f t="shared" si="32"/>
        <v>5.6046570936211291</v>
      </c>
      <c r="V56" s="200">
        <f t="shared" si="32"/>
        <v>7.4358439613607015</v>
      </c>
      <c r="W56" s="200">
        <f t="shared" si="32"/>
        <v>8.8950280518099447</v>
      </c>
      <c r="X56" s="246"/>
      <c r="Y56" s="246"/>
      <c r="Z56" s="246"/>
      <c r="AA56" s="246"/>
      <c r="AB56" s="246"/>
      <c r="AC56" s="246"/>
      <c r="AD56" s="246"/>
      <c r="AE56" s="246"/>
      <c r="AF56" s="246"/>
      <c r="AG56" s="246"/>
      <c r="AH56" s="246"/>
      <c r="AI56" s="246"/>
      <c r="AJ56" s="246"/>
      <c r="AK56" s="246"/>
      <c r="AL56" s="246"/>
      <c r="AM56" s="246"/>
      <c r="AN56" s="246"/>
      <c r="AO56" s="246"/>
      <c r="AP56" s="246"/>
    </row>
    <row r="57" spans="1:42">
      <c r="A57" s="199" t="s">
        <v>16</v>
      </c>
      <c r="C57" s="245" t="s">
        <v>165</v>
      </c>
      <c r="D57" s="199" t="s">
        <v>67</v>
      </c>
      <c r="E57" s="200">
        <f>E49</f>
        <v>0.44857633535499813</v>
      </c>
      <c r="F57" s="200">
        <f t="shared" si="29"/>
        <v>0.46210357112254363</v>
      </c>
      <c r="G57" s="200">
        <f t="shared" si="29"/>
        <v>0.45258326308817937</v>
      </c>
      <c r="H57" s="200">
        <f t="shared" si="30"/>
        <v>0.45258326308817937</v>
      </c>
      <c r="I57" s="200">
        <f t="shared" si="30"/>
        <v>0.56388331989065976</v>
      </c>
      <c r="J57" s="200">
        <f t="shared" si="30"/>
        <v>0.69388240100282472</v>
      </c>
      <c r="K57" s="200">
        <f t="shared" si="30"/>
        <v>0.8291718065787661</v>
      </c>
      <c r="L57" s="43"/>
      <c r="M57" s="200">
        <f>M49</f>
        <v>0.46210357112254363</v>
      </c>
      <c r="N57" s="200">
        <f>N49</f>
        <v>0.45258326308817937</v>
      </c>
      <c r="O57" s="200">
        <f>O49</f>
        <v>0.56388331989065976</v>
      </c>
      <c r="P57" s="200">
        <f>P49</f>
        <v>0.69388240100282472</v>
      </c>
      <c r="Q57" s="200">
        <f>Q49</f>
        <v>0.8291718065787661</v>
      </c>
      <c r="R57" s="246"/>
      <c r="S57" s="200">
        <f>S49</f>
        <v>0.46210357112254363</v>
      </c>
      <c r="T57" s="200">
        <f>T49</f>
        <v>0.45258326308817937</v>
      </c>
      <c r="U57" s="200">
        <f>U49</f>
        <v>0.56388331989065976</v>
      </c>
      <c r="V57" s="200">
        <f>V49</f>
        <v>0.69388240100282472</v>
      </c>
      <c r="W57" s="200">
        <f>W49</f>
        <v>0.8291718065787661</v>
      </c>
      <c r="X57" s="246"/>
      <c r="Y57" s="246"/>
      <c r="Z57" s="246"/>
      <c r="AA57" s="246"/>
      <c r="AB57" s="246"/>
      <c r="AC57" s="246"/>
      <c r="AD57" s="246"/>
      <c r="AE57" s="246"/>
      <c r="AF57" s="246"/>
      <c r="AG57" s="246"/>
      <c r="AH57" s="246"/>
      <c r="AI57" s="246"/>
      <c r="AJ57" s="246"/>
      <c r="AK57" s="246"/>
      <c r="AL57" s="246"/>
      <c r="AM57" s="246"/>
      <c r="AN57" s="246"/>
      <c r="AO57" s="246"/>
      <c r="AP57" s="246"/>
    </row>
    <row r="58" spans="1:42">
      <c r="A58" s="199" t="s">
        <v>16</v>
      </c>
      <c r="C58" s="245" t="s">
        <v>64</v>
      </c>
      <c r="D58" s="199" t="s">
        <v>67</v>
      </c>
      <c r="E58" s="200">
        <f>SUM(E54:E57)</f>
        <v>6.4672386453068516</v>
      </c>
      <c r="F58" s="200">
        <f t="shared" si="29"/>
        <v>6.4807658810743973</v>
      </c>
      <c r="G58" s="200">
        <f t="shared" si="29"/>
        <v>7.49840630327596</v>
      </c>
      <c r="H58" s="200">
        <f t="shared" si="30"/>
        <v>7.49840630327596</v>
      </c>
      <c r="I58" s="200">
        <f t="shared" si="30"/>
        <v>10.043848495630552</v>
      </c>
      <c r="J58" s="200">
        <f t="shared" si="30"/>
        <v>12.136238433897288</v>
      </c>
      <c r="K58" s="200">
        <f t="shared" si="30"/>
        <v>13.555067701609289</v>
      </c>
      <c r="L58" s="43"/>
      <c r="M58" s="200">
        <f>SUM(M54:M57)</f>
        <v>6.4807658810743973</v>
      </c>
      <c r="N58" s="200">
        <f>SUM(N54:N57)</f>
        <v>7.49840630327596</v>
      </c>
      <c r="O58" s="200">
        <f>SUM(O54:O57)</f>
        <v>11.342916763696177</v>
      </c>
      <c r="P58" s="200">
        <f>SUM(P54:P57)</f>
        <v>16.180848760229683</v>
      </c>
      <c r="Q58" s="200">
        <f>SUM(Q54:Q57)</f>
        <v>21.076113361908739</v>
      </c>
      <c r="R58" s="246"/>
      <c r="S58" s="200">
        <f>SUM(S54:S57)</f>
        <v>6.4807658810743973</v>
      </c>
      <c r="T58" s="200">
        <f>SUM(T54:T57)</f>
        <v>7.49840630327596</v>
      </c>
      <c r="U58" s="200">
        <f>SUM(U54:U57)</f>
        <v>10.043848495630552</v>
      </c>
      <c r="V58" s="200">
        <f>SUM(V54:V57)</f>
        <v>12.136238433897288</v>
      </c>
      <c r="W58" s="200">
        <f>SUM(W54:W57)</f>
        <v>13.555067701609289</v>
      </c>
      <c r="X58" s="246"/>
      <c r="Y58" s="246"/>
      <c r="Z58" s="246"/>
      <c r="AA58" s="246"/>
      <c r="AB58" s="246"/>
      <c r="AC58" s="246"/>
      <c r="AD58" s="246"/>
      <c r="AE58" s="246"/>
      <c r="AF58" s="246"/>
      <c r="AG58" s="246"/>
      <c r="AH58" s="246"/>
      <c r="AI58" s="246"/>
      <c r="AJ58" s="246"/>
      <c r="AK58" s="246"/>
      <c r="AL58" s="246"/>
      <c r="AM58" s="246"/>
      <c r="AN58" s="246"/>
      <c r="AO58" s="246"/>
      <c r="AP58" s="246"/>
    </row>
    <row r="59" spans="1:42">
      <c r="A59" s="199" t="s">
        <v>16</v>
      </c>
      <c r="C59" s="245" t="s">
        <v>65</v>
      </c>
      <c r="D59" s="199" t="s">
        <v>66</v>
      </c>
      <c r="E59" s="49">
        <f>E16/E58</f>
        <v>8.0908461480761389</v>
      </c>
      <c r="F59" s="49">
        <f t="shared" si="29"/>
        <v>8.0739582083769772</v>
      </c>
      <c r="G59" s="49">
        <f t="shared" si="29"/>
        <v>7.9095060471834904</v>
      </c>
      <c r="H59" s="49">
        <f t="shared" si="30"/>
        <v>7.9095060471834904</v>
      </c>
      <c r="I59" s="49">
        <f t="shared" si="30"/>
        <v>6.5668145062814656</v>
      </c>
      <c r="J59" s="49">
        <f t="shared" si="30"/>
        <v>5.8811720277878035</v>
      </c>
      <c r="K59" s="49">
        <f t="shared" si="30"/>
        <v>5.5711937898350978</v>
      </c>
      <c r="L59" s="43"/>
      <c r="M59" s="49">
        <f>F16/M58</f>
        <v>8.4481514163638405</v>
      </c>
      <c r="N59" s="49">
        <f>H16/N58</f>
        <v>7.9095060471834904</v>
      </c>
      <c r="O59" s="49">
        <f>I16/O58</f>
        <v>5.8147380761090668</v>
      </c>
      <c r="P59" s="49">
        <f>J16/P58</f>
        <v>4.4110977772334632</v>
      </c>
      <c r="Q59" s="49">
        <f>K16/Q58</f>
        <v>3.583104137999416</v>
      </c>
      <c r="R59" s="246"/>
      <c r="S59" s="49">
        <f>S16/S58</f>
        <v>8.0739582083769772</v>
      </c>
      <c r="T59" s="49">
        <f>T16/T58</f>
        <v>7.9095060471834904</v>
      </c>
      <c r="U59" s="49">
        <f>U16/U58</f>
        <v>6.5668145062814656</v>
      </c>
      <c r="V59" s="49">
        <f>V16/V58</f>
        <v>5.8811720277878035</v>
      </c>
      <c r="W59" s="49">
        <f>W16/W58</f>
        <v>5.5711937898350978</v>
      </c>
      <c r="X59" s="246"/>
      <c r="Y59" s="246"/>
      <c r="Z59" s="246"/>
      <c r="AA59" s="246"/>
      <c r="AB59" s="246"/>
      <c r="AC59" s="246"/>
      <c r="AD59" s="246"/>
      <c r="AE59" s="246"/>
      <c r="AF59" s="246"/>
      <c r="AG59" s="246"/>
      <c r="AH59" s="246"/>
      <c r="AI59" s="246"/>
      <c r="AJ59" s="246"/>
      <c r="AK59" s="246"/>
      <c r="AL59" s="246"/>
      <c r="AM59" s="246"/>
      <c r="AN59" s="246"/>
      <c r="AO59" s="246"/>
      <c r="AP59" s="246"/>
    </row>
    <row r="60" spans="1:42">
      <c r="A60" s="199" t="s">
        <v>16</v>
      </c>
      <c r="C60" s="245" t="s">
        <v>166</v>
      </c>
      <c r="D60" s="199" t="s">
        <v>144</v>
      </c>
      <c r="E60" s="200">
        <f>1000/E59</f>
        <v>123.59646713066994</v>
      </c>
      <c r="F60" s="200">
        <f t="shared" si="29"/>
        <v>123.8549883701986</v>
      </c>
      <c r="G60" s="200">
        <f t="shared" si="29"/>
        <v>126.43014545214132</v>
      </c>
      <c r="H60" s="200">
        <f t="shared" si="30"/>
        <v>126.43014545214132</v>
      </c>
      <c r="I60" s="200">
        <f t="shared" si="30"/>
        <v>152.28083556242578</v>
      </c>
      <c r="J60" s="200">
        <f t="shared" si="30"/>
        <v>170.03413524976398</v>
      </c>
      <c r="K60" s="200">
        <f t="shared" si="30"/>
        <v>179.49474344700531</v>
      </c>
      <c r="M60" s="200">
        <f>1000/M59</f>
        <v>118.36909055193152</v>
      </c>
      <c r="N60" s="200">
        <f>1000/N59</f>
        <v>126.43014545214132</v>
      </c>
      <c r="O60" s="200">
        <f>1000/O59</f>
        <v>171.97679188830293</v>
      </c>
      <c r="P60" s="200">
        <f>1000/P59</f>
        <v>226.70093715927024</v>
      </c>
      <c r="Q60" s="200">
        <f>1000/Q59</f>
        <v>279.0876183013587</v>
      </c>
      <c r="S60" s="200">
        <f>1000/S59</f>
        <v>123.8549883701986</v>
      </c>
      <c r="T60" s="200">
        <f>1000/T59</f>
        <v>126.43014545214132</v>
      </c>
      <c r="U60" s="200">
        <f>1000/U59</f>
        <v>152.28083556242578</v>
      </c>
      <c r="V60" s="200">
        <f>1000/V59</f>
        <v>170.03413524976398</v>
      </c>
      <c r="W60" s="200">
        <f>1000/W59</f>
        <v>179.49474344700531</v>
      </c>
    </row>
    <row r="61" spans="1:42">
      <c r="A61" s="199" t="s">
        <v>16</v>
      </c>
      <c r="C61" s="245" t="s">
        <v>167</v>
      </c>
      <c r="E61" s="249">
        <f>E57/E58</f>
        <v>6.9361339507785322E-2</v>
      </c>
      <c r="F61" s="249">
        <f t="shared" si="29"/>
        <v>7.1303851983299069E-2</v>
      </c>
      <c r="G61" s="249">
        <f t="shared" si="29"/>
        <v>6.0357260567549052E-2</v>
      </c>
      <c r="H61" s="249">
        <f t="shared" si="30"/>
        <v>6.0357260567549052E-2</v>
      </c>
      <c r="I61" s="249">
        <f t="shared" si="30"/>
        <v>5.6142157076141681E-2</v>
      </c>
      <c r="J61" s="249">
        <f t="shared" si="30"/>
        <v>5.7174420623178172E-2</v>
      </c>
      <c r="K61" s="249">
        <f t="shared" si="30"/>
        <v>6.1170613443732556E-2</v>
      </c>
      <c r="M61" s="249">
        <f>M57/M58</f>
        <v>7.1303851983299069E-2</v>
      </c>
      <c r="N61" s="249">
        <f>N57/N58</f>
        <v>6.0357260567549052E-2</v>
      </c>
      <c r="O61" s="249">
        <f>O57/O58</f>
        <v>4.971237395441435E-2</v>
      </c>
      <c r="P61" s="249">
        <f>P57/P58</f>
        <v>4.2882942130223291E-2</v>
      </c>
      <c r="Q61" s="249">
        <f>Q57/Q58</f>
        <v>3.934177959382891E-2</v>
      </c>
      <c r="S61" s="249">
        <f>S57/S58</f>
        <v>7.1303851983299069E-2</v>
      </c>
      <c r="T61" s="249">
        <f>T57/T58</f>
        <v>6.0357260567549052E-2</v>
      </c>
      <c r="U61" s="249">
        <f>U57/U58</f>
        <v>5.6142157076141681E-2</v>
      </c>
      <c r="V61" s="249">
        <f>V57/V58</f>
        <v>5.7174420623178172E-2</v>
      </c>
      <c r="W61" s="249">
        <f>W57/W58</f>
        <v>6.1170613443732556E-2</v>
      </c>
    </row>
    <row r="62" spans="1:42">
      <c r="A62" s="199" t="s">
        <v>16</v>
      </c>
      <c r="C62" s="245"/>
      <c r="E62" s="249"/>
      <c r="F62" s="249"/>
      <c r="G62" s="249"/>
      <c r="H62" s="249"/>
      <c r="I62" s="249"/>
      <c r="J62" s="249"/>
      <c r="K62" s="249"/>
    </row>
    <row r="63" spans="1:42" ht="15.75" thickBot="1">
      <c r="A63" s="199" t="s">
        <v>16</v>
      </c>
      <c r="C63" s="244" t="s">
        <v>80</v>
      </c>
      <c r="E63" s="249"/>
      <c r="F63" s="249"/>
      <c r="G63" s="249"/>
      <c r="H63" s="249"/>
      <c r="I63" s="249"/>
      <c r="J63" s="249"/>
      <c r="K63" s="249"/>
    </row>
    <row r="64" spans="1:42">
      <c r="A64" s="199" t="s">
        <v>16</v>
      </c>
      <c r="C64" s="245" t="s">
        <v>168</v>
      </c>
      <c r="D64" s="199" t="s">
        <v>169</v>
      </c>
      <c r="E64" s="72">
        <f>[2]Calib_1011!$H$96*[2]Calib_1011!$H$97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199" t="s">
        <v>16</v>
      </c>
      <c r="C65" s="245"/>
      <c r="M65" s="8"/>
    </row>
    <row r="66" spans="1:42" ht="15.75" thickBot="1">
      <c r="A66" s="199" t="s">
        <v>16</v>
      </c>
      <c r="C66" s="244" t="s">
        <v>178</v>
      </c>
      <c r="M66" s="8"/>
    </row>
    <row r="67" spans="1:42">
      <c r="A67" s="199" t="s">
        <v>16</v>
      </c>
      <c r="C67" s="245" t="s">
        <v>179</v>
      </c>
      <c r="D67" s="199" t="s">
        <v>170</v>
      </c>
      <c r="E67" s="214">
        <f>[2]Calib_1011!$H$102</f>
        <v>33.5</v>
      </c>
      <c r="F67" s="81">
        <f t="shared" ref="F67:G70" si="33">E67</f>
        <v>33.5</v>
      </c>
      <c r="G67" s="81">
        <f t="shared" si="33"/>
        <v>33.5</v>
      </c>
      <c r="H67" s="81">
        <f t="shared" ref="H67:K70" si="34">IF($D$4,T67,N67)</f>
        <v>33.5</v>
      </c>
      <c r="I67" s="81">
        <f t="shared" si="34"/>
        <v>33.5</v>
      </c>
      <c r="J67" s="81">
        <f t="shared" si="34"/>
        <v>33.5</v>
      </c>
      <c r="K67" s="81">
        <f t="shared" si="34"/>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199" t="s">
        <v>16</v>
      </c>
      <c r="C68" s="245" t="s">
        <v>63</v>
      </c>
      <c r="D68" s="199" t="s">
        <v>170</v>
      </c>
      <c r="E68" s="64">
        <f>E70*1.5</f>
        <v>32.25</v>
      </c>
      <c r="F68" s="81">
        <f t="shared" si="33"/>
        <v>32.25</v>
      </c>
      <c r="G68" s="81">
        <f t="shared" si="33"/>
        <v>32.25</v>
      </c>
      <c r="H68" s="81">
        <f t="shared" si="34"/>
        <v>32.25</v>
      </c>
      <c r="I68" s="81">
        <f t="shared" si="34"/>
        <v>32.25</v>
      </c>
      <c r="J68" s="81">
        <f t="shared" si="34"/>
        <v>32.25</v>
      </c>
      <c r="K68" s="81">
        <f t="shared" si="34"/>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199" t="s">
        <v>16</v>
      </c>
      <c r="C69" s="245" t="s">
        <v>82</v>
      </c>
      <c r="D69" s="199" t="s">
        <v>170</v>
      </c>
      <c r="E69" s="64">
        <f>E70*2</f>
        <v>43</v>
      </c>
      <c r="F69" s="81">
        <f t="shared" si="33"/>
        <v>43</v>
      </c>
      <c r="G69" s="81">
        <f t="shared" si="33"/>
        <v>43</v>
      </c>
      <c r="H69" s="81">
        <f t="shared" si="34"/>
        <v>43</v>
      </c>
      <c r="I69" s="81">
        <f t="shared" si="34"/>
        <v>43</v>
      </c>
      <c r="J69" s="81">
        <f t="shared" si="34"/>
        <v>43</v>
      </c>
      <c r="K69" s="81">
        <f t="shared" si="34"/>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199" t="s">
        <v>16</v>
      </c>
      <c r="C70" s="245" t="s">
        <v>180</v>
      </c>
      <c r="D70" s="199" t="s">
        <v>170</v>
      </c>
      <c r="E70" s="72">
        <f>[2]Calib_1011!$H$101</f>
        <v>21.5</v>
      </c>
      <c r="F70" s="81">
        <f t="shared" si="33"/>
        <v>21.5</v>
      </c>
      <c r="G70" s="81">
        <f t="shared" si="33"/>
        <v>21.5</v>
      </c>
      <c r="H70" s="81">
        <f t="shared" si="34"/>
        <v>21.5</v>
      </c>
      <c r="I70" s="81">
        <f t="shared" si="34"/>
        <v>21.5</v>
      </c>
      <c r="J70" s="81">
        <f t="shared" si="34"/>
        <v>21.5</v>
      </c>
      <c r="K70" s="81">
        <f t="shared" si="34"/>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199" t="s">
        <v>16</v>
      </c>
      <c r="C71" s="282" t="s">
        <v>634</v>
      </c>
    </row>
    <row r="72" spans="1:42" ht="15.75" thickBot="1">
      <c r="A72" s="199" t="s">
        <v>16</v>
      </c>
      <c r="C72" s="244" t="s">
        <v>177</v>
      </c>
      <c r="E72" s="7"/>
      <c r="F72" s="7"/>
      <c r="G72" s="7"/>
      <c r="H72" s="7"/>
      <c r="I72" s="7"/>
      <c r="J72" s="7"/>
      <c r="K72" s="7"/>
    </row>
    <row r="73" spans="1:42">
      <c r="A73" s="199" t="s">
        <v>16</v>
      </c>
      <c r="C73" s="245" t="s">
        <v>181</v>
      </c>
      <c r="E73" s="247">
        <f>[2]Calib_1011!$H$100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48">
        <f>$F73</f>
        <v>0.55000000000000004</v>
      </c>
      <c r="N73" s="35">
        <f>M73</f>
        <v>0.55000000000000004</v>
      </c>
      <c r="O73" s="35">
        <f>N73</f>
        <v>0.55000000000000004</v>
      </c>
      <c r="P73" s="35">
        <f>O73</f>
        <v>0.55000000000000004</v>
      </c>
      <c r="Q73" s="35">
        <f>P73</f>
        <v>0.55000000000000004</v>
      </c>
      <c r="S73" s="248">
        <f>$F73</f>
        <v>0.55000000000000004</v>
      </c>
      <c r="T73" s="35">
        <f>S73</f>
        <v>0.55000000000000004</v>
      </c>
      <c r="U73" s="35">
        <f>T73</f>
        <v>0.55000000000000004</v>
      </c>
      <c r="V73" s="35">
        <f>U73</f>
        <v>0.55000000000000004</v>
      </c>
      <c r="W73" s="35">
        <f>V73</f>
        <v>0.55000000000000004</v>
      </c>
    </row>
    <row r="74" spans="1:42">
      <c r="A74" s="199" t="s">
        <v>16</v>
      </c>
      <c r="C74" s="75" t="s">
        <v>192</v>
      </c>
      <c r="E74" s="7"/>
      <c r="F74" s="7"/>
      <c r="G74" s="7"/>
      <c r="H74" s="7"/>
      <c r="I74" s="7"/>
      <c r="J74" s="7"/>
      <c r="K74" s="7"/>
      <c r="S74" s="199" t="s">
        <v>203</v>
      </c>
    </row>
    <row r="75" spans="1:42">
      <c r="A75" s="199" t="s">
        <v>16</v>
      </c>
      <c r="C75" s="39" t="str">
        <f>C54</f>
        <v>Low Income</v>
      </c>
      <c r="D75" s="199" t="s">
        <v>191</v>
      </c>
      <c r="E75" s="200">
        <f>E$25*E$13</f>
        <v>0.52328781566897309</v>
      </c>
      <c r="F75" s="200">
        <f t="shared" ref="F75:K75" si="35">F25*F13</f>
        <v>0.52721986436368018</v>
      </c>
      <c r="G75" s="200">
        <f t="shared" si="35"/>
        <v>0.53157529455599051</v>
      </c>
      <c r="H75" s="200">
        <f t="shared" si="35"/>
        <v>0.56223178674461438</v>
      </c>
      <c r="I75" s="200">
        <f t="shared" si="35"/>
        <v>1.143846707649834</v>
      </c>
      <c r="J75" s="200">
        <f t="shared" si="35"/>
        <v>0.6511574023761173</v>
      </c>
      <c r="K75" s="200">
        <f t="shared" si="35"/>
        <v>0.4609795469992839</v>
      </c>
      <c r="M75" s="200">
        <f>M25*M13</f>
        <v>0.52328781566897309</v>
      </c>
      <c r="N75" s="200">
        <f>N25*N13</f>
        <v>0.56223178674461438</v>
      </c>
      <c r="O75" s="200">
        <f>O25*O13</f>
        <v>0.45753868305993356</v>
      </c>
      <c r="P75" s="200">
        <f>P25*P13</f>
        <v>0.32557870118805865</v>
      </c>
      <c r="Q75" s="200">
        <f>Q25*Q13</f>
        <v>0.23048977349964195</v>
      </c>
      <c r="S75" s="200">
        <f>S25*S13</f>
        <v>0.52328781566897309</v>
      </c>
      <c r="T75" s="200">
        <f>T25*T13</f>
        <v>0.56223178674461438</v>
      </c>
      <c r="U75" s="200">
        <f>U25*U13</f>
        <v>1.143846707649834</v>
      </c>
      <c r="V75" s="200">
        <f>V25*V13</f>
        <v>0.6511574023761173</v>
      </c>
      <c r="W75" s="200">
        <f>W25*W13</f>
        <v>0.4609795469992839</v>
      </c>
    </row>
    <row r="76" spans="1:42">
      <c r="A76" s="199" t="s">
        <v>16</v>
      </c>
      <c r="C76" s="39"/>
      <c r="E76" s="200"/>
      <c r="F76" s="200"/>
      <c r="G76" s="200"/>
      <c r="H76" s="200"/>
      <c r="I76" s="200"/>
      <c r="J76" s="200"/>
      <c r="K76" s="200"/>
      <c r="M76" s="199">
        <f>M53</f>
        <v>2015</v>
      </c>
      <c r="N76" s="199">
        <f t="shared" ref="N76:W76" si="36">N53</f>
        <v>2020</v>
      </c>
      <c r="O76" s="199">
        <f t="shared" si="36"/>
        <v>2030</v>
      </c>
      <c r="P76" s="199">
        <f t="shared" si="36"/>
        <v>2040</v>
      </c>
      <c r="Q76" s="199">
        <f t="shared" si="36"/>
        <v>2050</v>
      </c>
      <c r="S76" s="199">
        <f t="shared" si="36"/>
        <v>2015</v>
      </c>
      <c r="T76" s="199">
        <f t="shared" si="36"/>
        <v>2020</v>
      </c>
      <c r="U76" s="199">
        <f t="shared" si="36"/>
        <v>2030</v>
      </c>
      <c r="V76" s="199">
        <f t="shared" si="36"/>
        <v>2040</v>
      </c>
      <c r="W76" s="199">
        <f t="shared" si="36"/>
        <v>2050</v>
      </c>
    </row>
    <row r="77" spans="1:42">
      <c r="A77" s="199" t="s">
        <v>16</v>
      </c>
      <c r="C77" s="199" t="s">
        <v>83</v>
      </c>
      <c r="D77" s="199" t="s">
        <v>48</v>
      </c>
      <c r="E77" s="247">
        <f>[2]Calib_1011!$H$92</f>
        <v>2.035E-2</v>
      </c>
      <c r="F77" s="66">
        <f t="shared" ref="F77:K77" si="37">F$41*1000*F$35*F$30/F$67/F$64</f>
        <v>0.25414691943127965</v>
      </c>
      <c r="G77" s="66">
        <f t="shared" si="37"/>
        <v>0.25414691943127965</v>
      </c>
      <c r="H77" s="66">
        <f t="shared" si="37"/>
        <v>0.25414691943127965</v>
      </c>
      <c r="I77" s="66">
        <f t="shared" si="37"/>
        <v>0.22936759478672983</v>
      </c>
      <c r="J77" s="66">
        <f t="shared" si="37"/>
        <v>0.20700425429502367</v>
      </c>
      <c r="K77" s="66">
        <f t="shared" si="37"/>
        <v>0.18682133950125882</v>
      </c>
      <c r="L77" s="259"/>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58"/>
      <c r="S77" s="66">
        <f>S$41*1000*S$35*S$30/S$67/S$64</f>
        <v>0.25414691943127965</v>
      </c>
      <c r="T77" s="66">
        <f>T$41*1000*T$35*T$30/T$67/T$64</f>
        <v>0.25414691943127965</v>
      </c>
      <c r="U77" s="66">
        <f>U$41*1000*U$35*U$30/U$67/U$64</f>
        <v>0.22936759478672983</v>
      </c>
      <c r="V77" s="66">
        <f>V$41*1000*V$35*V$30/V$67/V$64</f>
        <v>0.20700425429502367</v>
      </c>
      <c r="W77" s="66">
        <f>W$41*1000*W$35*W$30/W$67/W$64</f>
        <v>0.18682133950125882</v>
      </c>
      <c r="X77" s="258"/>
      <c r="Y77" s="258"/>
      <c r="Z77" s="258"/>
      <c r="AA77" s="258"/>
      <c r="AB77" s="258"/>
      <c r="AC77" s="258"/>
      <c r="AD77" s="258"/>
      <c r="AE77" s="258"/>
      <c r="AF77" s="258"/>
      <c r="AG77" s="258"/>
      <c r="AH77" s="258"/>
      <c r="AI77" s="258"/>
      <c r="AJ77" s="258"/>
      <c r="AK77" s="258"/>
      <c r="AL77" s="258"/>
      <c r="AM77" s="258"/>
      <c r="AN77" s="258"/>
      <c r="AO77" s="258"/>
      <c r="AP77" s="258"/>
    </row>
    <row r="78" spans="1:42">
      <c r="A78" s="199" t="s">
        <v>16</v>
      </c>
      <c r="C78" s="199" t="s">
        <v>63</v>
      </c>
      <c r="D78" s="199" t="s">
        <v>48</v>
      </c>
      <c r="E78" s="34">
        <v>5.0000000000000001E-3</v>
      </c>
      <c r="F78" s="66">
        <f>E78</f>
        <v>5.0000000000000001E-3</v>
      </c>
      <c r="G78" s="66">
        <f>F78</f>
        <v>5.0000000000000001E-3</v>
      </c>
      <c r="H78" s="66">
        <f t="shared" ref="H78:K79" si="38">IF($D$4,T78,N78)</f>
        <v>0.02</v>
      </c>
      <c r="I78" s="66">
        <f t="shared" si="38"/>
        <v>7.0000000000000007E-2</v>
      </c>
      <c r="J78" s="66">
        <f t="shared" si="38"/>
        <v>0.15</v>
      </c>
      <c r="K78" s="66">
        <f t="shared" si="38"/>
        <v>0.25</v>
      </c>
      <c r="L78" s="259"/>
      <c r="M78" s="248">
        <f>$F78</f>
        <v>5.0000000000000001E-3</v>
      </c>
      <c r="N78" s="35">
        <v>0.02</v>
      </c>
      <c r="O78" s="35">
        <v>0.05</v>
      </c>
      <c r="P78" s="35">
        <v>0.1</v>
      </c>
      <c r="Q78" s="35">
        <v>0.15</v>
      </c>
      <c r="R78" s="258"/>
      <c r="S78" s="248">
        <f>$F78</f>
        <v>5.0000000000000001E-3</v>
      </c>
      <c r="T78" s="35">
        <v>0.02</v>
      </c>
      <c r="U78" s="77">
        <v>7.0000000000000007E-2</v>
      </c>
      <c r="V78" s="77">
        <v>0.15</v>
      </c>
      <c r="W78" s="77">
        <v>0.25</v>
      </c>
      <c r="X78" s="258"/>
      <c r="Y78" s="258"/>
      <c r="Z78" s="258"/>
      <c r="AA78" s="258"/>
      <c r="AB78" s="258"/>
      <c r="AC78" s="258"/>
      <c r="AD78" s="258"/>
      <c r="AE78" s="258"/>
      <c r="AF78" s="258"/>
      <c r="AG78" s="258"/>
      <c r="AH78" s="258"/>
      <c r="AI78" s="258"/>
      <c r="AJ78" s="258"/>
      <c r="AK78" s="258"/>
      <c r="AL78" s="258"/>
      <c r="AM78" s="258"/>
      <c r="AN78" s="258"/>
      <c r="AO78" s="258"/>
      <c r="AP78" s="258"/>
    </row>
    <row r="79" spans="1:42">
      <c r="A79" s="199" t="s">
        <v>16</v>
      </c>
      <c r="C79" s="199" t="s">
        <v>82</v>
      </c>
      <c r="D79" s="199" t="s">
        <v>48</v>
      </c>
      <c r="E79" s="34">
        <v>0</v>
      </c>
      <c r="F79" s="66">
        <f>E79</f>
        <v>0</v>
      </c>
      <c r="G79" s="66">
        <f>F79</f>
        <v>0</v>
      </c>
      <c r="H79" s="66">
        <f t="shared" si="38"/>
        <v>0</v>
      </c>
      <c r="I79" s="66">
        <f t="shared" si="38"/>
        <v>0</v>
      </c>
      <c r="J79" s="66">
        <f t="shared" si="38"/>
        <v>0</v>
      </c>
      <c r="K79" s="66">
        <f t="shared" si="38"/>
        <v>0</v>
      </c>
      <c r="L79" s="259"/>
      <c r="M79" s="248">
        <f>$F79</f>
        <v>0</v>
      </c>
      <c r="N79" s="35">
        <v>0</v>
      </c>
      <c r="O79" s="35">
        <v>0</v>
      </c>
      <c r="P79" s="35">
        <v>0</v>
      </c>
      <c r="Q79" s="35">
        <v>0</v>
      </c>
      <c r="R79" s="258"/>
      <c r="S79" s="248">
        <f>$F79</f>
        <v>0</v>
      </c>
      <c r="T79" s="35">
        <v>0</v>
      </c>
      <c r="U79" s="35">
        <v>0</v>
      </c>
      <c r="V79" s="35">
        <v>0</v>
      </c>
      <c r="W79" s="35">
        <v>0</v>
      </c>
      <c r="X79" s="258"/>
      <c r="Y79" s="258"/>
      <c r="Z79" s="258"/>
      <c r="AA79" s="258"/>
      <c r="AB79" s="258"/>
      <c r="AC79" s="258"/>
      <c r="AD79" s="258"/>
      <c r="AE79" s="258"/>
      <c r="AF79" s="258"/>
      <c r="AG79" s="258"/>
      <c r="AH79" s="258"/>
      <c r="AI79" s="258"/>
      <c r="AJ79" s="258"/>
      <c r="AK79" s="258"/>
      <c r="AL79" s="258"/>
      <c r="AM79" s="258"/>
      <c r="AN79" s="258"/>
      <c r="AO79" s="258"/>
      <c r="AP79" s="258"/>
    </row>
    <row r="80" spans="1:42">
      <c r="A80" s="199" t="s">
        <v>16</v>
      </c>
      <c r="C80" s="199" t="s">
        <v>81</v>
      </c>
      <c r="D80" s="199" t="s">
        <v>48</v>
      </c>
      <c r="E80" s="34">
        <f t="shared" ref="E80:K80" si="39">1-SUM(E77:E79)</f>
        <v>0.97465000000000002</v>
      </c>
      <c r="F80" s="34">
        <f t="shared" si="39"/>
        <v>0.74085308056872035</v>
      </c>
      <c r="G80" s="34">
        <f t="shared" ref="G80" si="40">1-SUM(G77:G79)</f>
        <v>0.74085308056872035</v>
      </c>
      <c r="H80" s="34">
        <f t="shared" si="39"/>
        <v>0.72585308056872033</v>
      </c>
      <c r="I80" s="34">
        <f t="shared" si="39"/>
        <v>0.70063240521327019</v>
      </c>
      <c r="J80" s="34">
        <f t="shared" si="39"/>
        <v>0.64299574570497631</v>
      </c>
      <c r="K80" s="34">
        <f t="shared" si="39"/>
        <v>0.56317866049874121</v>
      </c>
      <c r="L80" s="259"/>
      <c r="M80" s="34">
        <f>1-SUM(M77:M79)</f>
        <v>0.74085308056872035</v>
      </c>
      <c r="N80" s="34">
        <f>1-SUM(N77:N79)</f>
        <v>0.72585308056872033</v>
      </c>
      <c r="O80" s="34">
        <f>1-SUM(O77:O79)</f>
        <v>0.69585308056872042</v>
      </c>
      <c r="P80" s="34">
        <f>1-SUM(P77:P79)</f>
        <v>0.64585308056872037</v>
      </c>
      <c r="Q80" s="34">
        <f>1-SUM(Q77:Q79)</f>
        <v>0.59585308056872033</v>
      </c>
      <c r="R80" s="258"/>
      <c r="S80" s="34">
        <f>1-SUM(S77:S79)</f>
        <v>0.74085308056872035</v>
      </c>
      <c r="T80" s="34">
        <f>1-SUM(T77:T79)</f>
        <v>0.72585308056872033</v>
      </c>
      <c r="U80" s="34">
        <f>1-SUM(U77:U79)</f>
        <v>0.70063240521327019</v>
      </c>
      <c r="V80" s="34">
        <f>1-SUM(V77:V79)</f>
        <v>0.64299574570497631</v>
      </c>
      <c r="W80" s="34">
        <f>1-SUM(W77:W79)</f>
        <v>0.56317866049874121</v>
      </c>
      <c r="X80" s="258"/>
      <c r="Y80" s="258"/>
      <c r="Z80" s="258"/>
      <c r="AA80" s="258"/>
      <c r="AB80" s="258"/>
      <c r="AC80" s="258"/>
      <c r="AD80" s="258"/>
      <c r="AE80" s="258"/>
      <c r="AF80" s="258"/>
      <c r="AG80" s="258"/>
      <c r="AH80" s="258"/>
      <c r="AI80" s="258"/>
      <c r="AJ80" s="258"/>
      <c r="AK80" s="258"/>
      <c r="AL80" s="258"/>
      <c r="AM80" s="258"/>
      <c r="AN80" s="258"/>
      <c r="AO80" s="258"/>
      <c r="AP80" s="258"/>
    </row>
    <row r="81" spans="1:42">
      <c r="A81" s="199" t="s">
        <v>16</v>
      </c>
      <c r="C81" s="39" t="str">
        <f>C55</f>
        <v>Middle Income</v>
      </c>
      <c r="D81" s="199" t="s">
        <v>191</v>
      </c>
      <c r="E81" s="200">
        <f t="shared" ref="E81:K81" si="41">E$26*E$14</f>
        <v>8.3202762691366736</v>
      </c>
      <c r="F81" s="200">
        <f t="shared" si="41"/>
        <v>8.7980675070445074</v>
      </c>
      <c r="G81" s="200">
        <f t="shared" si="41"/>
        <v>9.1683718080067855</v>
      </c>
      <c r="H81" s="200">
        <f t="shared" si="41"/>
        <v>10.176681245992439</v>
      </c>
      <c r="I81" s="200">
        <f t="shared" si="41"/>
        <v>12.114697097053147</v>
      </c>
      <c r="J81" s="200">
        <f t="shared" si="41"/>
        <v>13.65805050076775</v>
      </c>
      <c r="K81" s="200">
        <f t="shared" si="41"/>
        <v>13.901830808188462</v>
      </c>
      <c r="M81" s="200">
        <f>M$26*M$14</f>
        <v>8.3202762691366736</v>
      </c>
      <c r="N81" s="200">
        <f>N$26*N$14</f>
        <v>10.176681245992439</v>
      </c>
      <c r="O81" s="200">
        <f>O$26*O$14</f>
        <v>12.752312733740158</v>
      </c>
      <c r="P81" s="200">
        <f>P$26*P$14</f>
        <v>15.133573962069534</v>
      </c>
      <c r="Q81" s="200">
        <f>Q$26*Q$14</f>
        <v>16.214411206518111</v>
      </c>
      <c r="S81" s="200">
        <f>S$26*S$14</f>
        <v>8.3202762691366736</v>
      </c>
      <c r="T81" s="200">
        <f>T$26*T$14</f>
        <v>10.176681245992439</v>
      </c>
      <c r="U81" s="200">
        <f>U$26*U$14</f>
        <v>12.114697097053147</v>
      </c>
      <c r="V81" s="200">
        <f>V$26*V$14</f>
        <v>13.65805050076775</v>
      </c>
      <c r="W81" s="200">
        <f>W$26*W$14</f>
        <v>13.901830808188462</v>
      </c>
    </row>
    <row r="82" spans="1:42">
      <c r="A82" s="199" t="s">
        <v>16</v>
      </c>
      <c r="C82" s="199" t="str">
        <f>C77</f>
        <v>Priv.veh.</v>
      </c>
      <c r="D82" s="199" t="s">
        <v>48</v>
      </c>
      <c r="E82" s="66">
        <f t="shared" ref="E82:M82" si="42">E$42*1000*E$36*E$31/E$67/E$64</f>
        <v>0.53206565737051803</v>
      </c>
      <c r="F82" s="66">
        <f t="shared" si="42"/>
        <v>0.53206565737051803</v>
      </c>
      <c r="G82" s="66">
        <f t="shared" si="42"/>
        <v>0.53206565737051803</v>
      </c>
      <c r="H82" s="66">
        <f t="shared" si="42"/>
        <v>0.53206565737051803</v>
      </c>
      <c r="I82" s="66">
        <f t="shared" si="42"/>
        <v>0.48018925577689242</v>
      </c>
      <c r="J82" s="66">
        <f t="shared" si="42"/>
        <v>0.43337080333864531</v>
      </c>
      <c r="K82" s="66">
        <f t="shared" si="42"/>
        <v>0.3911171500131273</v>
      </c>
      <c r="L82" s="259"/>
      <c r="M82" s="66">
        <f t="shared" si="42"/>
        <v>0.53206565737051803</v>
      </c>
      <c r="N82" s="66">
        <f>N$42*1000*N$36*N$31/N$67/N$64</f>
        <v>0.53206565737051803</v>
      </c>
      <c r="O82" s="66">
        <f>O$42*1000*O$36*O$31/O$67/O$64</f>
        <v>0.53206565737051803</v>
      </c>
      <c r="P82" s="66">
        <f>P$42*1000*P$36*P$31/P$67/P$64</f>
        <v>0.53206565737051803</v>
      </c>
      <c r="Q82" s="66">
        <f>Q$42*1000*Q$36*Q$31/Q$67/Q$64</f>
        <v>0.53206565737051803</v>
      </c>
      <c r="R82" s="258"/>
      <c r="S82" s="66">
        <f>S$42*1000*S$36*S$31/S$67/S$64</f>
        <v>0.53206565737051803</v>
      </c>
      <c r="T82" s="66">
        <f>T$42*1000*T$36*T$31/T$67/T$64</f>
        <v>0.53206565737051803</v>
      </c>
      <c r="U82" s="66">
        <f>U$42*1000*U$36*U$31/U$67/U$64</f>
        <v>0.48018925577689242</v>
      </c>
      <c r="V82" s="66">
        <f>V$42*1000*V$36*V$31/V$67/V$64</f>
        <v>0.43337080333864531</v>
      </c>
      <c r="W82" s="66">
        <f>W$42*1000*W$36*W$31/W$67/W$64</f>
        <v>0.3911171500131273</v>
      </c>
      <c r="X82" s="258"/>
      <c r="Y82" s="258"/>
      <c r="Z82" s="258"/>
      <c r="AA82" s="258"/>
      <c r="AB82" s="258"/>
      <c r="AC82" s="258"/>
      <c r="AD82" s="258"/>
      <c r="AE82" s="258"/>
      <c r="AF82" s="258"/>
      <c r="AG82" s="258"/>
      <c r="AH82" s="258"/>
      <c r="AI82" s="258"/>
      <c r="AJ82" s="258"/>
      <c r="AK82" s="258"/>
      <c r="AL82" s="258"/>
      <c r="AM82" s="258"/>
      <c r="AN82" s="258"/>
      <c r="AO82" s="258"/>
      <c r="AP82" s="258"/>
    </row>
    <row r="83" spans="1:42">
      <c r="A83" s="199" t="s">
        <v>16</v>
      </c>
      <c r="C83" s="199" t="str">
        <f>C78</f>
        <v>BRT</v>
      </c>
      <c r="D83" s="199" t="s">
        <v>48</v>
      </c>
      <c r="E83" s="258">
        <v>0.01</v>
      </c>
      <c r="F83" s="66">
        <f>E83</f>
        <v>0.01</v>
      </c>
      <c r="G83" s="66">
        <f>F83</f>
        <v>0.01</v>
      </c>
      <c r="H83" s="66">
        <f t="shared" ref="H83:K84" si="43">IF($D$4,T83,N83)</f>
        <v>0.02</v>
      </c>
      <c r="I83" s="66">
        <f t="shared" si="43"/>
        <v>7.0000000000000007E-2</v>
      </c>
      <c r="J83" s="66">
        <f t="shared" si="43"/>
        <v>0.15</v>
      </c>
      <c r="K83" s="66">
        <f t="shared" si="43"/>
        <v>0.25</v>
      </c>
      <c r="L83" s="259"/>
      <c r="M83" s="248">
        <f>$F83</f>
        <v>0.01</v>
      </c>
      <c r="N83" s="35">
        <v>0.02</v>
      </c>
      <c r="O83" s="35">
        <v>0.05</v>
      </c>
      <c r="P83" s="35">
        <v>0.1</v>
      </c>
      <c r="Q83" s="35">
        <v>0.15</v>
      </c>
      <c r="R83" s="258"/>
      <c r="S83" s="248">
        <f>$F83</f>
        <v>0.01</v>
      </c>
      <c r="T83" s="35">
        <v>0.02</v>
      </c>
      <c r="U83" s="77">
        <v>7.0000000000000007E-2</v>
      </c>
      <c r="V83" s="77">
        <v>0.15</v>
      </c>
      <c r="W83" s="77">
        <v>0.25</v>
      </c>
      <c r="X83" s="258"/>
      <c r="Y83" s="258"/>
      <c r="Z83" s="258"/>
      <c r="AA83" s="258"/>
      <c r="AB83" s="258"/>
      <c r="AC83" s="258"/>
      <c r="AD83" s="258"/>
      <c r="AE83" s="258"/>
      <c r="AF83" s="258"/>
      <c r="AG83" s="258"/>
      <c r="AH83" s="258"/>
      <c r="AI83" s="258"/>
      <c r="AJ83" s="258"/>
      <c r="AK83" s="258"/>
      <c r="AL83" s="258"/>
      <c r="AM83" s="258"/>
      <c r="AN83" s="258"/>
      <c r="AO83" s="258"/>
      <c r="AP83" s="258"/>
    </row>
    <row r="84" spans="1:42">
      <c r="A84" s="199" t="s">
        <v>16</v>
      </c>
      <c r="C84" s="199" t="str">
        <f>C79</f>
        <v>Gautrain</v>
      </c>
      <c r="D84" s="199" t="s">
        <v>48</v>
      </c>
      <c r="E84" s="260">
        <v>2E-3</v>
      </c>
      <c r="F84" s="149">
        <f>E84</f>
        <v>2E-3</v>
      </c>
      <c r="G84" s="149">
        <f>F84</f>
        <v>2E-3</v>
      </c>
      <c r="H84" s="149">
        <f t="shared" si="43"/>
        <v>2E-3</v>
      </c>
      <c r="I84" s="149">
        <f t="shared" si="43"/>
        <v>0.01</v>
      </c>
      <c r="J84" s="149">
        <f t="shared" si="43"/>
        <v>0.02</v>
      </c>
      <c r="K84" s="149">
        <f t="shared" si="43"/>
        <v>0.03</v>
      </c>
      <c r="L84" s="259"/>
      <c r="M84" s="248">
        <f>$F84</f>
        <v>2E-3</v>
      </c>
      <c r="N84" s="50">
        <v>2E-3</v>
      </c>
      <c r="O84" s="50">
        <f>N84</f>
        <v>2E-3</v>
      </c>
      <c r="P84" s="50">
        <f>O84</f>
        <v>2E-3</v>
      </c>
      <c r="Q84" s="50">
        <f>P84</f>
        <v>2E-3</v>
      </c>
      <c r="R84" s="258"/>
      <c r="S84" s="248">
        <f>$F84</f>
        <v>2E-3</v>
      </c>
      <c r="T84" s="50">
        <v>2E-3</v>
      </c>
      <c r="U84" s="79">
        <v>0.01</v>
      </c>
      <c r="V84" s="79">
        <v>0.02</v>
      </c>
      <c r="W84" s="79">
        <v>0.03</v>
      </c>
      <c r="X84" s="258"/>
      <c r="Y84" s="258"/>
      <c r="Z84" s="258"/>
      <c r="AA84" s="258"/>
      <c r="AB84" s="258"/>
      <c r="AC84" s="258"/>
      <c r="AD84" s="258"/>
      <c r="AE84" s="258"/>
      <c r="AF84" s="258"/>
      <c r="AG84" s="258"/>
      <c r="AH84" s="258"/>
      <c r="AI84" s="258"/>
      <c r="AJ84" s="258"/>
      <c r="AK84" s="258"/>
      <c r="AL84" s="258"/>
      <c r="AM84" s="258"/>
      <c r="AN84" s="258"/>
      <c r="AO84" s="258"/>
      <c r="AP84" s="258"/>
    </row>
    <row r="85" spans="1:42">
      <c r="A85" s="199" t="s">
        <v>16</v>
      </c>
      <c r="C85" s="199" t="str">
        <f>C80</f>
        <v>Bus, minibus, metro rail</v>
      </c>
      <c r="D85" s="199" t="s">
        <v>48</v>
      </c>
      <c r="E85" s="34">
        <f t="shared" ref="E85:K85" si="44">1-SUM(E82:E84)</f>
        <v>0.45593434262948196</v>
      </c>
      <c r="F85" s="34">
        <f t="shared" si="44"/>
        <v>0.45593434262948196</v>
      </c>
      <c r="G85" s="34">
        <f t="shared" ref="G85" si="45">1-SUM(G82:G84)</f>
        <v>0.45593434262948196</v>
      </c>
      <c r="H85" s="34">
        <f t="shared" si="44"/>
        <v>0.44593434262948195</v>
      </c>
      <c r="I85" s="34">
        <f t="shared" si="44"/>
        <v>0.43981074422310762</v>
      </c>
      <c r="J85" s="34">
        <f t="shared" si="44"/>
        <v>0.39662919666135465</v>
      </c>
      <c r="K85" s="34">
        <f t="shared" si="44"/>
        <v>0.32888284998687267</v>
      </c>
      <c r="L85" s="259"/>
      <c r="M85" s="34">
        <f>1-SUM(M82:M84)</f>
        <v>0.45593434262948196</v>
      </c>
      <c r="N85" s="34">
        <f>1-SUM(N82:N84)</f>
        <v>0.44593434262948195</v>
      </c>
      <c r="O85" s="34">
        <f>1-SUM(O82:O84)</f>
        <v>0.41593434262948192</v>
      </c>
      <c r="P85" s="34">
        <f>1-SUM(P82:P84)</f>
        <v>0.36593434262948199</v>
      </c>
      <c r="Q85" s="34">
        <f>1-SUM(Q82:Q84)</f>
        <v>0.31593434262948195</v>
      </c>
      <c r="R85" s="258"/>
      <c r="S85" s="34">
        <f>1-SUM(S82:S84)</f>
        <v>0.45593434262948196</v>
      </c>
      <c r="T85" s="34">
        <f>1-SUM(T82:T84)</f>
        <v>0.44593434262948195</v>
      </c>
      <c r="U85" s="34">
        <f>1-SUM(U82:U84)</f>
        <v>0.43981074422310762</v>
      </c>
      <c r="V85" s="34">
        <f>1-SUM(V82:V84)</f>
        <v>0.39662919666135465</v>
      </c>
      <c r="W85" s="34">
        <f>1-SUM(W82:W84)</f>
        <v>0.32888284998687267</v>
      </c>
      <c r="X85" s="258"/>
      <c r="Y85" s="258"/>
      <c r="Z85" s="258"/>
      <c r="AA85" s="258"/>
      <c r="AB85" s="258"/>
      <c r="AC85" s="258"/>
      <c r="AD85" s="258"/>
      <c r="AE85" s="258"/>
      <c r="AF85" s="258"/>
      <c r="AG85" s="258"/>
      <c r="AH85" s="258"/>
      <c r="AI85" s="258"/>
      <c r="AJ85" s="258"/>
      <c r="AK85" s="258"/>
      <c r="AL85" s="258"/>
      <c r="AM85" s="258"/>
      <c r="AN85" s="258"/>
      <c r="AO85" s="258"/>
      <c r="AP85" s="258"/>
    </row>
    <row r="86" spans="1:42">
      <c r="A86" s="199" t="s">
        <v>16</v>
      </c>
      <c r="C86" s="39" t="str">
        <f>C56</f>
        <v>High Income</v>
      </c>
      <c r="D86" s="199" t="s">
        <v>191</v>
      </c>
      <c r="E86" s="200">
        <f t="shared" ref="E86:M86" si="46">E$27*E$15</f>
        <v>7.9514297976996948</v>
      </c>
      <c r="F86" s="200">
        <f t="shared" si="46"/>
        <v>8.959921859189814</v>
      </c>
      <c r="G86" s="200">
        <f t="shared" si="46"/>
        <v>9.6097201221378263</v>
      </c>
      <c r="H86" s="200">
        <f t="shared" si="46"/>
        <v>9.1168196226588982</v>
      </c>
      <c r="I86" s="200">
        <f t="shared" si="46"/>
        <v>14.092477622815389</v>
      </c>
      <c r="J86" s="200">
        <f t="shared" si="46"/>
        <v>19.176262202390529</v>
      </c>
      <c r="K86" s="200">
        <f t="shared" si="46"/>
        <v>23.527533364134474</v>
      </c>
      <c r="M86" s="200">
        <f t="shared" si="46"/>
        <v>7.9514297976996948</v>
      </c>
      <c r="N86" s="200">
        <f>N$27*N$15</f>
        <v>9.1168196226588982</v>
      </c>
      <c r="O86" s="200">
        <f>O$27*O$15</f>
        <v>14.453823202887579</v>
      </c>
      <c r="P86" s="200">
        <f>P$27*P$15</f>
        <v>20.172267931508774</v>
      </c>
      <c r="Q86" s="200">
        <f>Q$27*Q$15</f>
        <v>25.384145641440458</v>
      </c>
      <c r="S86" s="200">
        <f>S$27*S$15</f>
        <v>7.9514297976996948</v>
      </c>
      <c r="T86" s="200">
        <f>T$27*T$15</f>
        <v>9.1168196226588982</v>
      </c>
      <c r="U86" s="200">
        <f>U$27*U$15</f>
        <v>14.092477622815389</v>
      </c>
      <c r="V86" s="200">
        <f>V$27*V$15</f>
        <v>19.176262202390529</v>
      </c>
      <c r="W86" s="200">
        <f>W$27*W$15</f>
        <v>23.527533364134474</v>
      </c>
    </row>
    <row r="87" spans="1:42">
      <c r="A87" s="199" t="s">
        <v>16</v>
      </c>
      <c r="C87" s="199" t="str">
        <f>C82</f>
        <v>Priv.veh.</v>
      </c>
      <c r="D87" s="199" t="s">
        <v>48</v>
      </c>
      <c r="E87" s="66">
        <f t="shared" ref="E87:M87" si="47">E$43*1000*E$37*E$32/E$67/E$64</f>
        <v>0.81893071119533589</v>
      </c>
      <c r="F87" s="66">
        <f t="shared" si="47"/>
        <v>0.81893071119533589</v>
      </c>
      <c r="G87" s="66">
        <f t="shared" si="47"/>
        <v>0.80914826242679105</v>
      </c>
      <c r="H87" s="66">
        <f t="shared" si="47"/>
        <v>0.80914826242679105</v>
      </c>
      <c r="I87" s="66">
        <f t="shared" si="47"/>
        <v>0.76919656696946803</v>
      </c>
      <c r="J87" s="66">
        <f t="shared" si="47"/>
        <v>0.73121748647535068</v>
      </c>
      <c r="K87" s="66">
        <f t="shared" si="47"/>
        <v>0.69511362308063007</v>
      </c>
      <c r="L87" s="259"/>
      <c r="M87" s="66">
        <f t="shared" si="47"/>
        <v>0.81893071119533589</v>
      </c>
      <c r="N87" s="66">
        <f>N$43*1000*N$37*N$32/N$67/N$64</f>
        <v>0.80914826242679105</v>
      </c>
      <c r="O87" s="66">
        <f>O$43*1000*O$37*O$32/O$67/O$64</f>
        <v>0.91563884160628617</v>
      </c>
      <c r="P87" s="66">
        <f>P$43*1000*P$37*P$32/P$67/P$64</f>
        <v>1.0489593889046893</v>
      </c>
      <c r="Q87" s="66">
        <f>Q$43*1000*Q$37*Q$32/Q$67/Q$64</f>
        <v>1.1809721682561338</v>
      </c>
      <c r="R87" s="258"/>
      <c r="S87" s="66">
        <f>S$43*1000*S$37*S$32/S$67/S$64</f>
        <v>0.81893071119533589</v>
      </c>
      <c r="T87" s="66">
        <f>T$43*1000*T$37*T$32/T$67/T$64</f>
        <v>0.80914826242679105</v>
      </c>
      <c r="U87" s="66">
        <f>U$43*1000*U$37*U$32/U$67/U$64</f>
        <v>0.76919656696946803</v>
      </c>
      <c r="V87" s="66">
        <f>V$43*1000*V$37*V$32/V$67/V$64</f>
        <v>0.73121748647535068</v>
      </c>
      <c r="W87" s="66">
        <f>W$43*1000*W$37*W$32/W$67/W$64</f>
        <v>0.69511362308063007</v>
      </c>
      <c r="X87" s="258"/>
      <c r="Y87" s="258"/>
      <c r="Z87" s="258"/>
      <c r="AA87" s="258"/>
      <c r="AB87" s="258"/>
      <c r="AC87" s="258"/>
      <c r="AD87" s="258"/>
      <c r="AE87" s="258"/>
      <c r="AF87" s="258"/>
      <c r="AG87" s="258"/>
      <c r="AH87" s="258"/>
      <c r="AI87" s="258"/>
      <c r="AJ87" s="258"/>
      <c r="AK87" s="258"/>
      <c r="AL87" s="258"/>
      <c r="AM87" s="258"/>
      <c r="AN87" s="258"/>
      <c r="AO87" s="258"/>
      <c r="AP87" s="258"/>
    </row>
    <row r="88" spans="1:42">
      <c r="A88" s="199" t="s">
        <v>16</v>
      </c>
      <c r="C88" s="199" t="str">
        <f>C83</f>
        <v>BRT</v>
      </c>
      <c r="D88" s="199" t="s">
        <v>48</v>
      </c>
      <c r="E88" s="258">
        <v>0</v>
      </c>
      <c r="F88" s="66">
        <f>E88</f>
        <v>0</v>
      </c>
      <c r="G88" s="66">
        <f>F88</f>
        <v>0</v>
      </c>
      <c r="H88" s="66">
        <f t="shared" ref="H88:K89" si="48">IF($D$4,T88,N88)</f>
        <v>0.02</v>
      </c>
      <c r="I88" s="66">
        <f t="shared" si="48"/>
        <v>0.03</v>
      </c>
      <c r="J88" s="66">
        <f t="shared" si="48"/>
        <v>0.05</v>
      </c>
      <c r="K88" s="66">
        <f t="shared" si="48"/>
        <v>0.1</v>
      </c>
      <c r="L88" s="259"/>
      <c r="M88" s="248">
        <f>$F88</f>
        <v>0</v>
      </c>
      <c r="N88" s="35">
        <v>0.02</v>
      </c>
      <c r="O88" s="35">
        <v>0.03</v>
      </c>
      <c r="P88" s="35">
        <v>3.5000000000000003E-2</v>
      </c>
      <c r="Q88" s="35">
        <v>0.04</v>
      </c>
      <c r="R88" s="258"/>
      <c r="S88" s="248">
        <f>$F88</f>
        <v>0</v>
      </c>
      <c r="T88" s="35">
        <v>0.02</v>
      </c>
      <c r="U88" s="77">
        <v>0.03</v>
      </c>
      <c r="V88" s="77">
        <v>0.05</v>
      </c>
      <c r="W88" s="77">
        <v>0.1</v>
      </c>
      <c r="X88" s="258"/>
      <c r="Y88" s="258"/>
      <c r="Z88" s="258"/>
      <c r="AA88" s="258"/>
      <c r="AB88" s="258"/>
      <c r="AC88" s="258"/>
      <c r="AD88" s="258"/>
      <c r="AE88" s="258"/>
      <c r="AF88" s="258"/>
      <c r="AG88" s="258"/>
      <c r="AH88" s="258"/>
      <c r="AI88" s="258"/>
      <c r="AJ88" s="258"/>
      <c r="AK88" s="258"/>
      <c r="AL88" s="258"/>
      <c r="AM88" s="258"/>
      <c r="AN88" s="258"/>
      <c r="AO88" s="258"/>
      <c r="AP88" s="258"/>
    </row>
    <row r="89" spans="1:42">
      <c r="A89" s="199" t="s">
        <v>16</v>
      </c>
      <c r="C89" s="199" t="str">
        <f>C84</f>
        <v>Gautrain</v>
      </c>
      <c r="D89" s="199" t="s">
        <v>48</v>
      </c>
      <c r="E89" s="258">
        <v>5.0000000000000001E-3</v>
      </c>
      <c r="F89" s="66">
        <f>E89</f>
        <v>5.0000000000000001E-3</v>
      </c>
      <c r="G89" s="66">
        <f>F89</f>
        <v>5.0000000000000001E-3</v>
      </c>
      <c r="H89" s="66">
        <f t="shared" si="48"/>
        <v>5.0000000000000001E-3</v>
      </c>
      <c r="I89" s="66">
        <f t="shared" si="48"/>
        <v>0.01</v>
      </c>
      <c r="J89" s="66">
        <f t="shared" si="48"/>
        <v>0.03</v>
      </c>
      <c r="K89" s="66">
        <f t="shared" si="48"/>
        <v>0.05</v>
      </c>
      <c r="L89" s="259"/>
      <c r="M89" s="248">
        <f>$F89</f>
        <v>5.0000000000000001E-3</v>
      </c>
      <c r="N89" s="50">
        <v>5.0000000000000001E-3</v>
      </c>
      <c r="O89" s="50">
        <f>N89</f>
        <v>5.0000000000000001E-3</v>
      </c>
      <c r="P89" s="50">
        <f>O89</f>
        <v>5.0000000000000001E-3</v>
      </c>
      <c r="Q89" s="50">
        <f>P89</f>
        <v>5.0000000000000001E-3</v>
      </c>
      <c r="R89" s="258"/>
      <c r="S89" s="248">
        <f>$F89</f>
        <v>5.0000000000000001E-3</v>
      </c>
      <c r="T89" s="50">
        <v>5.0000000000000001E-3</v>
      </c>
      <c r="U89" s="79">
        <v>0.01</v>
      </c>
      <c r="V89" s="79">
        <v>0.03</v>
      </c>
      <c r="W89" s="79">
        <v>0.05</v>
      </c>
      <c r="X89" s="258"/>
      <c r="Y89" s="258"/>
      <c r="Z89" s="258"/>
      <c r="AA89" s="258"/>
      <c r="AB89" s="258"/>
      <c r="AC89" s="258"/>
      <c r="AD89" s="258"/>
      <c r="AE89" s="258"/>
      <c r="AF89" s="258"/>
      <c r="AG89" s="258"/>
      <c r="AH89" s="258"/>
      <c r="AI89" s="258"/>
      <c r="AJ89" s="258"/>
      <c r="AK89" s="258"/>
      <c r="AL89" s="258"/>
      <c r="AM89" s="258"/>
      <c r="AN89" s="258"/>
      <c r="AO89" s="258"/>
      <c r="AP89" s="258"/>
    </row>
    <row r="90" spans="1:42">
      <c r="A90" s="199" t="s">
        <v>16</v>
      </c>
      <c r="C90" s="199" t="str">
        <f>C85</f>
        <v>Bus, minibus, metro rail</v>
      </c>
      <c r="D90" s="199" t="s">
        <v>48</v>
      </c>
      <c r="E90" s="34">
        <f t="shared" ref="E90:K90" si="49">1-SUM(E87:E89)</f>
        <v>0.1760692888046641</v>
      </c>
      <c r="F90" s="34">
        <f t="shared" si="49"/>
        <v>0.1760692888046641</v>
      </c>
      <c r="G90" s="34">
        <f t="shared" ref="G90" si="50">1-SUM(G87:G89)</f>
        <v>0.18585173757320894</v>
      </c>
      <c r="H90" s="34">
        <f t="shared" si="49"/>
        <v>0.16585173757320892</v>
      </c>
      <c r="I90" s="34">
        <f t="shared" si="49"/>
        <v>0.19080343303053193</v>
      </c>
      <c r="J90" s="34">
        <f t="shared" si="49"/>
        <v>0.18878251352464925</v>
      </c>
      <c r="K90" s="34">
        <f t="shared" si="49"/>
        <v>0.15488637691936991</v>
      </c>
      <c r="L90" s="259"/>
      <c r="M90" s="248">
        <f>$F90</f>
        <v>0.1760692888046641</v>
      </c>
      <c r="N90" s="34">
        <f>1-SUM(N87:N89)</f>
        <v>0.16585173757320892</v>
      </c>
      <c r="O90" s="34">
        <f>1-SUM(O87:O89)</f>
        <v>4.93611583937138E-2</v>
      </c>
      <c r="P90" s="34">
        <f>1-SUM(P87:P89)</f>
        <v>-8.895938890468913E-2</v>
      </c>
      <c r="Q90" s="34">
        <f>1-SUM(Q87:Q89)</f>
        <v>-0.22597216825613375</v>
      </c>
      <c r="R90" s="258"/>
      <c r="S90" s="248">
        <f>$F90</f>
        <v>0.1760692888046641</v>
      </c>
      <c r="T90" s="34">
        <f>1-SUM(T87:T89)</f>
        <v>0.16585173757320892</v>
      </c>
      <c r="U90" s="34">
        <f>1-SUM(U87:U89)</f>
        <v>0.19080343303053193</v>
      </c>
      <c r="V90" s="34">
        <f>1-SUM(V87:V89)</f>
        <v>0.18878251352464925</v>
      </c>
      <c r="W90" s="34">
        <f>1-SUM(W87:W89)</f>
        <v>0.15488637691936991</v>
      </c>
      <c r="X90" s="258"/>
      <c r="Y90" s="258"/>
      <c r="Z90" s="258"/>
      <c r="AA90" s="258"/>
      <c r="AB90" s="258"/>
      <c r="AC90" s="258"/>
      <c r="AD90" s="258"/>
      <c r="AE90" s="258"/>
      <c r="AF90" s="258"/>
      <c r="AG90" s="258"/>
      <c r="AH90" s="258"/>
      <c r="AI90" s="258"/>
      <c r="AJ90" s="258"/>
      <c r="AK90" s="258"/>
      <c r="AL90" s="258"/>
      <c r="AM90" s="258"/>
      <c r="AN90" s="258"/>
      <c r="AO90" s="258"/>
      <c r="AP90" s="258"/>
    </row>
    <row r="91" spans="1:42">
      <c r="A91" s="199" t="s">
        <v>16</v>
      </c>
      <c r="C91" s="245"/>
      <c r="E91" s="249"/>
      <c r="F91" s="249"/>
      <c r="G91" s="249"/>
      <c r="H91" s="249"/>
      <c r="I91" s="249"/>
      <c r="J91" s="249"/>
      <c r="K91" s="249"/>
      <c r="N91" s="249"/>
      <c r="O91" s="249"/>
      <c r="P91" s="249"/>
      <c r="Q91" s="249"/>
      <c r="T91" s="249"/>
      <c r="U91" s="249"/>
      <c r="V91" s="249"/>
      <c r="W91" s="249"/>
    </row>
    <row r="92" spans="1:42">
      <c r="A92" s="199" t="s">
        <v>16</v>
      </c>
      <c r="C92" s="75" t="s">
        <v>193</v>
      </c>
      <c r="E92" s="7"/>
      <c r="F92" s="7"/>
      <c r="G92" s="7"/>
      <c r="H92" s="7"/>
      <c r="I92" s="7"/>
      <c r="J92" s="7"/>
      <c r="K92" s="7"/>
      <c r="N92" s="7"/>
      <c r="O92" s="7"/>
      <c r="P92" s="7"/>
      <c r="Q92" s="7"/>
      <c r="T92" s="7"/>
      <c r="U92" s="7"/>
      <c r="V92" s="7"/>
      <c r="W92" s="7"/>
    </row>
    <row r="93" spans="1:42">
      <c r="A93" s="199" t="s">
        <v>16</v>
      </c>
      <c r="C93" s="39" t="str">
        <f>C75</f>
        <v>Low Income</v>
      </c>
      <c r="D93" s="199" t="s">
        <v>191</v>
      </c>
      <c r="E93" s="200">
        <f t="shared" ref="E93:M93" si="51">(1-E$25)*E$13</f>
        <v>25.641102967779684</v>
      </c>
      <c r="F93" s="200">
        <f t="shared" si="51"/>
        <v>25.833773353820327</v>
      </c>
      <c r="G93" s="200">
        <f t="shared" si="51"/>
        <v>26.047189433243531</v>
      </c>
      <c r="H93" s="200">
        <f t="shared" si="51"/>
        <v>27.549357550486103</v>
      </c>
      <c r="I93" s="200">
        <f t="shared" si="51"/>
        <v>21.733087445346843</v>
      </c>
      <c r="J93" s="200">
        <f t="shared" si="51"/>
        <v>15.627777657026815</v>
      </c>
      <c r="K93" s="200">
        <f t="shared" si="51"/>
        <v>11.063509127982812</v>
      </c>
      <c r="M93" s="200">
        <f t="shared" si="51"/>
        <v>25.641102967779684</v>
      </c>
      <c r="N93" s="200">
        <f>(1-N$25)*N$13</f>
        <v>27.549357550486103</v>
      </c>
      <c r="O93" s="200">
        <f>(1-O$25)*O$13</f>
        <v>22.419395469936745</v>
      </c>
      <c r="P93" s="200">
        <f>(1-P$25)*P$13</f>
        <v>15.953356358214874</v>
      </c>
      <c r="Q93" s="200">
        <f>(1-Q$25)*Q$13</f>
        <v>11.293998901482455</v>
      </c>
      <c r="S93" s="200">
        <f>(1-S$25)*S$13</f>
        <v>25.641102967779684</v>
      </c>
      <c r="T93" s="200">
        <f>(1-T$25)*T$13</f>
        <v>27.549357550486103</v>
      </c>
      <c r="U93" s="200">
        <f>(1-U$25)*U$13</f>
        <v>21.733087445346843</v>
      </c>
      <c r="V93" s="200">
        <f>(1-V$25)*V$13</f>
        <v>15.627777657026815</v>
      </c>
      <c r="W93" s="200">
        <f>(1-W$25)*W$13</f>
        <v>11.063509127982812</v>
      </c>
    </row>
    <row r="94" spans="1:42">
      <c r="A94" s="199" t="s">
        <v>16</v>
      </c>
      <c r="C94" s="199" t="s">
        <v>63</v>
      </c>
      <c r="D94" s="199" t="s">
        <v>48</v>
      </c>
      <c r="E94" s="34">
        <v>0</v>
      </c>
      <c r="F94" s="66">
        <f>E94</f>
        <v>0</v>
      </c>
      <c r="G94" s="66">
        <f>F94</f>
        <v>0</v>
      </c>
      <c r="H94" s="66">
        <f t="shared" ref="H94:K95" si="52">IF($D$4,T94,N94)</f>
        <v>0.02</v>
      </c>
      <c r="I94" s="66">
        <f t="shared" si="52"/>
        <v>7.0000000000000007E-2</v>
      </c>
      <c r="J94" s="66">
        <f t="shared" si="52"/>
        <v>0.2</v>
      </c>
      <c r="K94" s="66">
        <f t="shared" si="52"/>
        <v>0.4</v>
      </c>
      <c r="L94" s="259"/>
      <c r="M94" s="248">
        <f>$F94</f>
        <v>0</v>
      </c>
      <c r="N94" s="35">
        <v>0.02</v>
      </c>
      <c r="O94" s="35">
        <v>0.05</v>
      </c>
      <c r="P94" s="35">
        <v>0.1</v>
      </c>
      <c r="Q94" s="35">
        <v>0.15</v>
      </c>
      <c r="R94" s="258"/>
      <c r="S94" s="248">
        <f>$F94</f>
        <v>0</v>
      </c>
      <c r="T94" s="35">
        <v>0.02</v>
      </c>
      <c r="U94" s="77">
        <f>U78</f>
        <v>7.0000000000000007E-2</v>
      </c>
      <c r="V94" s="77">
        <v>0.2</v>
      </c>
      <c r="W94" s="77">
        <v>0.4</v>
      </c>
      <c r="X94" s="258"/>
      <c r="Y94" s="258"/>
      <c r="Z94" s="258"/>
      <c r="AA94" s="258"/>
      <c r="AB94" s="258"/>
      <c r="AC94" s="258"/>
      <c r="AD94" s="258"/>
      <c r="AE94" s="258"/>
      <c r="AF94" s="258"/>
      <c r="AG94" s="258"/>
      <c r="AH94" s="258"/>
      <c r="AI94" s="258"/>
      <c r="AJ94" s="258"/>
      <c r="AK94" s="258"/>
      <c r="AL94" s="258"/>
      <c r="AM94" s="258"/>
      <c r="AN94" s="258"/>
      <c r="AO94" s="258"/>
      <c r="AP94" s="258"/>
    </row>
    <row r="95" spans="1:42">
      <c r="A95" s="199" t="s">
        <v>16</v>
      </c>
      <c r="C95" s="199" t="s">
        <v>82</v>
      </c>
      <c r="D95" s="199" t="s">
        <v>48</v>
      </c>
      <c r="E95" s="34">
        <v>0</v>
      </c>
      <c r="F95" s="66">
        <f>E95</f>
        <v>0</v>
      </c>
      <c r="G95" s="66">
        <f>F95</f>
        <v>0</v>
      </c>
      <c r="H95" s="66">
        <f t="shared" si="52"/>
        <v>0</v>
      </c>
      <c r="I95" s="66">
        <f t="shared" si="52"/>
        <v>0</v>
      </c>
      <c r="J95" s="66">
        <f t="shared" si="52"/>
        <v>0</v>
      </c>
      <c r="K95" s="66">
        <f t="shared" si="52"/>
        <v>0</v>
      </c>
      <c r="L95" s="259"/>
      <c r="M95" s="248">
        <f>$F95</f>
        <v>0</v>
      </c>
      <c r="N95" s="35">
        <v>0</v>
      </c>
      <c r="O95" s="35">
        <v>0</v>
      </c>
      <c r="P95" s="35">
        <v>0</v>
      </c>
      <c r="Q95" s="35">
        <v>0</v>
      </c>
      <c r="R95" s="258"/>
      <c r="S95" s="248">
        <f>$F95</f>
        <v>0</v>
      </c>
      <c r="T95" s="35">
        <v>0</v>
      </c>
      <c r="U95" s="35">
        <v>0</v>
      </c>
      <c r="V95" s="35">
        <v>0</v>
      </c>
      <c r="W95" s="35">
        <v>0</v>
      </c>
      <c r="X95" s="258"/>
      <c r="Y95" s="258"/>
      <c r="Z95" s="258"/>
      <c r="AA95" s="258"/>
      <c r="AB95" s="258"/>
      <c r="AC95" s="258"/>
      <c r="AD95" s="258"/>
      <c r="AE95" s="258"/>
      <c r="AF95" s="258"/>
      <c r="AG95" s="258"/>
      <c r="AH95" s="258"/>
      <c r="AI95" s="258"/>
      <c r="AJ95" s="258"/>
      <c r="AK95" s="258"/>
      <c r="AL95" s="258"/>
      <c r="AM95" s="258"/>
      <c r="AN95" s="258"/>
      <c r="AO95" s="258"/>
      <c r="AP95" s="258"/>
    </row>
    <row r="96" spans="1:42">
      <c r="A96" s="199" t="s">
        <v>16</v>
      </c>
      <c r="C96" s="199" t="s">
        <v>81</v>
      </c>
      <c r="D96" s="199" t="s">
        <v>48</v>
      </c>
      <c r="E96" s="34">
        <f t="shared" ref="E96:K96" si="53">1-SUM(E94:E95)</f>
        <v>1</v>
      </c>
      <c r="F96" s="34">
        <f t="shared" si="53"/>
        <v>1</v>
      </c>
      <c r="G96" s="34">
        <f t="shared" ref="G96" si="54">1-SUM(G94:G95)</f>
        <v>1</v>
      </c>
      <c r="H96" s="34">
        <f t="shared" si="53"/>
        <v>0.98</v>
      </c>
      <c r="I96" s="34">
        <f t="shared" si="53"/>
        <v>0.92999999999999994</v>
      </c>
      <c r="J96" s="34">
        <f t="shared" si="53"/>
        <v>0.8</v>
      </c>
      <c r="K96" s="34">
        <f t="shared" si="53"/>
        <v>0.6</v>
      </c>
      <c r="L96" s="259"/>
      <c r="M96" s="34">
        <f>1-SUM(M94:M95)</f>
        <v>1</v>
      </c>
      <c r="N96" s="34">
        <f>1-SUM(N94:N95)</f>
        <v>0.98</v>
      </c>
      <c r="O96" s="34">
        <f>1-SUM(O94:O95)</f>
        <v>0.95</v>
      </c>
      <c r="P96" s="34">
        <f>1-SUM(P94:P95)</f>
        <v>0.9</v>
      </c>
      <c r="Q96" s="34">
        <f>1-SUM(Q94:Q95)</f>
        <v>0.85</v>
      </c>
      <c r="R96" s="258"/>
      <c r="S96" s="34">
        <f>1-SUM(S94:S95)</f>
        <v>1</v>
      </c>
      <c r="T96" s="34">
        <f>1-SUM(T94:T95)</f>
        <v>0.98</v>
      </c>
      <c r="U96" s="34">
        <f>1-SUM(U94:U95)</f>
        <v>0.92999999999999994</v>
      </c>
      <c r="V96" s="34">
        <f>1-SUM(V94:V95)</f>
        <v>0.8</v>
      </c>
      <c r="W96" s="34">
        <f>1-SUM(W94:W95)</f>
        <v>0.6</v>
      </c>
      <c r="X96" s="258"/>
      <c r="Y96" s="258"/>
      <c r="Z96" s="258"/>
      <c r="AA96" s="258"/>
      <c r="AB96" s="258"/>
      <c r="AC96" s="258"/>
      <c r="AD96" s="258"/>
      <c r="AE96" s="258"/>
      <c r="AF96" s="258"/>
      <c r="AG96" s="258"/>
      <c r="AH96" s="258"/>
      <c r="AI96" s="258"/>
      <c r="AJ96" s="258"/>
      <c r="AK96" s="258"/>
      <c r="AL96" s="258"/>
      <c r="AM96" s="258"/>
      <c r="AN96" s="258"/>
      <c r="AO96" s="258"/>
      <c r="AP96" s="258"/>
    </row>
    <row r="97" spans="1:42">
      <c r="A97" s="199" t="s">
        <v>16</v>
      </c>
      <c r="C97" s="39" t="str">
        <f>C81</f>
        <v>Middle Income</v>
      </c>
      <c r="D97" s="199" t="s">
        <v>191</v>
      </c>
      <c r="E97" s="200">
        <f t="shared" ref="E97:M97" si="55">(1-E$26)*E$14</f>
        <v>7.3783582009325217</v>
      </c>
      <c r="F97" s="200">
        <f t="shared" si="55"/>
        <v>7.8020598647375818</v>
      </c>
      <c r="G97" s="200">
        <f t="shared" si="55"/>
        <v>8.1304429240814891</v>
      </c>
      <c r="H97" s="200">
        <f t="shared" si="55"/>
        <v>9.0246041238046164</v>
      </c>
      <c r="I97" s="200">
        <f t="shared" si="55"/>
        <v>11.946270325098093</v>
      </c>
      <c r="J97" s="200">
        <f t="shared" si="55"/>
        <v>14.895862635212499</v>
      </c>
      <c r="K97" s="200">
        <f t="shared" si="55"/>
        <v>16.69139788335514</v>
      </c>
      <c r="M97" s="200">
        <f t="shared" si="55"/>
        <v>7.3783582009325217</v>
      </c>
      <c r="N97" s="200">
        <f>(1-N$26)*N$14</f>
        <v>9.0246041238046164</v>
      </c>
      <c r="O97" s="200">
        <f>(1-O$26)*O$14</f>
        <v>11.308654688411082</v>
      </c>
      <c r="P97" s="200">
        <f>(1-P$26)*P$14</f>
        <v>13.420339173910715</v>
      </c>
      <c r="Q97" s="200">
        <f>(1-Q$26)*Q$14</f>
        <v>14.378817485025493</v>
      </c>
      <c r="S97" s="200">
        <f>(1-S$26)*S$14</f>
        <v>7.3783582009325217</v>
      </c>
      <c r="T97" s="200">
        <f>(1-T$26)*T$14</f>
        <v>9.0246041238046164</v>
      </c>
      <c r="U97" s="200">
        <f>(1-U$26)*U$14</f>
        <v>11.946270325098093</v>
      </c>
      <c r="V97" s="200">
        <f>(1-V$26)*V$14</f>
        <v>14.895862635212499</v>
      </c>
      <c r="W97" s="200">
        <f>(1-W$26)*W$14</f>
        <v>16.69139788335514</v>
      </c>
    </row>
    <row r="98" spans="1:42">
      <c r="A98" s="199" t="s">
        <v>16</v>
      </c>
      <c r="C98" s="199" t="str">
        <f>C94</f>
        <v>BRT</v>
      </c>
      <c r="D98" s="199" t="s">
        <v>48</v>
      </c>
      <c r="E98" s="258">
        <v>0</v>
      </c>
      <c r="F98" s="66">
        <f>E98</f>
        <v>0</v>
      </c>
      <c r="G98" s="66">
        <f>F98</f>
        <v>0</v>
      </c>
      <c r="H98" s="66">
        <f t="shared" ref="H98:K99" si="56">IF($D$4,T98,N98)</f>
        <v>0.02</v>
      </c>
      <c r="I98" s="66">
        <f t="shared" si="56"/>
        <v>7.0000000000000007E-2</v>
      </c>
      <c r="J98" s="66">
        <f t="shared" si="56"/>
        <v>0.2</v>
      </c>
      <c r="K98" s="66">
        <f t="shared" si="56"/>
        <v>0.4</v>
      </c>
      <c r="L98" s="259"/>
      <c r="M98" s="248">
        <f>$F98</f>
        <v>0</v>
      </c>
      <c r="N98" s="35">
        <v>0.02</v>
      </c>
      <c r="O98" s="35">
        <v>0.05</v>
      </c>
      <c r="P98" s="35">
        <v>0.1</v>
      </c>
      <c r="Q98" s="35">
        <v>0.15</v>
      </c>
      <c r="R98" s="258"/>
      <c r="S98" s="248">
        <f>$F98</f>
        <v>0</v>
      </c>
      <c r="T98" s="35">
        <v>0.02</v>
      </c>
      <c r="U98" s="77">
        <f>U83</f>
        <v>7.0000000000000007E-2</v>
      </c>
      <c r="V98" s="77">
        <v>0.2</v>
      </c>
      <c r="W98" s="77">
        <v>0.4</v>
      </c>
      <c r="X98" s="258"/>
      <c r="Y98" s="258"/>
      <c r="Z98" s="258"/>
      <c r="AA98" s="258"/>
      <c r="AB98" s="258"/>
      <c r="AC98" s="258"/>
      <c r="AD98" s="258"/>
      <c r="AE98" s="258"/>
      <c r="AF98" s="258"/>
      <c r="AG98" s="258"/>
      <c r="AH98" s="258"/>
      <c r="AI98" s="258"/>
      <c r="AJ98" s="258"/>
      <c r="AK98" s="258"/>
      <c r="AL98" s="258"/>
      <c r="AM98" s="258"/>
      <c r="AN98" s="258"/>
      <c r="AO98" s="258"/>
      <c r="AP98" s="258"/>
    </row>
    <row r="99" spans="1:42">
      <c r="A99" s="199" t="s">
        <v>16</v>
      </c>
      <c r="C99" s="199" t="str">
        <f>C95</f>
        <v>Gautrain</v>
      </c>
      <c r="D99" s="199" t="s">
        <v>48</v>
      </c>
      <c r="E99" s="258">
        <v>2E-3</v>
      </c>
      <c r="F99" s="66">
        <f>E99</f>
        <v>2E-3</v>
      </c>
      <c r="G99" s="66">
        <f>F99</f>
        <v>2E-3</v>
      </c>
      <c r="H99" s="66">
        <f t="shared" si="56"/>
        <v>2E-3</v>
      </c>
      <c r="I99" s="66">
        <f t="shared" si="56"/>
        <v>0.01</v>
      </c>
      <c r="J99" s="66">
        <f t="shared" si="56"/>
        <v>0.02</v>
      </c>
      <c r="K99" s="66">
        <f t="shared" si="56"/>
        <v>0.03</v>
      </c>
      <c r="L99" s="259"/>
      <c r="M99" s="248">
        <f>$F99</f>
        <v>2E-3</v>
      </c>
      <c r="N99" s="50">
        <v>2E-3</v>
      </c>
      <c r="O99" s="50">
        <f>N99</f>
        <v>2E-3</v>
      </c>
      <c r="P99" s="50">
        <f>O99</f>
        <v>2E-3</v>
      </c>
      <c r="Q99" s="50">
        <f>P99</f>
        <v>2E-3</v>
      </c>
      <c r="R99" s="258"/>
      <c r="S99" s="248">
        <f>$F99</f>
        <v>2E-3</v>
      </c>
      <c r="T99" s="50">
        <v>2E-3</v>
      </c>
      <c r="U99" s="77">
        <f>U84</f>
        <v>0.01</v>
      </c>
      <c r="V99" s="77">
        <f>V84</f>
        <v>0.02</v>
      </c>
      <c r="W99" s="77">
        <f>W84</f>
        <v>0.03</v>
      </c>
      <c r="X99" s="258"/>
      <c r="Y99" s="258"/>
      <c r="Z99" s="258"/>
      <c r="AA99" s="258"/>
      <c r="AB99" s="258"/>
      <c r="AC99" s="258"/>
      <c r="AD99" s="258"/>
      <c r="AE99" s="258"/>
      <c r="AF99" s="258"/>
      <c r="AG99" s="258"/>
      <c r="AH99" s="258"/>
      <c r="AI99" s="258"/>
      <c r="AJ99" s="258"/>
      <c r="AK99" s="258"/>
      <c r="AL99" s="258"/>
      <c r="AM99" s="258"/>
      <c r="AN99" s="258"/>
      <c r="AO99" s="258"/>
      <c r="AP99" s="258"/>
    </row>
    <row r="100" spans="1:42">
      <c r="A100" s="199" t="s">
        <v>16</v>
      </c>
      <c r="C100" s="199" t="str">
        <f>C96</f>
        <v>Bus, minibus, metro rail</v>
      </c>
      <c r="D100" s="199" t="s">
        <v>48</v>
      </c>
      <c r="E100" s="34">
        <f t="shared" ref="E100:K100" si="57">1-SUM(E98:E99)</f>
        <v>0.998</v>
      </c>
      <c r="F100" s="34">
        <f t="shared" si="57"/>
        <v>0.998</v>
      </c>
      <c r="G100" s="34">
        <f t="shared" ref="G100" si="58">1-SUM(G98:G99)</f>
        <v>0.998</v>
      </c>
      <c r="H100" s="34">
        <f t="shared" si="57"/>
        <v>0.97799999999999998</v>
      </c>
      <c r="I100" s="34">
        <f t="shared" si="57"/>
        <v>0.92</v>
      </c>
      <c r="J100" s="34">
        <f t="shared" si="57"/>
        <v>0.78</v>
      </c>
      <c r="K100" s="34">
        <f t="shared" si="57"/>
        <v>0.56999999999999995</v>
      </c>
      <c r="L100" s="259"/>
      <c r="M100" s="34">
        <f>1-SUM(M98:M99)</f>
        <v>0.998</v>
      </c>
      <c r="N100" s="34">
        <f>1-SUM(N98:N99)</f>
        <v>0.97799999999999998</v>
      </c>
      <c r="O100" s="34">
        <f>1-SUM(O98:O99)</f>
        <v>0.94799999999999995</v>
      </c>
      <c r="P100" s="34">
        <f>1-SUM(P98:P99)</f>
        <v>0.89800000000000002</v>
      </c>
      <c r="Q100" s="34">
        <f>1-SUM(Q98:Q99)</f>
        <v>0.84799999999999998</v>
      </c>
      <c r="R100" s="258"/>
      <c r="S100" s="34">
        <f>1-SUM(S98:S99)</f>
        <v>0.998</v>
      </c>
      <c r="T100" s="34">
        <f>1-SUM(T98:T99)</f>
        <v>0.97799999999999998</v>
      </c>
      <c r="U100" s="34">
        <f>1-SUM(U98:U99)</f>
        <v>0.92</v>
      </c>
      <c r="V100" s="34">
        <f>1-SUM(V98:V99)</f>
        <v>0.78</v>
      </c>
      <c r="W100" s="34">
        <f>1-SUM(W98:W99)</f>
        <v>0.56999999999999995</v>
      </c>
      <c r="X100" s="258"/>
      <c r="Y100" s="258"/>
      <c r="Z100" s="258"/>
      <c r="AA100" s="258"/>
      <c r="AB100" s="258"/>
      <c r="AC100" s="258"/>
      <c r="AD100" s="258"/>
      <c r="AE100" s="258"/>
      <c r="AF100" s="258"/>
      <c r="AG100" s="258"/>
      <c r="AH100" s="258"/>
      <c r="AI100" s="258"/>
      <c r="AJ100" s="258"/>
      <c r="AK100" s="258"/>
      <c r="AL100" s="258"/>
      <c r="AM100" s="258"/>
      <c r="AN100" s="258"/>
      <c r="AO100" s="258"/>
      <c r="AP100" s="258"/>
    </row>
    <row r="101" spans="1:42">
      <c r="A101" s="199" t="s">
        <v>16</v>
      </c>
      <c r="C101" s="39" t="str">
        <f>C86</f>
        <v>High Income</v>
      </c>
      <c r="D101" s="199" t="s">
        <v>191</v>
      </c>
      <c r="E101" s="200">
        <f t="shared" ref="E101:M101" si="59">(1-E$27)*E$15</f>
        <v>2.5109778308525352</v>
      </c>
      <c r="F101" s="200">
        <f t="shared" si="59"/>
        <v>2.8294490081652044</v>
      </c>
      <c r="G101" s="200">
        <f t="shared" si="59"/>
        <v>3.034648459622471</v>
      </c>
      <c r="H101" s="200">
        <f t="shared" si="59"/>
        <v>2.8789956703133361</v>
      </c>
      <c r="I101" s="200">
        <f t="shared" si="59"/>
        <v>4.9257108020366882</v>
      </c>
      <c r="J101" s="200">
        <f t="shared" si="59"/>
        <v>7.3661956022262807</v>
      </c>
      <c r="K101" s="200">
        <f t="shared" si="59"/>
        <v>9.8726582693398104</v>
      </c>
      <c r="M101" s="200">
        <f t="shared" si="59"/>
        <v>2.5109778308525352</v>
      </c>
      <c r="N101" s="200">
        <f>(1-N$27)*N$15</f>
        <v>2.8789956703133361</v>
      </c>
      <c r="O101" s="200">
        <f>(1-O$27)*O$15</f>
        <v>4.5643652219644988</v>
      </c>
      <c r="P101" s="200">
        <f>(1-P$27)*P$15</f>
        <v>6.3701898731080338</v>
      </c>
      <c r="Q101" s="200">
        <f>(1-Q$27)*Q$15</f>
        <v>8.0160459920338276</v>
      </c>
      <c r="S101" s="200">
        <f>(1-S$27)*S$15</f>
        <v>2.5109778308525352</v>
      </c>
      <c r="T101" s="200">
        <f>(1-T$27)*T$15</f>
        <v>2.8789956703133361</v>
      </c>
      <c r="U101" s="200">
        <f>(1-U$27)*U$15</f>
        <v>4.9257108020366882</v>
      </c>
      <c r="V101" s="200">
        <f>(1-V$27)*V$15</f>
        <v>7.3661956022262807</v>
      </c>
      <c r="W101" s="200">
        <f>(1-W$27)*W$15</f>
        <v>9.8726582693398104</v>
      </c>
    </row>
    <row r="102" spans="1:42">
      <c r="A102" s="199" t="s">
        <v>16</v>
      </c>
      <c r="C102" s="199" t="str">
        <f>C98</f>
        <v>BRT</v>
      </c>
      <c r="D102" s="199" t="s">
        <v>48</v>
      </c>
      <c r="E102" s="258">
        <v>0.01</v>
      </c>
      <c r="F102" s="66">
        <f>E102</f>
        <v>0.01</v>
      </c>
      <c r="G102" s="66">
        <f>F102</f>
        <v>0.01</v>
      </c>
      <c r="H102" s="66">
        <f t="shared" ref="H102:K103" si="60">IF($D$4,T102,N102)</f>
        <v>0.02</v>
      </c>
      <c r="I102" s="66">
        <f t="shared" si="60"/>
        <v>7.0000000000000007E-2</v>
      </c>
      <c r="J102" s="66">
        <f t="shared" si="60"/>
        <v>0.2</v>
      </c>
      <c r="K102" s="66">
        <f t="shared" si="60"/>
        <v>0.4</v>
      </c>
      <c r="L102" s="259"/>
      <c r="M102" s="261">
        <f>$F102</f>
        <v>0.01</v>
      </c>
      <c r="N102" s="35">
        <v>0.02</v>
      </c>
      <c r="O102" s="35">
        <v>0.03</v>
      </c>
      <c r="P102" s="35">
        <v>0.03</v>
      </c>
      <c r="Q102" s="35">
        <v>0.03</v>
      </c>
      <c r="R102" s="258"/>
      <c r="S102" s="248">
        <f>$F102</f>
        <v>0.01</v>
      </c>
      <c r="T102" s="35">
        <v>0.02</v>
      </c>
      <c r="U102" s="77">
        <v>7.0000000000000007E-2</v>
      </c>
      <c r="V102" s="77">
        <v>0.2</v>
      </c>
      <c r="W102" s="77">
        <v>0.4</v>
      </c>
      <c r="X102" s="258"/>
      <c r="Y102" s="258"/>
      <c r="Z102" s="258"/>
      <c r="AA102" s="258"/>
      <c r="AB102" s="258"/>
      <c r="AC102" s="258"/>
      <c r="AD102" s="258"/>
      <c r="AE102" s="258"/>
      <c r="AF102" s="258"/>
      <c r="AG102" s="258"/>
      <c r="AH102" s="258"/>
      <c r="AI102" s="258"/>
      <c r="AJ102" s="258"/>
      <c r="AK102" s="258"/>
      <c r="AL102" s="258"/>
      <c r="AM102" s="258"/>
      <c r="AN102" s="258"/>
      <c r="AO102" s="258"/>
      <c r="AP102" s="258"/>
    </row>
    <row r="103" spans="1:42">
      <c r="A103" s="199" t="s">
        <v>16</v>
      </c>
      <c r="C103" s="199" t="str">
        <f>C99</f>
        <v>Gautrain</v>
      </c>
      <c r="D103" s="199" t="s">
        <v>48</v>
      </c>
      <c r="E103" s="258">
        <v>5.0000000000000001E-3</v>
      </c>
      <c r="F103" s="148">
        <f>E103</f>
        <v>5.0000000000000001E-3</v>
      </c>
      <c r="G103" s="148">
        <f>F103</f>
        <v>5.0000000000000001E-3</v>
      </c>
      <c r="H103" s="66">
        <f t="shared" si="60"/>
        <v>5.0000000000000001E-3</v>
      </c>
      <c r="I103" s="66">
        <f t="shared" si="60"/>
        <v>0.01</v>
      </c>
      <c r="J103" s="66">
        <f t="shared" si="60"/>
        <v>0.03</v>
      </c>
      <c r="K103" s="66">
        <f t="shared" si="60"/>
        <v>0.05</v>
      </c>
      <c r="L103" s="259"/>
      <c r="M103" s="248">
        <f>$F103</f>
        <v>5.0000000000000001E-3</v>
      </c>
      <c r="N103" s="50">
        <v>5.0000000000000001E-3</v>
      </c>
      <c r="O103" s="50">
        <f>N103</f>
        <v>5.0000000000000001E-3</v>
      </c>
      <c r="P103" s="50">
        <f>O103</f>
        <v>5.0000000000000001E-3</v>
      </c>
      <c r="Q103" s="50">
        <f>P103</f>
        <v>5.0000000000000001E-3</v>
      </c>
      <c r="R103" s="258"/>
      <c r="S103" s="248">
        <f>$F103</f>
        <v>5.0000000000000001E-3</v>
      </c>
      <c r="T103" s="50">
        <v>5.0000000000000001E-3</v>
      </c>
      <c r="U103" s="77">
        <f>U89</f>
        <v>0.01</v>
      </c>
      <c r="V103" s="77">
        <f>V89</f>
        <v>0.03</v>
      </c>
      <c r="W103" s="77">
        <f>W89</f>
        <v>0.05</v>
      </c>
      <c r="X103" s="258"/>
      <c r="Y103" s="258"/>
      <c r="Z103" s="258"/>
      <c r="AA103" s="258"/>
      <c r="AB103" s="258"/>
      <c r="AC103" s="258"/>
      <c r="AD103" s="258"/>
      <c r="AE103" s="258"/>
      <c r="AF103" s="258"/>
      <c r="AG103" s="258"/>
      <c r="AH103" s="258"/>
      <c r="AI103" s="258"/>
      <c r="AJ103" s="258"/>
      <c r="AK103" s="258"/>
      <c r="AL103" s="258"/>
      <c r="AM103" s="258"/>
      <c r="AN103" s="258"/>
      <c r="AO103" s="258"/>
      <c r="AP103" s="258"/>
    </row>
    <row r="104" spans="1:42">
      <c r="A104" s="199" t="s">
        <v>16</v>
      </c>
      <c r="C104" s="199" t="str">
        <f>C100</f>
        <v>Bus, minibus, metro rail</v>
      </c>
      <c r="D104" s="199" t="s">
        <v>48</v>
      </c>
      <c r="E104" s="34">
        <f t="shared" ref="E104:M104" si="61">1-SUM(E102:E103)</f>
        <v>0.98499999999999999</v>
      </c>
      <c r="F104" s="34">
        <f t="shared" si="61"/>
        <v>0.98499999999999999</v>
      </c>
      <c r="G104" s="34">
        <f t="shared" ref="G104" si="62">1-SUM(G102:G103)</f>
        <v>0.98499999999999999</v>
      </c>
      <c r="H104" s="34">
        <f t="shared" si="61"/>
        <v>0.97499999999999998</v>
      </c>
      <c r="I104" s="34">
        <f t="shared" si="61"/>
        <v>0.92</v>
      </c>
      <c r="J104" s="34">
        <f t="shared" si="61"/>
        <v>0.77</v>
      </c>
      <c r="K104" s="34">
        <f t="shared" si="61"/>
        <v>0.55000000000000004</v>
      </c>
      <c r="L104" s="259"/>
      <c r="M104" s="34">
        <f t="shared" si="61"/>
        <v>0.98499999999999999</v>
      </c>
      <c r="N104" s="34">
        <f>1-SUM(N102:N103)</f>
        <v>0.97499999999999998</v>
      </c>
      <c r="O104" s="34">
        <f>1-SUM(O102:O103)</f>
        <v>0.96499999999999997</v>
      </c>
      <c r="P104" s="34">
        <f>1-SUM(P102:P103)</f>
        <v>0.96499999999999997</v>
      </c>
      <c r="Q104" s="34">
        <f>1-SUM(Q102:Q103)</f>
        <v>0.96499999999999997</v>
      </c>
      <c r="R104" s="258"/>
      <c r="S104" s="34">
        <f>1-SUM(S102:S103)</f>
        <v>0.98499999999999999</v>
      </c>
      <c r="T104" s="34">
        <f>1-SUM(T102:T103)</f>
        <v>0.97499999999999998</v>
      </c>
      <c r="U104" s="34">
        <f>1-SUM(U102:U103)</f>
        <v>0.92</v>
      </c>
      <c r="V104" s="34">
        <f>1-SUM(V102:V103)</f>
        <v>0.77</v>
      </c>
      <c r="W104" s="34">
        <f>1-SUM(W102:W103)</f>
        <v>0.55000000000000004</v>
      </c>
      <c r="X104" s="258"/>
      <c r="Y104" s="258"/>
      <c r="Z104" s="258"/>
      <c r="AA104" s="258"/>
      <c r="AB104" s="258"/>
      <c r="AC104" s="258"/>
      <c r="AD104" s="258"/>
      <c r="AE104" s="258"/>
      <c r="AF104" s="258"/>
      <c r="AG104" s="258"/>
      <c r="AH104" s="258"/>
      <c r="AI104" s="258"/>
      <c r="AJ104" s="258"/>
      <c r="AK104" s="258"/>
      <c r="AL104" s="258"/>
      <c r="AM104" s="258"/>
      <c r="AN104" s="258"/>
      <c r="AO104" s="258"/>
      <c r="AP104" s="258"/>
    </row>
    <row r="105" spans="1:42">
      <c r="A105" s="199" t="s">
        <v>16</v>
      </c>
      <c r="C105" s="245"/>
      <c r="E105" s="249"/>
      <c r="F105" s="249"/>
      <c r="G105" s="249"/>
      <c r="H105" s="249"/>
      <c r="I105" s="249"/>
      <c r="J105" s="249"/>
      <c r="K105" s="249"/>
    </row>
    <row r="106" spans="1:42" ht="15.75" thickBot="1">
      <c r="A106" s="199" t="s">
        <v>16</v>
      </c>
      <c r="C106" s="244" t="s">
        <v>194</v>
      </c>
      <c r="F106" s="249"/>
      <c r="G106" s="249"/>
      <c r="H106" s="249"/>
      <c r="I106" s="249"/>
      <c r="J106" s="249"/>
      <c r="K106" s="249"/>
    </row>
    <row r="107" spans="1:42">
      <c r="A107" s="199" t="s">
        <v>16</v>
      </c>
      <c r="C107" s="245" t="str">
        <f>C54</f>
        <v>Low Income</v>
      </c>
      <c r="D107" s="199" t="s">
        <v>173</v>
      </c>
      <c r="E107" s="200">
        <f t="shared" ref="E107:K109" si="63">E25*E13*E30*E41</f>
        <v>1.0501617206129796</v>
      </c>
      <c r="F107" s="200">
        <f t="shared" si="63"/>
        <v>1.0580527643161255</v>
      </c>
      <c r="G107" s="200">
        <f t="shared" si="63"/>
        <v>1.0667934724461612</v>
      </c>
      <c r="H107" s="200">
        <f t="shared" si="63"/>
        <v>1.1283165456398421</v>
      </c>
      <c r="I107" s="200">
        <f t="shared" si="63"/>
        <v>2.0717178034068526</v>
      </c>
      <c r="J107" s="200">
        <f t="shared" si="63"/>
        <v>1.064378183550712</v>
      </c>
      <c r="K107" s="200">
        <f t="shared" si="63"/>
        <v>0.68004687563493349</v>
      </c>
      <c r="M107" s="200">
        <f t="shared" ref="M107:Q109" si="64">M25*M13*M30*M41</f>
        <v>1.0501617206129796</v>
      </c>
      <c r="N107" s="200">
        <f t="shared" si="64"/>
        <v>1.1283165456398421</v>
      </c>
      <c r="O107" s="200">
        <f t="shared" si="64"/>
        <v>0.91821287685622277</v>
      </c>
      <c r="P107" s="200">
        <f t="shared" si="64"/>
        <v>0.65338859189276455</v>
      </c>
      <c r="Q107" s="200">
        <f t="shared" si="64"/>
        <v>0.46255909248076105</v>
      </c>
      <c r="S107" s="200">
        <f t="shared" ref="S107:W109" si="65">S25*S13*S30*S41</f>
        <v>1.0501617206129796</v>
      </c>
      <c r="T107" s="200">
        <f t="shared" si="65"/>
        <v>1.1283165456398421</v>
      </c>
      <c r="U107" s="200">
        <f t="shared" si="65"/>
        <v>2.0717178034068526</v>
      </c>
      <c r="V107" s="200">
        <f t="shared" si="65"/>
        <v>1.064378183550712</v>
      </c>
      <c r="W107" s="200">
        <f t="shared" si="65"/>
        <v>0.68004687563493349</v>
      </c>
    </row>
    <row r="108" spans="1:42">
      <c r="A108" s="199" t="s">
        <v>16</v>
      </c>
      <c r="C108" s="245" t="str">
        <f>C55</f>
        <v>Middle Income</v>
      </c>
      <c r="D108" s="199" t="s">
        <v>173</v>
      </c>
      <c r="E108" s="200">
        <f>E26*E14*E31*E42</f>
        <v>34.956962298937931</v>
      </c>
      <c r="F108" s="200">
        <f t="shared" si="63"/>
        <v>36.964363225306464</v>
      </c>
      <c r="G108" s="200">
        <f t="shared" si="63"/>
        <v>38.520166550718891</v>
      </c>
      <c r="H108" s="200">
        <f t="shared" si="63"/>
        <v>42.756496435590023</v>
      </c>
      <c r="I108" s="200">
        <f t="shared" si="63"/>
        <v>45.936268085018234</v>
      </c>
      <c r="J108" s="200">
        <f t="shared" si="63"/>
        <v>46.738963221855883</v>
      </c>
      <c r="K108" s="200">
        <f t="shared" si="63"/>
        <v>42.934812390577484</v>
      </c>
      <c r="M108" s="200">
        <f t="shared" si="64"/>
        <v>34.956962298937931</v>
      </c>
      <c r="N108" s="200">
        <f t="shared" si="64"/>
        <v>42.756496435590023</v>
      </c>
      <c r="O108" s="200">
        <f t="shared" si="64"/>
        <v>53.577802111116199</v>
      </c>
      <c r="P108" s="200">
        <f t="shared" si="64"/>
        <v>63.582476990892744</v>
      </c>
      <c r="Q108" s="200">
        <f t="shared" si="64"/>
        <v>68.123526540608879</v>
      </c>
      <c r="S108" s="200">
        <f t="shared" si="65"/>
        <v>34.956962298937931</v>
      </c>
      <c r="T108" s="200">
        <f t="shared" si="65"/>
        <v>42.756496435590023</v>
      </c>
      <c r="U108" s="200">
        <f t="shared" si="65"/>
        <v>45.936268085018234</v>
      </c>
      <c r="V108" s="200">
        <f t="shared" si="65"/>
        <v>46.738963221855883</v>
      </c>
      <c r="W108" s="200">
        <f>W26*W14*W31*W42</f>
        <v>42.934812390577484</v>
      </c>
    </row>
    <row r="109" spans="1:42">
      <c r="A109" s="199" t="s">
        <v>16</v>
      </c>
      <c r="C109" s="245" t="str">
        <f>C56</f>
        <v>High Income</v>
      </c>
      <c r="D109" s="199" t="s">
        <v>173</v>
      </c>
      <c r="E109" s="200">
        <f>E27*E15*E32*E43</f>
        <v>51.418937503577659</v>
      </c>
      <c r="F109" s="200">
        <f>F27*F15*F32*F43</f>
        <v>57.940480370951796</v>
      </c>
      <c r="G109" s="200">
        <f>G27*G15*G32*G43</f>
        <v>61.400167564463906</v>
      </c>
      <c r="H109" s="200">
        <f t="shared" si="63"/>
        <v>58.250838252479589</v>
      </c>
      <c r="I109" s="200">
        <f t="shared" si="63"/>
        <v>85.596380843297254</v>
      </c>
      <c r="J109" s="200">
        <f t="shared" si="63"/>
        <v>110.72386551963311</v>
      </c>
      <c r="K109" s="200">
        <f t="shared" si="63"/>
        <v>129.14063252898023</v>
      </c>
      <c r="M109" s="200">
        <f t="shared" si="64"/>
        <v>51.418937503577659</v>
      </c>
      <c r="N109" s="200">
        <f t="shared" si="64"/>
        <v>58.250838252479589</v>
      </c>
      <c r="O109" s="200">
        <f t="shared" si="64"/>
        <v>104.50514127385682</v>
      </c>
      <c r="P109" s="200">
        <f t="shared" si="64"/>
        <v>167.08755871868024</v>
      </c>
      <c r="Q109" s="200">
        <f t="shared" si="64"/>
        <v>236.71889501141308</v>
      </c>
      <c r="S109" s="200">
        <f t="shared" si="65"/>
        <v>51.418937503577659</v>
      </c>
      <c r="T109" s="200">
        <f t="shared" si="65"/>
        <v>58.250838252479589</v>
      </c>
      <c r="U109" s="200">
        <f t="shared" si="65"/>
        <v>85.596380843297254</v>
      </c>
      <c r="V109" s="200">
        <f t="shared" si="65"/>
        <v>110.72386551963311</v>
      </c>
      <c r="W109" s="200">
        <f t="shared" si="65"/>
        <v>129.14063252898023</v>
      </c>
    </row>
    <row r="110" spans="1:42">
      <c r="A110" s="199" t="s">
        <v>16</v>
      </c>
      <c r="C110" s="245" t="str">
        <f>C57</f>
        <v>Other (gov/company/car rental)</v>
      </c>
      <c r="D110" s="199" t="s">
        <v>173</v>
      </c>
      <c r="E110" s="200">
        <f t="shared" ref="E110:K110" si="66">E50</f>
        <v>6.055780527292475</v>
      </c>
      <c r="F110" s="200">
        <f t="shared" si="66"/>
        <v>6.2383982101543394</v>
      </c>
      <c r="G110" s="200">
        <f t="shared" si="66"/>
        <v>6.1098740516904213</v>
      </c>
      <c r="H110" s="200">
        <f t="shared" si="66"/>
        <v>6.1098740516904213</v>
      </c>
      <c r="I110" s="200">
        <f t="shared" si="66"/>
        <v>7.2318035775977112</v>
      </c>
      <c r="J110" s="200">
        <f t="shared" si="66"/>
        <v>8.4540897032181643</v>
      </c>
      <c r="K110" s="200">
        <f t="shared" si="66"/>
        <v>9.5973008984838373</v>
      </c>
      <c r="L110" s="43"/>
      <c r="M110" s="200">
        <f>M50</f>
        <v>6.2383982101543394</v>
      </c>
      <c r="N110" s="200">
        <f>N50</f>
        <v>6.1098740516904213</v>
      </c>
      <c r="O110" s="200">
        <f>O50</f>
        <v>7.6124248185239072</v>
      </c>
      <c r="P110" s="200">
        <f>P50</f>
        <v>9.3674124135381334</v>
      </c>
      <c r="Q110" s="200">
        <f>Q50</f>
        <v>11.193819388813342</v>
      </c>
      <c r="S110" s="200">
        <f>S50</f>
        <v>6.2383982101543394</v>
      </c>
      <c r="T110" s="200">
        <f>T50</f>
        <v>6.1098740516904213</v>
      </c>
      <c r="U110" s="200">
        <f>U50</f>
        <v>7.2318035775977112</v>
      </c>
      <c r="V110" s="200">
        <f>V50</f>
        <v>8.4540897032181643</v>
      </c>
      <c r="W110" s="200">
        <f>W50</f>
        <v>9.5973008984838373</v>
      </c>
    </row>
    <row r="111" spans="1:42">
      <c r="A111" s="199" t="s">
        <v>16</v>
      </c>
      <c r="C111" s="245" t="s">
        <v>5</v>
      </c>
      <c r="D111" s="199" t="s">
        <v>173</v>
      </c>
      <c r="E111" s="200">
        <f t="shared" ref="E111:K111" si="67">SUM(E107:E110)</f>
        <v>93.481842050421037</v>
      </c>
      <c r="F111" s="200">
        <f t="shared" si="67"/>
        <v>102.20129457072872</v>
      </c>
      <c r="G111" s="200">
        <f t="shared" ref="G111" si="68">SUM(G107:G110)</f>
        <v>107.09700163931939</v>
      </c>
      <c r="H111" s="200">
        <f t="shared" si="67"/>
        <v>108.24552528539988</v>
      </c>
      <c r="I111" s="200">
        <f t="shared" si="67"/>
        <v>140.83617030932004</v>
      </c>
      <c r="J111" s="200">
        <f t="shared" si="67"/>
        <v>166.98129662825787</v>
      </c>
      <c r="K111" s="200">
        <f t="shared" si="67"/>
        <v>182.35279269367649</v>
      </c>
      <c r="M111" s="200">
        <f>SUM(M107:M110)</f>
        <v>93.664459733282911</v>
      </c>
      <c r="N111" s="200">
        <f>SUM(N107:N110)</f>
        <v>108.24552528539988</v>
      </c>
      <c r="O111" s="200">
        <f>SUM(O107:O110)</f>
        <v>166.61358108035316</v>
      </c>
      <c r="P111" s="200">
        <f>SUM(P107:P110)</f>
        <v>240.69083671500391</v>
      </c>
      <c r="Q111" s="200">
        <f>SUM(Q107:Q110)</f>
        <v>316.49880003331606</v>
      </c>
      <c r="S111" s="200">
        <f>SUM(S107:S110)</f>
        <v>93.664459733282911</v>
      </c>
      <c r="T111" s="200">
        <f>SUM(T107:T110)</f>
        <v>108.24552528539988</v>
      </c>
      <c r="U111" s="200">
        <f>SUM(U107:U110)</f>
        <v>140.83617030932004</v>
      </c>
      <c r="V111" s="200">
        <f>SUM(V107:V110)</f>
        <v>166.98129662825787</v>
      </c>
      <c r="W111" s="200">
        <f>SUM(W107:W110)</f>
        <v>182.35279269367649</v>
      </c>
    </row>
    <row r="112" spans="1:42">
      <c r="A112" s="199" t="s">
        <v>16</v>
      </c>
      <c r="C112" s="245"/>
      <c r="E112" s="250">
        <f>SUM(E149:E151)</f>
        <v>93.481842050421051</v>
      </c>
      <c r="F112" s="250">
        <f t="shared" ref="F112:G112" si="69">SUM(F149:F151)</f>
        <v>101.28979342418995</v>
      </c>
      <c r="G112" s="250">
        <f t="shared" si="69"/>
        <v>106.14183722388681</v>
      </c>
      <c r="H112" s="250">
        <f>SUM(H149:H151)</f>
        <v>108.24552528539986</v>
      </c>
      <c r="I112" s="249"/>
      <c r="J112" s="249"/>
      <c r="K112" s="249"/>
    </row>
    <row r="113" spans="1:42" ht="15.75" thickBot="1">
      <c r="A113" s="199" t="s">
        <v>16</v>
      </c>
      <c r="C113" s="244" t="s">
        <v>182</v>
      </c>
    </row>
    <row r="114" spans="1:42">
      <c r="A114" s="199" t="s">
        <v>16</v>
      </c>
      <c r="C114" s="39" t="str">
        <f>C93</f>
        <v>Low Income</v>
      </c>
      <c r="E114" s="200"/>
      <c r="F114" s="200"/>
      <c r="G114" s="200"/>
      <c r="H114" s="200"/>
      <c r="I114" s="200"/>
      <c r="J114" s="200"/>
      <c r="K114" s="200"/>
    </row>
    <row r="115" spans="1:42">
      <c r="A115" s="199" t="s">
        <v>16</v>
      </c>
      <c r="C115" s="199" t="s">
        <v>63</v>
      </c>
      <c r="D115" s="199" t="s">
        <v>136</v>
      </c>
      <c r="E115" s="200">
        <f t="shared" ref="E115:K115" si="70">E$64*(1-E$73)*E68*(E75*E78+E93*E94)/1000</f>
        <v>1.2530453801078352E-2</v>
      </c>
      <c r="F115" s="200">
        <f t="shared" si="70"/>
        <v>1.2624609164603546E-2</v>
      </c>
      <c r="G115" s="200">
        <f t="shared" si="70"/>
        <v>1.2728902662702289E-2</v>
      </c>
      <c r="H115" s="200">
        <f t="shared" si="70"/>
        <v>2.6925983056933012</v>
      </c>
      <c r="I115" s="200">
        <f t="shared" si="70"/>
        <v>7.669234809282913</v>
      </c>
      <c r="J115" s="200">
        <f t="shared" si="70"/>
        <v>15.436447263539884</v>
      </c>
      <c r="K115" s="200">
        <f t="shared" si="70"/>
        <v>21.745733429276001</v>
      </c>
      <c r="L115" s="259"/>
      <c r="M115" s="200">
        <f>M$64*(1-M$73)*M68*(M75*M78+M93*M94)/1000</f>
        <v>1.2530453801078352E-2</v>
      </c>
      <c r="N115" s="200">
        <f>N$64*(1-N$73)*N68*(N75*N78+N93*N94)/1000</f>
        <v>2.6925983056933012</v>
      </c>
      <c r="O115" s="200">
        <f>O$64*(1-O$73)*O68*(O75*O78+O93*O94)/1000</f>
        <v>5.4780248637735101</v>
      </c>
      <c r="P115" s="200">
        <f>P$64*(1-P$73)*P68*(P75*P78+P93*P94)/1000</f>
        <v>7.7961854866363058</v>
      </c>
      <c r="Q115" s="200">
        <f>Q$64*(1-Q$73)*Q68*(Q75*Q78+Q93*Q94)/1000</f>
        <v>8.2788325238360425</v>
      </c>
      <c r="R115" s="258"/>
      <c r="S115" s="200">
        <f>S$64*(1-S$73)*S68*(S75*S78+S93*S94)/1000</f>
        <v>1.2530453801078352E-2</v>
      </c>
      <c r="T115" s="200">
        <f>T$64*(1-T$73)*T68*(T75*T78+T93*T94)/1000</f>
        <v>2.6925983056933012</v>
      </c>
      <c r="U115" s="200">
        <f>U$64*(1-U$73)*U68*(U75*U78+U93*U94)/1000</f>
        <v>7.669234809282913</v>
      </c>
      <c r="V115" s="200">
        <f>V$64*(1-V$73)*V68*(V75*V78+V93*V94)/1000</f>
        <v>15.436447263539884</v>
      </c>
      <c r="W115" s="200">
        <f>W$64*(1-W$73)*W68*(W75*W78+W93*W94)/1000</f>
        <v>21.745733429276001</v>
      </c>
      <c r="X115" s="258"/>
      <c r="Y115" s="258"/>
      <c r="Z115" s="258"/>
      <c r="AA115" s="258"/>
      <c r="AB115" s="258"/>
      <c r="AC115" s="258"/>
      <c r="AD115" s="258"/>
      <c r="AE115" s="258"/>
      <c r="AF115" s="258"/>
      <c r="AG115" s="258"/>
      <c r="AH115" s="258"/>
      <c r="AI115" s="258"/>
      <c r="AJ115" s="258"/>
      <c r="AK115" s="258"/>
      <c r="AL115" s="258"/>
      <c r="AM115" s="258"/>
      <c r="AN115" s="258"/>
      <c r="AO115" s="258"/>
      <c r="AP115" s="258"/>
    </row>
    <row r="116" spans="1:42">
      <c r="A116" s="199" t="s">
        <v>16</v>
      </c>
      <c r="C116" s="199" t="s">
        <v>82</v>
      </c>
      <c r="D116" s="199" t="s">
        <v>136</v>
      </c>
      <c r="E116" s="200">
        <f t="shared" ref="E116:K116" si="71">E$64*(1-E$73)*E69*(E75*E79+E93*E95)/1000</f>
        <v>0</v>
      </c>
      <c r="F116" s="200">
        <f t="shared" si="71"/>
        <v>0</v>
      </c>
      <c r="G116" s="200">
        <f t="shared" si="71"/>
        <v>0</v>
      </c>
      <c r="H116" s="200">
        <f t="shared" si="71"/>
        <v>0</v>
      </c>
      <c r="I116" s="200">
        <f t="shared" si="71"/>
        <v>0</v>
      </c>
      <c r="J116" s="200">
        <f t="shared" si="71"/>
        <v>0</v>
      </c>
      <c r="K116" s="200">
        <f t="shared" si="71"/>
        <v>0</v>
      </c>
      <c r="L116" s="259"/>
      <c r="M116" s="200">
        <f>M$64*(1-M$73)*M69*(M75*M79+M93*M95)/1000</f>
        <v>0</v>
      </c>
      <c r="N116" s="200">
        <f>N$64*(1-N$73)*N69*(N75*N79+N93*N95)/1000</f>
        <v>0</v>
      </c>
      <c r="O116" s="200">
        <f>O$64*(1-O$73)*O69*(O75*O79+O93*O95)/1000</f>
        <v>0</v>
      </c>
      <c r="P116" s="200">
        <f>P$64*(1-P$73)*P69*(P75*P79+P93*P95)/1000</f>
        <v>0</v>
      </c>
      <c r="Q116" s="200">
        <f>Q$64*(1-Q$73)*Q69*(Q75*Q79+Q93*Q95)/1000</f>
        <v>0</v>
      </c>
      <c r="R116" s="258"/>
      <c r="S116" s="200">
        <f>S$64*(1-S$73)*S69*(S75*S79+S93*S95)/1000</f>
        <v>0</v>
      </c>
      <c r="T116" s="200">
        <f>T$64*(1-T$73)*T69*(T75*T79+T93*T95)/1000</f>
        <v>0</v>
      </c>
      <c r="U116" s="200">
        <f>U$64*(1-U$73)*U69*(U75*U79+U93*U95)/1000</f>
        <v>0</v>
      </c>
      <c r="V116" s="200">
        <f>V$64*(1-V$73)*V69*(V75*V79+V93*V95)/1000</f>
        <v>0</v>
      </c>
      <c r="W116" s="200">
        <f>W$64*(1-W$73)*W69*(W75*W79+W93*W95)/1000</f>
        <v>0</v>
      </c>
      <c r="X116" s="258"/>
      <c r="Y116" s="258"/>
      <c r="Z116" s="258"/>
      <c r="AA116" s="258"/>
      <c r="AB116" s="258"/>
      <c r="AC116" s="258"/>
      <c r="AD116" s="258"/>
      <c r="AE116" s="258"/>
      <c r="AF116" s="258"/>
      <c r="AG116" s="258"/>
      <c r="AH116" s="258"/>
      <c r="AI116" s="258"/>
      <c r="AJ116" s="258"/>
      <c r="AK116" s="258"/>
      <c r="AL116" s="258"/>
      <c r="AM116" s="258"/>
      <c r="AN116" s="258"/>
      <c r="AO116" s="258"/>
      <c r="AP116" s="258"/>
    </row>
    <row r="117" spans="1:42">
      <c r="A117" s="199" t="s">
        <v>16</v>
      </c>
      <c r="C117" s="199" t="s">
        <v>81</v>
      </c>
      <c r="D117" s="199" t="s">
        <v>136</v>
      </c>
      <c r="E117" s="200">
        <f t="shared" ref="E117:K117" si="72">E$64*(1-E$73)*E70*(E75*E80+E93*E96)/1000</f>
        <v>83.494005740008035</v>
      </c>
      <c r="F117" s="200">
        <f t="shared" si="72"/>
        <v>83.727843954152846</v>
      </c>
      <c r="G117" s="200">
        <f t="shared" si="72"/>
        <v>84.419530296311265</v>
      </c>
      <c r="H117" s="200">
        <f t="shared" si="72"/>
        <v>87.502000942875938</v>
      </c>
      <c r="I117" s="200">
        <f t="shared" si="72"/>
        <v>67.089854052667746</v>
      </c>
      <c r="J117" s="200">
        <f t="shared" si="72"/>
        <v>41.253246785080293</v>
      </c>
      <c r="K117" s="200">
        <f t="shared" si="72"/>
        <v>22.022693360801142</v>
      </c>
      <c r="L117" s="259"/>
      <c r="M117" s="200">
        <f>M$64*(1-M$73)*M70*(M75*M80+M93*M96)/1000</f>
        <v>83.103394873638962</v>
      </c>
      <c r="N117" s="200">
        <f>N$64*(1-N$73)*N70*(N75*N80+N93*N96)/1000</f>
        <v>87.502000942875938</v>
      </c>
      <c r="O117" s="200">
        <f>O$64*(1-O$73)*O70*(O75*O80+O93*O96)/1000</f>
        <v>69.017055436145526</v>
      </c>
      <c r="P117" s="200">
        <f>P$64*(1-P$73)*P70*(P75*P80+P93*P96)/1000</f>
        <v>46.512929383185373</v>
      </c>
      <c r="Q117" s="200">
        <f>Q$64*(1-Q$73)*Q70*(Q75*Q80+Q93*Q96)/1000</f>
        <v>31.088563776054347</v>
      </c>
      <c r="R117" s="258"/>
      <c r="S117" s="200">
        <f>S$64*(1-S$73)*S70*(S75*S80+S93*S96)/1000</f>
        <v>83.103394873638962</v>
      </c>
      <c r="T117" s="200">
        <f>T$64*(1-T$73)*T70*(T75*T80+T93*T96)/1000</f>
        <v>87.502000942875938</v>
      </c>
      <c r="U117" s="200">
        <f>U$64*(1-U$73)*U70*(U75*U80+U93*U96)/1000</f>
        <v>67.089854052667746</v>
      </c>
      <c r="V117" s="200">
        <f>V$64*(1-V$73)*V70*(V75*V80+V93*V96)/1000</f>
        <v>41.253246785080293</v>
      </c>
      <c r="W117" s="200">
        <f>W$64*(1-W$73)*W70*(W75*W80+W93*W96)/1000</f>
        <v>22.022693360801142</v>
      </c>
      <c r="X117" s="258"/>
      <c r="Y117" s="258"/>
      <c r="Z117" s="258"/>
      <c r="AA117" s="258"/>
      <c r="AB117" s="258"/>
      <c r="AC117" s="258"/>
      <c r="AD117" s="258"/>
      <c r="AE117" s="258"/>
      <c r="AF117" s="258"/>
      <c r="AG117" s="258"/>
      <c r="AH117" s="258"/>
      <c r="AI117" s="258"/>
      <c r="AJ117" s="258"/>
      <c r="AK117" s="258"/>
      <c r="AL117" s="258"/>
      <c r="AM117" s="258"/>
      <c r="AN117" s="258"/>
      <c r="AO117" s="258"/>
      <c r="AP117" s="258"/>
    </row>
    <row r="118" spans="1:42">
      <c r="A118" s="199" t="s">
        <v>16</v>
      </c>
      <c r="C118" s="39" t="str">
        <f>C97</f>
        <v>Middle Income</v>
      </c>
      <c r="E118" s="200"/>
      <c r="F118" s="200"/>
      <c r="G118" s="200"/>
      <c r="H118" s="200"/>
      <c r="I118" s="200"/>
      <c r="J118" s="200"/>
      <c r="K118" s="200"/>
      <c r="M118" s="200"/>
      <c r="N118" s="200"/>
      <c r="O118" s="200"/>
      <c r="P118" s="200"/>
      <c r="Q118" s="200"/>
      <c r="S118" s="200"/>
      <c r="T118" s="200"/>
      <c r="U118" s="200"/>
      <c r="V118" s="200"/>
      <c r="W118" s="200"/>
    </row>
    <row r="119" spans="1:42">
      <c r="A119" s="199" t="s">
        <v>16</v>
      </c>
      <c r="C119" s="199" t="str">
        <f>C115</f>
        <v>BRT</v>
      </c>
      <c r="D119" s="199" t="s">
        <v>136</v>
      </c>
      <c r="E119" s="200">
        <f t="shared" ref="E119:K119" si="73">E$64*(1-E$73)*E68*(E81*E83+E97*E98)/1000</f>
        <v>0.39846843087429162</v>
      </c>
      <c r="F119" s="200">
        <f t="shared" si="73"/>
        <v>0.42135045049674519</v>
      </c>
      <c r="G119" s="200">
        <f t="shared" si="73"/>
        <v>0.43908478635020487</v>
      </c>
      <c r="H119" s="200">
        <f t="shared" si="73"/>
        <v>1.8391471159325861</v>
      </c>
      <c r="I119" s="200">
        <f t="shared" si="73"/>
        <v>8.0661686423927037</v>
      </c>
      <c r="J119" s="200">
        <f t="shared" si="73"/>
        <v>24.07914629424581</v>
      </c>
      <c r="K119" s="200">
        <f t="shared" si="73"/>
        <v>48.619277722565663</v>
      </c>
      <c r="L119" s="259"/>
      <c r="M119" s="200">
        <f>M$64*(1-M$73)*M68*(M81*M83+M97*M98)/1000</f>
        <v>0.39846843087429162</v>
      </c>
      <c r="N119" s="200">
        <f>N$64*(1-N$73)*N68*(N81*N83+N97*N98)/1000</f>
        <v>1.8391471159325861</v>
      </c>
      <c r="O119" s="200">
        <f>O$64*(1-O$73)*O68*(O81*O83+O97*O98)/1000</f>
        <v>5.7615490302805012</v>
      </c>
      <c r="P119" s="200">
        <f>P$64*(1-P$73)*P68*(P81*P83+P97*P98)/1000</f>
        <v>13.674825924735138</v>
      </c>
      <c r="Q119" s="200">
        <f>Q$64*(1-Q$73)*Q68*(Q81*Q83+Q97*Q98)/1000</f>
        <v>21.97721945360831</v>
      </c>
      <c r="R119" s="258"/>
      <c r="S119" s="200">
        <f>S$64*(1-S$73)*S68*(S81*S83+S97*S98)/1000</f>
        <v>0.39846843087429162</v>
      </c>
      <c r="T119" s="200">
        <f>T$64*(1-T$73)*T68*(T81*T83+T97*T98)/1000</f>
        <v>1.8391471159325861</v>
      </c>
      <c r="U119" s="200">
        <f>U$64*(1-U$73)*U68*(U81*U83+U97*U98)/1000</f>
        <v>8.0661686423927037</v>
      </c>
      <c r="V119" s="200">
        <f>V$64*(1-V$73)*V68*(V81*V83+V97*V98)/1000</f>
        <v>24.07914629424581</v>
      </c>
      <c r="W119" s="200">
        <f>W$64*(1-W$73)*W68*(W81*W83+W97*W98)/1000</f>
        <v>48.619277722565663</v>
      </c>
      <c r="X119" s="258"/>
      <c r="Y119" s="258"/>
      <c r="Z119" s="258"/>
      <c r="AA119" s="258"/>
      <c r="AB119" s="258"/>
      <c r="AC119" s="258"/>
      <c r="AD119" s="258"/>
      <c r="AE119" s="258"/>
      <c r="AF119" s="258"/>
      <c r="AG119" s="258"/>
      <c r="AH119" s="258"/>
      <c r="AI119" s="258"/>
      <c r="AJ119" s="258"/>
      <c r="AK119" s="258"/>
      <c r="AL119" s="258"/>
      <c r="AM119" s="258"/>
      <c r="AN119" s="258"/>
      <c r="AO119" s="258"/>
      <c r="AP119" s="258"/>
    </row>
    <row r="120" spans="1:42">
      <c r="A120" s="199" t="s">
        <v>16</v>
      </c>
      <c r="C120" s="199" t="str">
        <f>C116</f>
        <v>Gautrain</v>
      </c>
      <c r="D120" s="199" t="s">
        <v>136</v>
      </c>
      <c r="E120" s="200">
        <f t="shared" ref="E120:K120" si="74">E$64*(1-E$73)*E69*(E81*E84+E97*E99)/1000</f>
        <v>0.20048726081725365</v>
      </c>
      <c r="F120" s="200">
        <f t="shared" si="74"/>
        <v>0.21200022666502907</v>
      </c>
      <c r="G120" s="200">
        <f t="shared" si="74"/>
        <v>0.22092316294349934</v>
      </c>
      <c r="H120" s="200">
        <f t="shared" si="74"/>
        <v>0.24521961545767818</v>
      </c>
      <c r="I120" s="200">
        <f t="shared" si="74"/>
        <v>1.5364130747414673</v>
      </c>
      <c r="J120" s="200">
        <f t="shared" si="74"/>
        <v>3.6466202465960369</v>
      </c>
      <c r="K120" s="200">
        <f t="shared" si="74"/>
        <v>5.8605918542955493</v>
      </c>
      <c r="L120" s="259"/>
      <c r="M120" s="200">
        <f>M$64*(1-M$73)*M69*(M81*M84+M97*M99)/1000</f>
        <v>0.20048726081725365</v>
      </c>
      <c r="N120" s="200">
        <f>N$64*(1-N$73)*N69*(N81*N84+N97*N99)/1000</f>
        <v>0.24521961545767818</v>
      </c>
      <c r="O120" s="200">
        <f>O$64*(1-O$73)*O69*(O81*O84+O97*O99)/1000</f>
        <v>0.30728261494829345</v>
      </c>
      <c r="P120" s="200">
        <f>P$64*(1-P$73)*P69*(P81*P84+P97*P99)/1000</f>
        <v>0.36466202465960368</v>
      </c>
      <c r="Q120" s="200">
        <f>Q$64*(1-Q$73)*Q69*(Q81*Q84+Q97*Q99)/1000</f>
        <v>0.39070612361970336</v>
      </c>
      <c r="R120" s="258"/>
      <c r="S120" s="200">
        <f>S$64*(1-S$73)*S69*(S81*S84+S97*S99)/1000</f>
        <v>0.20048726081725365</v>
      </c>
      <c r="T120" s="200">
        <f>T$64*(1-T$73)*T69*(T81*T84+T97*T99)/1000</f>
        <v>0.24521961545767818</v>
      </c>
      <c r="U120" s="200">
        <f>U$64*(1-U$73)*U69*(U81*U84+U97*U99)/1000</f>
        <v>1.5364130747414673</v>
      </c>
      <c r="V120" s="200">
        <f>V$64*(1-V$73)*V69*(V81*V84+V97*V99)/1000</f>
        <v>3.6466202465960369</v>
      </c>
      <c r="W120" s="200">
        <f>W$64*(1-W$73)*W69*(W81*W84+W97*W99)/1000</f>
        <v>5.8605918542955493</v>
      </c>
      <c r="X120" s="258"/>
      <c r="Y120" s="258"/>
      <c r="Z120" s="258"/>
      <c r="AA120" s="258"/>
      <c r="AB120" s="258"/>
      <c r="AC120" s="258"/>
      <c r="AD120" s="258"/>
      <c r="AE120" s="258"/>
      <c r="AF120" s="258"/>
      <c r="AG120" s="258"/>
      <c r="AH120" s="258"/>
      <c r="AI120" s="258"/>
      <c r="AJ120" s="258"/>
      <c r="AK120" s="258"/>
      <c r="AL120" s="258"/>
      <c r="AM120" s="258"/>
      <c r="AN120" s="258"/>
      <c r="AO120" s="258"/>
      <c r="AP120" s="258"/>
    </row>
    <row r="121" spans="1:42">
      <c r="A121" s="199" t="s">
        <v>16</v>
      </c>
      <c r="C121" s="199" t="str">
        <f>C117</f>
        <v>Bus, minibus, metro rail</v>
      </c>
      <c r="D121" s="199" t="s">
        <v>136</v>
      </c>
      <c r="E121" s="200">
        <f t="shared" ref="E121:K121" si="75">E$64*(1-E$73)*E70*(E81*E85+E97*E100)/1000</f>
        <v>35.621834779020006</v>
      </c>
      <c r="F121" s="200">
        <f t="shared" si="75"/>
        <v>37.667415957465934</v>
      </c>
      <c r="G121" s="200">
        <f t="shared" si="75"/>
        <v>39.252810264115261</v>
      </c>
      <c r="H121" s="200">
        <f t="shared" si="75"/>
        <v>42.668531972833144</v>
      </c>
      <c r="I121" s="200">
        <f t="shared" si="75"/>
        <v>52.101665581045651</v>
      </c>
      <c r="J121" s="200">
        <f t="shared" si="75"/>
        <v>54.391543581557308</v>
      </c>
      <c r="K121" s="200">
        <f t="shared" si="75"/>
        <v>44.973620958842574</v>
      </c>
      <c r="L121" s="259"/>
      <c r="M121" s="200">
        <f>M$64*(1-M$73)*M70*(M81*M85+M97*M100)/1000</f>
        <v>35.621834779020006</v>
      </c>
      <c r="N121" s="200">
        <f>N$64*(1-N$73)*N70*(N81*N85+N97*N100)/1000</f>
        <v>42.668531972833144</v>
      </c>
      <c r="O121" s="200">
        <f>O$64*(1-O$73)*O70*(O81*O85+O97*O100)/1000</f>
        <v>51.162954978713636</v>
      </c>
      <c r="P121" s="200">
        <f>P$64*(1-P$73)*P70*(P81*P85+P97*P100)/1000</f>
        <v>56.158426003494689</v>
      </c>
      <c r="Q121" s="200">
        <f>Q$64*(1-Q$73)*Q70*(Q81*Q85+Q97*Q100)/1000</f>
        <v>55.285424565808519</v>
      </c>
      <c r="R121" s="258"/>
      <c r="S121" s="200">
        <f>S$64*(1-S$73)*S70*(S81*S85+S97*S100)/1000</f>
        <v>35.621834779020006</v>
      </c>
      <c r="T121" s="200">
        <f>T$64*(1-T$73)*T70*(T81*T85+T97*T100)/1000</f>
        <v>42.668531972833144</v>
      </c>
      <c r="U121" s="200">
        <f>U$64*(1-U$73)*U70*(U81*U85+U97*U100)/1000</f>
        <v>52.101665581045651</v>
      </c>
      <c r="V121" s="200">
        <f>V$64*(1-V$73)*V70*(V81*V85+V97*V100)/1000</f>
        <v>54.391543581557308</v>
      </c>
      <c r="W121" s="200">
        <f>W$64*(1-W$73)*W70*(W81*W85+W97*W100)/1000</f>
        <v>44.973620958842574</v>
      </c>
      <c r="X121" s="258"/>
      <c r="Y121" s="258"/>
      <c r="Z121" s="258"/>
      <c r="AA121" s="258"/>
      <c r="AB121" s="258"/>
      <c r="AC121" s="258"/>
      <c r="AD121" s="258"/>
      <c r="AE121" s="258"/>
      <c r="AF121" s="258"/>
      <c r="AG121" s="258"/>
      <c r="AH121" s="258"/>
      <c r="AI121" s="258"/>
      <c r="AJ121" s="258"/>
      <c r="AK121" s="258"/>
      <c r="AL121" s="258"/>
      <c r="AM121" s="258"/>
      <c r="AN121" s="258"/>
      <c r="AO121" s="258"/>
      <c r="AP121" s="258"/>
    </row>
    <row r="122" spans="1:42">
      <c r="A122" s="199" t="s">
        <v>16</v>
      </c>
      <c r="C122" s="39" t="str">
        <f>C101</f>
        <v>High Income</v>
      </c>
      <c r="E122" s="200"/>
      <c r="F122" s="200"/>
      <c r="G122" s="200"/>
      <c r="H122" s="200"/>
      <c r="I122" s="200"/>
      <c r="J122" s="200"/>
      <c r="K122" s="200"/>
      <c r="M122" s="200"/>
      <c r="N122" s="200"/>
      <c r="O122" s="200"/>
      <c r="P122" s="200"/>
      <c r="Q122" s="200"/>
      <c r="S122" s="200"/>
      <c r="T122" s="200"/>
      <c r="U122" s="200"/>
      <c r="V122" s="200"/>
      <c r="W122" s="200"/>
    </row>
    <row r="123" spans="1:42">
      <c r="A123" s="199" t="s">
        <v>16</v>
      </c>
      <c r="C123" s="199" t="str">
        <f>C119</f>
        <v>BRT</v>
      </c>
      <c r="D123" s="199" t="s">
        <v>136</v>
      </c>
      <c r="E123" s="200">
        <f t="shared" ref="E123:K123" si="76">E$64*(1-E$73)*E68*(E86*E88+E101*E102)/1000</f>
        <v>0.12025386704181647</v>
      </c>
      <c r="F123" s="200">
        <f t="shared" si="76"/>
        <v>0.1355058498122918</v>
      </c>
      <c r="G123" s="200">
        <f t="shared" si="76"/>
        <v>0.14533310804189464</v>
      </c>
      <c r="H123" s="200">
        <f t="shared" si="76"/>
        <v>1.1489891782991128</v>
      </c>
      <c r="I123" s="200">
        <f t="shared" si="76"/>
        <v>3.6760082389972486</v>
      </c>
      <c r="J123" s="200">
        <f t="shared" si="76"/>
        <v>11.647402138703564</v>
      </c>
      <c r="K123" s="200">
        <f t="shared" si="76"/>
        <v>30.180187635911857</v>
      </c>
      <c r="L123" s="259"/>
      <c r="M123" s="200">
        <f>M$64*(1-M$73)*M68*(M86*M88+M101*M102)/1000</f>
        <v>0.12025386704181647</v>
      </c>
      <c r="N123" s="200">
        <f>N$64*(1-N$73)*N68*(N86*N88+N101*N102)/1000</f>
        <v>1.1489891782991128</v>
      </c>
      <c r="O123" s="200">
        <f>O$64*(1-O$73)*O68*(O86*O88+O101*O102)/1000</f>
        <v>2.7324144492050908</v>
      </c>
      <c r="P123" s="200">
        <f>P$64*(1-P$73)*P68*(P86*P88+P101*P102)/1000</f>
        <v>4.2964920102934983</v>
      </c>
      <c r="Q123" s="200">
        <f>Q$64*(1-Q$73)*Q68*(Q86*Q88+Q101*Q102)/1000</f>
        <v>6.0144092476505104</v>
      </c>
      <c r="R123" s="258"/>
      <c r="S123" s="200">
        <f>S$64*(1-S$73)*S68*(S86*S88+S101*S102)/1000</f>
        <v>0.12025386704181647</v>
      </c>
      <c r="T123" s="200">
        <f>T$64*(1-T$73)*T68*(T86*T88+T101*T102)/1000</f>
        <v>1.1489891782991128</v>
      </c>
      <c r="U123" s="200">
        <f>U$64*(1-U$73)*U68*(U86*U88+U101*U102)/1000</f>
        <v>3.6760082389972486</v>
      </c>
      <c r="V123" s="200">
        <f>V$64*(1-V$73)*V68*(V86*V88+V101*V102)/1000</f>
        <v>11.647402138703564</v>
      </c>
      <c r="W123" s="200">
        <f>W$64*(1-W$73)*W68*(W86*W88+W101*W102)/1000</f>
        <v>30.180187635911857</v>
      </c>
      <c r="X123" s="258"/>
      <c r="Y123" s="258"/>
      <c r="Z123" s="258"/>
      <c r="AA123" s="258"/>
      <c r="AB123" s="258"/>
      <c r="AC123" s="258"/>
      <c r="AD123" s="258"/>
      <c r="AE123" s="258"/>
      <c r="AF123" s="258"/>
      <c r="AG123" s="258"/>
      <c r="AH123" s="258"/>
      <c r="AI123" s="258"/>
      <c r="AJ123" s="258"/>
      <c r="AK123" s="258"/>
      <c r="AL123" s="258"/>
      <c r="AM123" s="258"/>
      <c r="AN123" s="258"/>
      <c r="AO123" s="258"/>
      <c r="AP123" s="258"/>
    </row>
    <row r="124" spans="1:42">
      <c r="A124" s="199" t="s">
        <v>16</v>
      </c>
      <c r="C124" s="199" t="str">
        <f>C120</f>
        <v>Gautrain</v>
      </c>
      <c r="D124" s="199" t="s">
        <v>136</v>
      </c>
      <c r="E124" s="200">
        <f t="shared" ref="E124:K124" si="77">E$64*(1-E$73)*E69*(E86*E89+E101*E103)/1000</f>
        <v>0.33403851956060127</v>
      </c>
      <c r="F124" s="200">
        <f t="shared" si="77"/>
        <v>0.37640513836747724</v>
      </c>
      <c r="G124" s="200">
        <f t="shared" si="77"/>
        <v>0.40370307789415188</v>
      </c>
      <c r="H124" s="200">
        <f t="shared" si="77"/>
        <v>0.38299639276637099</v>
      </c>
      <c r="I124" s="200">
        <f t="shared" si="77"/>
        <v>1.2144064218689292</v>
      </c>
      <c r="J124" s="200">
        <f t="shared" si="77"/>
        <v>5.0846059293414179</v>
      </c>
      <c r="K124" s="200">
        <f t="shared" si="77"/>
        <v>10.663846183777501</v>
      </c>
      <c r="L124" s="259"/>
      <c r="M124" s="200">
        <f>M$64*(1-M$73)*M69*(M86*M89+M101*M103)/1000</f>
        <v>0.33403851956060127</v>
      </c>
      <c r="N124" s="200">
        <f>N$64*(1-N$73)*N69*(N86*N89+N101*N103)/1000</f>
        <v>0.38299639276637099</v>
      </c>
      <c r="O124" s="200">
        <f>O$64*(1-O$73)*O69*(O86*O89+O101*O103)/1000</f>
        <v>0.60720321093446461</v>
      </c>
      <c r="P124" s="200">
        <f>P$64*(1-P$73)*P69*(P86*P89+P101*P103)/1000</f>
        <v>0.84743432155690301</v>
      </c>
      <c r="Q124" s="200">
        <f>Q$64*(1-Q$73)*Q69*(Q86*Q89+Q101*Q103)/1000</f>
        <v>1.0663846183777501</v>
      </c>
      <c r="R124" s="258"/>
      <c r="S124" s="200">
        <f>S$64*(1-S$73)*S69*(S86*S89+S101*S103)/1000</f>
        <v>0.33403851956060127</v>
      </c>
      <c r="T124" s="200">
        <f>T$64*(1-T$73)*T69*(T86*T89+T101*T103)/1000</f>
        <v>0.38299639276637099</v>
      </c>
      <c r="U124" s="200">
        <f>U$64*(1-U$73)*U69*(U86*U89+U101*U103)/1000</f>
        <v>1.2144064218689292</v>
      </c>
      <c r="V124" s="200">
        <f>V$64*(1-V$73)*V69*(V86*V89+V101*V103)/1000</f>
        <v>5.0846059293414179</v>
      </c>
      <c r="W124" s="200">
        <f>W$64*(1-W$73)*W69*(W86*W89+W101*W103)/1000</f>
        <v>10.663846183777501</v>
      </c>
      <c r="X124" s="258"/>
      <c r="Y124" s="258"/>
      <c r="Z124" s="258"/>
      <c r="AA124" s="258"/>
      <c r="AB124" s="258"/>
      <c r="AC124" s="258"/>
      <c r="AD124" s="258"/>
      <c r="AE124" s="258"/>
      <c r="AF124" s="258"/>
      <c r="AG124" s="258"/>
      <c r="AH124" s="258"/>
      <c r="AI124" s="258"/>
      <c r="AJ124" s="258"/>
      <c r="AK124" s="258"/>
      <c r="AL124" s="258"/>
      <c r="AM124" s="258"/>
      <c r="AN124" s="258"/>
      <c r="AO124" s="258"/>
      <c r="AP124" s="258"/>
    </row>
    <row r="125" spans="1:42">
      <c r="A125" s="199" t="s">
        <v>16</v>
      </c>
      <c r="C125" s="199" t="str">
        <f>C121</f>
        <v>Bus, minibus, metro rail</v>
      </c>
      <c r="D125" s="199" t="s">
        <v>136</v>
      </c>
      <c r="E125" s="200">
        <f t="shared" ref="E125:K125" si="78">E$64*(1-E$73)*E70*(E86*E90+E101*E104)/1000</f>
        <v>12.366528869914859</v>
      </c>
      <c r="F125" s="200">
        <f t="shared" si="78"/>
        <v>13.934994732130663</v>
      </c>
      <c r="G125" s="200">
        <f t="shared" si="78"/>
        <v>15.245738566679076</v>
      </c>
      <c r="H125" s="200">
        <f t="shared" si="78"/>
        <v>13.789682499800691</v>
      </c>
      <c r="I125" s="200">
        <f t="shared" si="78"/>
        <v>23.053401588181668</v>
      </c>
      <c r="J125" s="200">
        <f t="shared" si="78"/>
        <v>29.667395671781485</v>
      </c>
      <c r="K125" s="200">
        <f t="shared" si="78"/>
        <v>28.971193726769798</v>
      </c>
      <c r="L125" s="259"/>
      <c r="M125" s="200">
        <f>M$64*(1-M$73)*M70*(M86*M90+M101*M104)/1000</f>
        <v>12.366528869914859</v>
      </c>
      <c r="N125" s="200">
        <f>N$64*(1-N$73)*N70*(N86*N90+N101*N104)/1000</f>
        <v>13.789682499800691</v>
      </c>
      <c r="O125" s="200">
        <f>O$64*(1-O$73)*O70*(O86*O90+O101*O104)/1000</f>
        <v>16.340717659522387</v>
      </c>
      <c r="P125" s="200">
        <f>P$64*(1-P$73)*P70*(P86*P90+P101*P104)/1000</f>
        <v>13.897148694183166</v>
      </c>
      <c r="Q125" s="200">
        <f>Q$64*(1-Q$73)*Q70*(Q86*Q90+Q101*Q104)/1000</f>
        <v>6.3835011864831328</v>
      </c>
      <c r="R125" s="258"/>
      <c r="S125" s="200">
        <f>S$64*(1-S$73)*S70*(S86*S90+S101*S104)/1000</f>
        <v>12.366528869914859</v>
      </c>
      <c r="T125" s="200">
        <f>T$64*(1-T$73)*T70*(T86*T90+T101*T104)/1000</f>
        <v>13.789682499800691</v>
      </c>
      <c r="U125" s="200">
        <f>U$64*(1-U$73)*U70*(U86*U90+U101*U104)/1000</f>
        <v>23.053401588181668</v>
      </c>
      <c r="V125" s="200">
        <f>V$64*(1-V$73)*V70*(V86*V90+V101*V104)/1000</f>
        <v>29.667395671781485</v>
      </c>
      <c r="W125" s="200">
        <f>W$64*(1-W$73)*W70*(W86*W90+W101*W104)/1000</f>
        <v>28.971193726769798</v>
      </c>
      <c r="X125" s="258"/>
      <c r="Y125" s="258"/>
      <c r="Z125" s="258"/>
      <c r="AA125" s="258"/>
      <c r="AB125" s="258"/>
      <c r="AC125" s="258"/>
      <c r="AD125" s="258"/>
      <c r="AE125" s="258"/>
      <c r="AF125" s="258"/>
      <c r="AG125" s="258"/>
      <c r="AH125" s="258"/>
      <c r="AI125" s="258"/>
      <c r="AJ125" s="258"/>
      <c r="AK125" s="258"/>
      <c r="AL125" s="258"/>
      <c r="AM125" s="258"/>
      <c r="AN125" s="258"/>
      <c r="AO125" s="258"/>
      <c r="AP125" s="258"/>
    </row>
    <row r="126" spans="1:42">
      <c r="A126" s="199" t="s">
        <v>16</v>
      </c>
      <c r="C126" s="39" t="s">
        <v>5</v>
      </c>
      <c r="E126" s="200"/>
      <c r="F126" s="200"/>
      <c r="G126" s="200"/>
      <c r="H126" s="200"/>
      <c r="I126" s="200"/>
      <c r="J126" s="200"/>
      <c r="K126" s="200"/>
      <c r="M126" s="200"/>
      <c r="N126" s="200"/>
      <c r="O126" s="200"/>
      <c r="P126" s="200"/>
      <c r="Q126" s="200"/>
      <c r="S126" s="200"/>
      <c r="T126" s="200"/>
      <c r="U126" s="200"/>
      <c r="V126" s="200"/>
      <c r="W126" s="200"/>
    </row>
    <row r="127" spans="1:42">
      <c r="A127" s="199" t="s">
        <v>16</v>
      </c>
      <c r="C127" s="199" t="str">
        <f>C123</f>
        <v>BRT</v>
      </c>
      <c r="D127" s="199" t="s">
        <v>136</v>
      </c>
      <c r="E127" s="200">
        <f t="shared" ref="E127:K129" si="79">E115+E119+E123</f>
        <v>0.53125275171718644</v>
      </c>
      <c r="F127" s="200">
        <f t="shared" si="79"/>
        <v>0.56948090947364061</v>
      </c>
      <c r="G127" s="200">
        <f t="shared" si="79"/>
        <v>0.59714679705480178</v>
      </c>
      <c r="H127" s="200">
        <f t="shared" si="79"/>
        <v>5.6807345999249996</v>
      </c>
      <c r="I127" s="200">
        <f t="shared" si="79"/>
        <v>19.411411690672864</v>
      </c>
      <c r="J127" s="200">
        <f t="shared" si="79"/>
        <v>51.162995696489254</v>
      </c>
      <c r="K127" s="200">
        <f t="shared" si="79"/>
        <v>100.54519878775352</v>
      </c>
      <c r="L127" s="259"/>
      <c r="M127" s="200">
        <f t="shared" ref="M127:Q129" si="80">M115+M119+M123</f>
        <v>0.53125275171718644</v>
      </c>
      <c r="N127" s="200">
        <f>N115+N119+N123</f>
        <v>5.6807345999249996</v>
      </c>
      <c r="O127" s="200">
        <f t="shared" si="80"/>
        <v>13.971988343259103</v>
      </c>
      <c r="P127" s="200">
        <f t="shared" si="80"/>
        <v>25.767503421664941</v>
      </c>
      <c r="Q127" s="200">
        <f t="shared" si="80"/>
        <v>36.270461225094863</v>
      </c>
      <c r="R127" s="258"/>
      <c r="S127" s="200">
        <f t="shared" ref="S127:W129" si="81">S115+S119+S123</f>
        <v>0.53125275171718644</v>
      </c>
      <c r="T127" s="200">
        <f t="shared" si="81"/>
        <v>5.6807345999249996</v>
      </c>
      <c r="U127" s="200">
        <f t="shared" si="81"/>
        <v>19.411411690672864</v>
      </c>
      <c r="V127" s="200">
        <f t="shared" si="81"/>
        <v>51.162995696489254</v>
      </c>
      <c r="W127" s="200">
        <f t="shared" si="81"/>
        <v>100.54519878775352</v>
      </c>
      <c r="X127" s="258"/>
      <c r="Y127" s="258"/>
      <c r="Z127" s="258"/>
      <c r="AA127" s="258"/>
      <c r="AB127" s="258"/>
      <c r="AC127" s="258"/>
      <c r="AD127" s="258"/>
      <c r="AE127" s="258"/>
      <c r="AF127" s="258"/>
      <c r="AG127" s="258"/>
      <c r="AH127" s="258"/>
      <c r="AI127" s="258"/>
      <c r="AJ127" s="258"/>
      <c r="AK127" s="258"/>
      <c r="AL127" s="258"/>
      <c r="AM127" s="258"/>
      <c r="AN127" s="258"/>
      <c r="AO127" s="258"/>
      <c r="AP127" s="258"/>
    </row>
    <row r="128" spans="1:42">
      <c r="A128" s="199" t="s">
        <v>16</v>
      </c>
      <c r="C128" s="199" t="str">
        <f>C124</f>
        <v>Gautrain</v>
      </c>
      <c r="D128" s="199" t="s">
        <v>136</v>
      </c>
      <c r="E128" s="200">
        <f t="shared" si="79"/>
        <v>0.53452578037785492</v>
      </c>
      <c r="F128" s="200">
        <f t="shared" si="79"/>
        <v>0.58840536503250629</v>
      </c>
      <c r="G128" s="200">
        <f t="shared" si="79"/>
        <v>0.62462624083765128</v>
      </c>
      <c r="H128" s="200">
        <f t="shared" si="79"/>
        <v>0.62821600822404911</v>
      </c>
      <c r="I128" s="200">
        <f t="shared" si="79"/>
        <v>2.7508194966103963</v>
      </c>
      <c r="J128" s="200">
        <f t="shared" si="79"/>
        <v>8.7312261759374543</v>
      </c>
      <c r="K128" s="200">
        <f t="shared" si="79"/>
        <v>16.52443803807305</v>
      </c>
      <c r="L128" s="259"/>
      <c r="M128" s="200">
        <f t="shared" si="80"/>
        <v>0.53452578037785492</v>
      </c>
      <c r="N128" s="200">
        <f t="shared" si="80"/>
        <v>0.62821600822404911</v>
      </c>
      <c r="O128" s="200">
        <f t="shared" si="80"/>
        <v>0.91448582588275806</v>
      </c>
      <c r="P128" s="200">
        <f t="shared" si="80"/>
        <v>1.2120963462165066</v>
      </c>
      <c r="Q128" s="200">
        <f t="shared" si="80"/>
        <v>1.4570907419974535</v>
      </c>
      <c r="R128" s="258"/>
      <c r="S128" s="200">
        <f t="shared" si="81"/>
        <v>0.53452578037785492</v>
      </c>
      <c r="T128" s="200">
        <f t="shared" si="81"/>
        <v>0.62821600822404911</v>
      </c>
      <c r="U128" s="200">
        <f t="shared" si="81"/>
        <v>2.7508194966103963</v>
      </c>
      <c r="V128" s="200">
        <f t="shared" si="81"/>
        <v>8.7312261759374543</v>
      </c>
      <c r="W128" s="200">
        <f t="shared" si="81"/>
        <v>16.52443803807305</v>
      </c>
      <c r="X128" s="258"/>
      <c r="Y128" s="258"/>
      <c r="Z128" s="258"/>
      <c r="AA128" s="258"/>
      <c r="AB128" s="258"/>
      <c r="AC128" s="258"/>
      <c r="AD128" s="258"/>
      <c r="AE128" s="258"/>
      <c r="AF128" s="258"/>
      <c r="AG128" s="258"/>
      <c r="AH128" s="258"/>
      <c r="AI128" s="258"/>
      <c r="AJ128" s="258"/>
      <c r="AK128" s="258"/>
      <c r="AL128" s="258"/>
      <c r="AM128" s="258"/>
      <c r="AN128" s="258"/>
      <c r="AO128" s="258"/>
      <c r="AP128" s="258"/>
    </row>
    <row r="129" spans="1:42">
      <c r="A129" s="199" t="s">
        <v>16</v>
      </c>
      <c r="C129" s="199" t="str">
        <f>C125</f>
        <v>Bus, minibus, metro rail</v>
      </c>
      <c r="D129" s="199" t="s">
        <v>136</v>
      </c>
      <c r="E129" s="200">
        <f t="shared" si="79"/>
        <v>131.48236938894291</v>
      </c>
      <c r="F129" s="200">
        <f t="shared" si="79"/>
        <v>135.33025464374944</v>
      </c>
      <c r="G129" s="200">
        <f t="shared" si="79"/>
        <v>138.91807912710561</v>
      </c>
      <c r="H129" s="200">
        <f t="shared" si="79"/>
        <v>143.96021541550977</v>
      </c>
      <c r="I129" s="200">
        <f t="shared" si="79"/>
        <v>142.24492122189505</v>
      </c>
      <c r="J129" s="200">
        <f t="shared" si="79"/>
        <v>125.3121860384191</v>
      </c>
      <c r="K129" s="200">
        <f t="shared" si="79"/>
        <v>95.967508046413514</v>
      </c>
      <c r="L129" s="259"/>
      <c r="M129" s="200">
        <f t="shared" si="80"/>
        <v>131.09175852257383</v>
      </c>
      <c r="N129" s="200">
        <f>N117+N121+N125</f>
        <v>143.96021541550977</v>
      </c>
      <c r="O129" s="200">
        <f t="shared" si="80"/>
        <v>136.52072807438157</v>
      </c>
      <c r="P129" s="200">
        <f t="shared" si="80"/>
        <v>116.56850408086322</v>
      </c>
      <c r="Q129" s="200">
        <f t="shared" si="80"/>
        <v>92.757489528345999</v>
      </c>
      <c r="R129" s="258"/>
      <c r="S129" s="200">
        <f t="shared" si="81"/>
        <v>131.09175852257383</v>
      </c>
      <c r="T129" s="200">
        <f t="shared" si="81"/>
        <v>143.96021541550977</v>
      </c>
      <c r="U129" s="200">
        <f t="shared" si="81"/>
        <v>142.24492122189505</v>
      </c>
      <c r="V129" s="200">
        <f t="shared" si="81"/>
        <v>125.3121860384191</v>
      </c>
      <c r="W129" s="200">
        <f t="shared" si="81"/>
        <v>95.967508046413514</v>
      </c>
      <c r="X129" s="258"/>
      <c r="Y129" s="258"/>
      <c r="Z129" s="258"/>
      <c r="AA129" s="258"/>
      <c r="AB129" s="258"/>
      <c r="AC129" s="258"/>
      <c r="AD129" s="258"/>
      <c r="AE129" s="258"/>
      <c r="AF129" s="258"/>
      <c r="AG129" s="258"/>
      <c r="AH129" s="258"/>
      <c r="AI129" s="258"/>
      <c r="AJ129" s="258"/>
      <c r="AK129" s="258"/>
      <c r="AL129" s="258"/>
      <c r="AM129" s="258"/>
      <c r="AN129" s="258"/>
      <c r="AO129" s="258"/>
      <c r="AP129" s="258"/>
    </row>
    <row r="130" spans="1:42">
      <c r="A130" s="199" t="s">
        <v>16</v>
      </c>
    </row>
    <row r="131" spans="1:42" ht="15.75" thickBot="1">
      <c r="A131" s="199" t="s">
        <v>16</v>
      </c>
      <c r="C131" s="244" t="s">
        <v>175</v>
      </c>
      <c r="E131" s="249"/>
      <c r="F131" s="249"/>
      <c r="G131" s="249"/>
      <c r="H131" s="249"/>
      <c r="I131" s="249"/>
      <c r="J131" s="249"/>
      <c r="K131" s="249"/>
      <c r="S131" s="199" t="s">
        <v>205</v>
      </c>
    </row>
    <row r="132" spans="1:42">
      <c r="A132" s="199" t="s">
        <v>16</v>
      </c>
      <c r="C132" s="245" t="s">
        <v>100</v>
      </c>
      <c r="E132" s="73">
        <f>[2]Calib_1011!M77</f>
        <v>0.86657939364773595</v>
      </c>
      <c r="F132" s="248">
        <f t="shared" ref="F132:G133" si="82">E132</f>
        <v>0.86657939364773595</v>
      </c>
      <c r="G132" s="248">
        <f t="shared" si="82"/>
        <v>0.86657939364773595</v>
      </c>
      <c r="H132" s="248">
        <f>1-H133-H134</f>
        <v>0.875</v>
      </c>
      <c r="I132" s="248">
        <f>1-I133-I134</f>
        <v>0.88500000000000001</v>
      </c>
      <c r="J132" s="248">
        <f>1-J133-J134</f>
        <v>0.89500000000000002</v>
      </c>
      <c r="K132" s="248">
        <f>1-K133-K134</f>
        <v>0.89500000000000002</v>
      </c>
      <c r="M132" s="248">
        <f>1-M133-M134</f>
        <v>0.87549807858580153</v>
      </c>
      <c r="N132" s="248">
        <f>1-N133-N134</f>
        <v>0.87549807858580153</v>
      </c>
      <c r="O132" s="248">
        <f>1-O133-O134</f>
        <v>0.87549807858580153</v>
      </c>
      <c r="P132" s="248">
        <f>1-P133-P134</f>
        <v>0.87549807858580153</v>
      </c>
      <c r="Q132" s="248">
        <f>1-Q133-Q134</f>
        <v>0.87549807858580153</v>
      </c>
      <c r="S132" s="248">
        <f>1-S133-S134</f>
        <v>0.87549807858580153</v>
      </c>
      <c r="T132" s="248">
        <f>1-T133-T134</f>
        <v>0.875</v>
      </c>
      <c r="U132" s="248">
        <f>1-U133-U134</f>
        <v>0.88500000000000001</v>
      </c>
      <c r="V132" s="248">
        <f>1-V133-V134</f>
        <v>0.89500000000000002</v>
      </c>
      <c r="W132" s="248">
        <f>1-W133-W134</f>
        <v>0.89500000000000002</v>
      </c>
    </row>
    <row r="133" spans="1:42">
      <c r="A133" s="199" t="s">
        <v>16</v>
      </c>
      <c r="C133" s="245" t="s">
        <v>99</v>
      </c>
      <c r="E133" s="73">
        <f>[2]Calib_1011!M78</f>
        <v>9.950192141419846E-2</v>
      </c>
      <c r="F133" s="66">
        <f t="shared" si="82"/>
        <v>9.950192141419846E-2</v>
      </c>
      <c r="G133" s="66">
        <f t="shared" si="82"/>
        <v>9.950192141419846E-2</v>
      </c>
      <c r="H133" s="66">
        <f t="shared" ref="H133:K134" si="83">IF($D$4,T133,N133)</f>
        <v>0.1</v>
      </c>
      <c r="I133" s="66">
        <f t="shared" si="83"/>
        <v>0.09</v>
      </c>
      <c r="J133" s="66">
        <f t="shared" si="83"/>
        <v>0.08</v>
      </c>
      <c r="K133" s="66">
        <f t="shared" si="83"/>
        <v>0.08</v>
      </c>
      <c r="M133" s="248">
        <f>$F133</f>
        <v>9.950192141419846E-2</v>
      </c>
      <c r="N133" s="74">
        <f>M133</f>
        <v>9.950192141419846E-2</v>
      </c>
      <c r="O133" s="74">
        <f t="shared" ref="O133:Q134" si="84">N133</f>
        <v>9.950192141419846E-2</v>
      </c>
      <c r="P133" s="74">
        <f t="shared" si="84"/>
        <v>9.950192141419846E-2</v>
      </c>
      <c r="Q133" s="74">
        <f t="shared" si="84"/>
        <v>9.950192141419846E-2</v>
      </c>
      <c r="S133" s="248">
        <f>$F133</f>
        <v>9.950192141419846E-2</v>
      </c>
      <c r="T133" s="83">
        <v>0.1</v>
      </c>
      <c r="U133" s="83">
        <v>0.09</v>
      </c>
      <c r="V133" s="83">
        <v>0.08</v>
      </c>
      <c r="W133" s="74">
        <f>V133</f>
        <v>0.08</v>
      </c>
    </row>
    <row r="134" spans="1:42">
      <c r="A134" s="199" t="s">
        <v>16</v>
      </c>
      <c r="C134" s="245" t="s">
        <v>176</v>
      </c>
      <c r="E134" s="73">
        <f>[2]Calib_1011!M79</f>
        <v>3.3918684938065609E-2</v>
      </c>
      <c r="F134" s="148">
        <v>2.5000000000000001E-2</v>
      </c>
      <c r="G134" s="148">
        <v>2.5000000000000001E-2</v>
      </c>
      <c r="H134" s="66">
        <f t="shared" si="83"/>
        <v>2.5000000000000001E-2</v>
      </c>
      <c r="I134" s="66">
        <f t="shared" si="83"/>
        <v>2.5000000000000001E-2</v>
      </c>
      <c r="J134" s="66">
        <f t="shared" si="83"/>
        <v>2.5000000000000001E-2</v>
      </c>
      <c r="K134" s="66">
        <f t="shared" si="83"/>
        <v>2.5000000000000001E-2</v>
      </c>
      <c r="M134" s="248">
        <f>$F134</f>
        <v>2.5000000000000001E-2</v>
      </c>
      <c r="N134" s="74">
        <f>M134</f>
        <v>2.5000000000000001E-2</v>
      </c>
      <c r="O134" s="74">
        <f t="shared" si="84"/>
        <v>2.5000000000000001E-2</v>
      </c>
      <c r="P134" s="74">
        <f t="shared" si="84"/>
        <v>2.5000000000000001E-2</v>
      </c>
      <c r="Q134" s="74">
        <f t="shared" si="84"/>
        <v>2.5000000000000001E-2</v>
      </c>
      <c r="S134" s="248">
        <f>$F134</f>
        <v>2.5000000000000001E-2</v>
      </c>
      <c r="T134" s="74">
        <f>S134</f>
        <v>2.5000000000000001E-2</v>
      </c>
      <c r="U134" s="74">
        <f>T134</f>
        <v>2.5000000000000001E-2</v>
      </c>
      <c r="V134" s="74">
        <f>U134</f>
        <v>2.5000000000000001E-2</v>
      </c>
      <c r="W134" s="74">
        <f>V134</f>
        <v>2.5000000000000001E-2</v>
      </c>
    </row>
    <row r="135" spans="1:42">
      <c r="A135" s="199" t="s">
        <v>16</v>
      </c>
      <c r="C135" s="245"/>
      <c r="E135" s="249"/>
      <c r="F135" s="249"/>
      <c r="G135" s="249"/>
      <c r="H135" s="249"/>
      <c r="I135" s="249"/>
      <c r="J135" s="249"/>
      <c r="K135" s="249"/>
    </row>
    <row r="136" spans="1:42" ht="15.75" thickBot="1">
      <c r="A136" s="199" t="s">
        <v>16</v>
      </c>
      <c r="C136" s="244" t="s">
        <v>185</v>
      </c>
      <c r="E136" s="249"/>
      <c r="F136" s="249"/>
      <c r="G136" s="249"/>
      <c r="H136" s="249"/>
      <c r="I136" s="249"/>
      <c r="J136" s="249"/>
      <c r="K136" s="249"/>
    </row>
    <row r="137" spans="1:42">
      <c r="A137" s="199" t="s">
        <v>16</v>
      </c>
      <c r="C137" s="245" t="s">
        <v>62</v>
      </c>
      <c r="E137" s="73">
        <f>[2]Calib_1011!M71</f>
        <v>0.25980514219360507</v>
      </c>
      <c r="F137" s="66">
        <f t="shared" ref="F137:F138" si="85">AVERAGE(E137,G137)</f>
        <v>0.20390257109680254</v>
      </c>
      <c r="G137" s="248">
        <v>0.14799999999999999</v>
      </c>
      <c r="H137" s="248">
        <f>1-H138-H139</f>
        <v>0.22417014836298688</v>
      </c>
      <c r="I137" s="248">
        <f>1-I138-I139</f>
        <v>0.19817014836298683</v>
      </c>
      <c r="J137" s="248">
        <f>1-J138-J139</f>
        <v>0.17817014836298684</v>
      </c>
      <c r="K137" s="248">
        <f>1-K138-K139</f>
        <v>0.17268147837738129</v>
      </c>
      <c r="M137" s="248">
        <f>1-M138-M139</f>
        <v>0.20340257109680249</v>
      </c>
      <c r="N137" s="248">
        <v>0.14799999999999999</v>
      </c>
      <c r="O137" s="248">
        <f>1-O138-O139</f>
        <v>0.14800000000000002</v>
      </c>
      <c r="P137" s="248">
        <f>1-P138-P139</f>
        <v>0.14800000000000002</v>
      </c>
      <c r="Q137" s="248">
        <f>1-Q138-Q139</f>
        <v>0.14800000000000002</v>
      </c>
      <c r="S137" s="248">
        <f>1-S138-S139</f>
        <v>0.20340257109680249</v>
      </c>
      <c r="T137" s="248">
        <f>1-T138-T139</f>
        <v>0.22417014836298688</v>
      </c>
      <c r="U137" s="248">
        <f>1-U138-U139</f>
        <v>0.19817014836298683</v>
      </c>
      <c r="V137" s="248">
        <f>1-V138-V139</f>
        <v>0.17817014836298684</v>
      </c>
      <c r="W137" s="248">
        <f>1-W138-W139</f>
        <v>0.17268147837738129</v>
      </c>
    </row>
    <row r="138" spans="1:42">
      <c r="A138" s="199" t="s">
        <v>16</v>
      </c>
      <c r="C138" s="245" t="s">
        <v>184</v>
      </c>
      <c r="E138" s="73">
        <f>[2]Calib_1011!M72</f>
        <v>0.63065970327402632</v>
      </c>
      <c r="F138" s="66">
        <f t="shared" si="85"/>
        <v>0.70682985163701317</v>
      </c>
      <c r="G138" s="66">
        <v>0.78300000000000003</v>
      </c>
      <c r="H138" s="66">
        <f t="shared" ref="H138:K139" si="86">IF($D$4,T138,N138)</f>
        <v>0.70682985163701317</v>
      </c>
      <c r="I138" s="66">
        <f t="shared" si="86"/>
        <v>0.70682985163701317</v>
      </c>
      <c r="J138" s="66">
        <f t="shared" si="86"/>
        <v>0.70682985163701317</v>
      </c>
      <c r="K138" s="66">
        <f t="shared" si="86"/>
        <v>0.70682985163701317</v>
      </c>
      <c r="M138" s="248">
        <f>$F138</f>
        <v>0.70682985163701317</v>
      </c>
      <c r="N138" s="74">
        <v>0.78300000000000003</v>
      </c>
      <c r="O138" s="74">
        <f t="shared" ref="O138:Q138" si="87">N138</f>
        <v>0.78300000000000003</v>
      </c>
      <c r="P138" s="74">
        <f t="shared" si="87"/>
        <v>0.78300000000000003</v>
      </c>
      <c r="Q138" s="74">
        <f t="shared" si="87"/>
        <v>0.78300000000000003</v>
      </c>
      <c r="S138" s="248">
        <f>$F138</f>
        <v>0.70682985163701317</v>
      </c>
      <c r="T138" s="74">
        <f t="shared" ref="T138:W138" si="88">S138</f>
        <v>0.70682985163701317</v>
      </c>
      <c r="U138" s="74">
        <f t="shared" si="88"/>
        <v>0.70682985163701317</v>
      </c>
      <c r="V138" s="74">
        <f t="shared" si="88"/>
        <v>0.70682985163701317</v>
      </c>
      <c r="W138" s="74">
        <f t="shared" si="88"/>
        <v>0.70682985163701317</v>
      </c>
    </row>
    <row r="139" spans="1:42">
      <c r="A139" s="199" t="s">
        <v>16</v>
      </c>
      <c r="C139" s="245" t="s">
        <v>186</v>
      </c>
      <c r="E139" s="73">
        <f>[2]Calib_1011!M73</f>
        <v>0.10953515453236866</v>
      </c>
      <c r="F139" s="66">
        <f>AVERAGE(E139,G139)</f>
        <v>8.976757726618434E-2</v>
      </c>
      <c r="G139" s="66">
        <v>7.0000000000000007E-2</v>
      </c>
      <c r="H139" s="66">
        <f t="shared" si="86"/>
        <v>6.899999999999995E-2</v>
      </c>
      <c r="I139" s="66">
        <f t="shared" si="86"/>
        <v>9.5000000000000001E-2</v>
      </c>
      <c r="J139" s="66">
        <f t="shared" si="86"/>
        <v>0.115</v>
      </c>
      <c r="K139" s="66">
        <f>IF($D$4,W139,Q139)</f>
        <v>0.12048866998560553</v>
      </c>
      <c r="M139" s="248">
        <f>$F139</f>
        <v>8.976757726618434E-2</v>
      </c>
      <c r="N139" s="74">
        <f>1-SUM(N137:N138)</f>
        <v>6.899999999999995E-2</v>
      </c>
      <c r="O139" s="74">
        <f>N139</f>
        <v>6.899999999999995E-2</v>
      </c>
      <c r="P139" s="74">
        <f>O139</f>
        <v>6.899999999999995E-2</v>
      </c>
      <c r="Q139" s="74">
        <f>P139</f>
        <v>6.899999999999995E-2</v>
      </c>
      <c r="S139" s="248">
        <f>M139</f>
        <v>8.976757726618434E-2</v>
      </c>
      <c r="T139" s="74">
        <f>N139</f>
        <v>6.899999999999995E-2</v>
      </c>
      <c r="U139" s="74">
        <v>9.5000000000000001E-2</v>
      </c>
      <c r="V139" s="74">
        <v>0.115</v>
      </c>
      <c r="W139" s="83">
        <f>E139*1.1</f>
        <v>0.12048866998560553</v>
      </c>
    </row>
    <row r="140" spans="1:42">
      <c r="A140" s="199" t="s">
        <v>16</v>
      </c>
      <c r="C140" s="245"/>
      <c r="E140" s="249"/>
      <c r="F140" s="249"/>
      <c r="G140" s="249"/>
      <c r="H140" s="249"/>
      <c r="I140" s="249"/>
      <c r="J140" s="249"/>
      <c r="K140" s="249"/>
    </row>
    <row r="141" spans="1:42" ht="15.75" thickBot="1">
      <c r="A141" s="199" t="s">
        <v>16</v>
      </c>
      <c r="C141" s="244" t="s">
        <v>196</v>
      </c>
      <c r="D141" s="271">
        <f>INDEX($BG$4:$BG$7,MATCH($D$3,$BA$4:$BA$7,0))</f>
        <v>0</v>
      </c>
      <c r="E141" s="249"/>
      <c r="F141" s="249"/>
      <c r="G141" s="249"/>
      <c r="H141" s="249"/>
      <c r="I141" s="249"/>
      <c r="J141" s="249"/>
      <c r="K141" s="249"/>
      <c r="S141" s="199" t="s">
        <v>206</v>
      </c>
    </row>
    <row r="142" spans="1:42">
      <c r="A142" s="199" t="s">
        <v>16</v>
      </c>
      <c r="C142" s="199" t="s">
        <v>62</v>
      </c>
      <c r="D142" s="199" t="s">
        <v>96</v>
      </c>
      <c r="E142" s="262">
        <f>[2]Calib_1011!$K$71</f>
        <v>25</v>
      </c>
      <c r="F142" s="263">
        <f t="shared" ref="F142:G144" si="89">E142</f>
        <v>25</v>
      </c>
      <c r="G142" s="263">
        <f t="shared" si="89"/>
        <v>25</v>
      </c>
      <c r="H142" s="263">
        <f t="shared" ref="H142:K144" si="90">IF($D$4,T142,N142)</f>
        <v>25</v>
      </c>
      <c r="I142" s="263">
        <f t="shared" si="90"/>
        <v>25</v>
      </c>
      <c r="J142" s="263">
        <f t="shared" si="90"/>
        <v>25</v>
      </c>
      <c r="K142" s="263">
        <f t="shared" si="90"/>
        <v>25</v>
      </c>
      <c r="L142" s="264"/>
      <c r="M142" s="265">
        <f>$F142</f>
        <v>25</v>
      </c>
      <c r="N142" s="48">
        <f>M142</f>
        <v>25</v>
      </c>
      <c r="O142" s="48">
        <f t="shared" ref="O142:Q144" si="91">N142</f>
        <v>25</v>
      </c>
      <c r="P142" s="48">
        <f t="shared" si="91"/>
        <v>25</v>
      </c>
      <c r="Q142" s="48">
        <f t="shared" si="91"/>
        <v>25</v>
      </c>
      <c r="R142" s="266"/>
      <c r="S142" s="265">
        <f>$F142</f>
        <v>25</v>
      </c>
      <c r="T142" s="84">
        <f>S142*(1+$D$141)</f>
        <v>25</v>
      </c>
      <c r="U142" s="84">
        <f t="shared" ref="U142:W142" si="92">T142*(1+$D$141)</f>
        <v>25</v>
      </c>
      <c r="V142" s="84">
        <f t="shared" si="92"/>
        <v>25</v>
      </c>
      <c r="W142" s="84">
        <f t="shared" si="92"/>
        <v>25</v>
      </c>
      <c r="X142" s="266"/>
      <c r="Y142" s="266"/>
      <c r="Z142" s="266"/>
      <c r="AA142" s="266"/>
      <c r="AB142" s="266"/>
      <c r="AC142" s="266"/>
      <c r="AD142" s="266"/>
      <c r="AE142" s="266"/>
      <c r="AF142" s="266"/>
      <c r="AG142" s="266"/>
      <c r="AH142" s="266"/>
      <c r="AI142" s="266"/>
      <c r="AJ142" s="266"/>
      <c r="AK142" s="266"/>
      <c r="AL142" s="266"/>
      <c r="AM142" s="266"/>
      <c r="AN142" s="266"/>
      <c r="AO142" s="266"/>
      <c r="AP142" s="266"/>
    </row>
    <row r="143" spans="1:42">
      <c r="A143" s="199" t="s">
        <v>16</v>
      </c>
      <c r="C143" s="199" t="s">
        <v>184</v>
      </c>
      <c r="D143" s="199" t="s">
        <v>96</v>
      </c>
      <c r="E143" s="262">
        <f>[2]Calib_1011!$K$72</f>
        <v>14</v>
      </c>
      <c r="F143" s="263">
        <f t="shared" si="89"/>
        <v>14</v>
      </c>
      <c r="G143" s="263">
        <f t="shared" si="89"/>
        <v>14</v>
      </c>
      <c r="H143" s="263">
        <f t="shared" si="90"/>
        <v>14</v>
      </c>
      <c r="I143" s="263">
        <f t="shared" si="90"/>
        <v>14</v>
      </c>
      <c r="J143" s="263">
        <f t="shared" si="90"/>
        <v>14</v>
      </c>
      <c r="K143" s="263">
        <f t="shared" si="90"/>
        <v>14</v>
      </c>
      <c r="L143" s="264"/>
      <c r="M143" s="265">
        <f>$F143</f>
        <v>14</v>
      </c>
      <c r="N143" s="48">
        <f>M143</f>
        <v>14</v>
      </c>
      <c r="O143" s="48">
        <f t="shared" si="91"/>
        <v>14</v>
      </c>
      <c r="P143" s="48">
        <f t="shared" si="91"/>
        <v>14</v>
      </c>
      <c r="Q143" s="48">
        <f t="shared" si="91"/>
        <v>14</v>
      </c>
      <c r="R143" s="266"/>
      <c r="S143" s="265">
        <f>$F143</f>
        <v>14</v>
      </c>
      <c r="T143" s="84">
        <f>S143</f>
        <v>14</v>
      </c>
      <c r="U143" s="84">
        <f t="shared" ref="U143:W143" si="93">T143</f>
        <v>14</v>
      </c>
      <c r="V143" s="84">
        <f t="shared" si="93"/>
        <v>14</v>
      </c>
      <c r="W143" s="84">
        <f t="shared" si="93"/>
        <v>14</v>
      </c>
      <c r="X143" s="266"/>
      <c r="Y143" s="266"/>
      <c r="Z143" s="266"/>
      <c r="AA143" s="266"/>
      <c r="AB143" s="266"/>
      <c r="AC143" s="266"/>
      <c r="AD143" s="266"/>
      <c r="AE143" s="266"/>
      <c r="AF143" s="266"/>
      <c r="AG143" s="266"/>
      <c r="AH143" s="266"/>
      <c r="AI143" s="266"/>
      <c r="AJ143" s="266"/>
      <c r="AK143" s="266"/>
      <c r="AL143" s="266"/>
      <c r="AM143" s="266"/>
      <c r="AN143" s="266"/>
      <c r="AO143" s="266"/>
      <c r="AP143" s="266"/>
    </row>
    <row r="144" spans="1:42">
      <c r="A144" s="199" t="s">
        <v>16</v>
      </c>
      <c r="C144" s="199" t="s">
        <v>63</v>
      </c>
      <c r="D144" s="199" t="s">
        <v>96</v>
      </c>
      <c r="E144" s="262">
        <f>E142</f>
        <v>25</v>
      </c>
      <c r="F144" s="263">
        <f t="shared" si="89"/>
        <v>25</v>
      </c>
      <c r="G144" s="263">
        <f t="shared" si="89"/>
        <v>25</v>
      </c>
      <c r="H144" s="263">
        <f t="shared" si="90"/>
        <v>25</v>
      </c>
      <c r="I144" s="263">
        <f t="shared" si="90"/>
        <v>25</v>
      </c>
      <c r="J144" s="263">
        <f t="shared" si="90"/>
        <v>25</v>
      </c>
      <c r="K144" s="263">
        <f t="shared" si="90"/>
        <v>25</v>
      </c>
      <c r="L144" s="264"/>
      <c r="M144" s="265">
        <f>$F144</f>
        <v>25</v>
      </c>
      <c r="N144" s="48">
        <f>M144</f>
        <v>25</v>
      </c>
      <c r="O144" s="48">
        <f t="shared" si="91"/>
        <v>25</v>
      </c>
      <c r="P144" s="48">
        <f t="shared" si="91"/>
        <v>25</v>
      </c>
      <c r="Q144" s="48">
        <f t="shared" si="91"/>
        <v>25</v>
      </c>
      <c r="R144" s="266"/>
      <c r="S144" s="265">
        <f>$F144</f>
        <v>25</v>
      </c>
      <c r="T144" s="84">
        <f t="shared" ref="T144:V144" si="94">S144*(1+$D$141)</f>
        <v>25</v>
      </c>
      <c r="U144" s="84">
        <f t="shared" si="94"/>
        <v>25</v>
      </c>
      <c r="V144" s="84">
        <f t="shared" si="94"/>
        <v>25</v>
      </c>
      <c r="W144" s="84">
        <f>V144*(1+$D$141)</f>
        <v>25</v>
      </c>
      <c r="X144" s="266"/>
      <c r="Y144" s="266"/>
      <c r="Z144" s="266"/>
      <c r="AA144" s="266"/>
      <c r="AB144" s="266"/>
      <c r="AC144" s="266"/>
      <c r="AD144" s="266"/>
      <c r="AE144" s="266"/>
      <c r="AF144" s="266"/>
      <c r="AG144" s="266"/>
      <c r="AH144" s="266"/>
      <c r="AI144" s="266"/>
      <c r="AJ144" s="266"/>
      <c r="AK144" s="266"/>
      <c r="AL144" s="266"/>
      <c r="AM144" s="266"/>
      <c r="AN144" s="266"/>
      <c r="AO144" s="266"/>
      <c r="AP144" s="266"/>
    </row>
    <row r="145" spans="1:42">
      <c r="A145" s="199" t="s">
        <v>16</v>
      </c>
      <c r="C145" s="245"/>
      <c r="E145" s="249"/>
      <c r="F145" s="249"/>
      <c r="G145" s="249"/>
      <c r="H145" s="249"/>
      <c r="I145" s="249"/>
      <c r="J145" s="249"/>
      <c r="K145" s="249"/>
    </row>
    <row r="146" spans="1:42">
      <c r="A146" s="199" t="s">
        <v>16</v>
      </c>
    </row>
    <row r="147" spans="1:42">
      <c r="A147" s="199" t="s">
        <v>16</v>
      </c>
      <c r="E147" s="30"/>
      <c r="F147" s="30"/>
      <c r="G147" s="30"/>
      <c r="H147" s="30"/>
      <c r="I147" s="30"/>
      <c r="J147" s="30"/>
      <c r="K147" s="30"/>
      <c r="L147" s="264"/>
      <c r="M147" s="266" t="str">
        <f>M11</f>
        <v>Reference</v>
      </c>
      <c r="N147" s="266"/>
      <c r="O147" s="266"/>
      <c r="P147" s="266"/>
      <c r="Q147" s="266"/>
      <c r="R147" s="266"/>
      <c r="S147" s="266" t="str">
        <f>S11</f>
        <v>Scenario</v>
      </c>
      <c r="T147" s="266"/>
      <c r="U147" s="266"/>
      <c r="V147" s="266"/>
      <c r="W147" s="266"/>
      <c r="X147" s="266"/>
      <c r="AF147" s="266"/>
      <c r="AG147" s="266"/>
      <c r="AH147" s="266"/>
      <c r="AI147" s="266"/>
      <c r="AJ147" s="266"/>
      <c r="AK147" s="266"/>
      <c r="AL147" s="266"/>
      <c r="AM147" s="266"/>
      <c r="AN147" s="266"/>
      <c r="AO147" s="266"/>
      <c r="AP147" s="266"/>
    </row>
    <row r="148" spans="1:42" ht="15.75" thickBot="1">
      <c r="A148" s="199" t="s">
        <v>16</v>
      </c>
      <c r="C148" s="244" t="s">
        <v>142</v>
      </c>
      <c r="D148" s="244"/>
      <c r="E148" s="7">
        <v>2012</v>
      </c>
      <c r="F148" s="7">
        <f>F4</f>
        <v>2015</v>
      </c>
      <c r="G148" s="7">
        <f>G4</f>
        <v>2017</v>
      </c>
      <c r="H148" s="7">
        <v>2020</v>
      </c>
      <c r="I148" s="7">
        <v>2030</v>
      </c>
      <c r="J148" s="7">
        <v>2040</v>
      </c>
      <c r="K148" s="7">
        <v>2050</v>
      </c>
      <c r="L148" s="264"/>
      <c r="M148" s="266">
        <v>2015</v>
      </c>
      <c r="N148" s="266">
        <v>2020</v>
      </c>
      <c r="O148" s="266">
        <v>2030</v>
      </c>
      <c r="P148" s="266">
        <v>2040</v>
      </c>
      <c r="Q148" s="266">
        <v>2050</v>
      </c>
      <c r="R148" s="266"/>
      <c r="S148" s="266">
        <v>2015</v>
      </c>
      <c r="T148" s="266">
        <v>2020</v>
      </c>
      <c r="U148" s="266">
        <v>2030</v>
      </c>
      <c r="V148" s="266">
        <v>2040</v>
      </c>
      <c r="W148" s="266">
        <v>2050</v>
      </c>
      <c r="X148" s="266"/>
      <c r="AF148" s="266"/>
      <c r="AG148" s="266"/>
      <c r="AH148" s="266"/>
      <c r="AI148" s="266"/>
      <c r="AJ148" s="266"/>
      <c r="AK148" s="266"/>
      <c r="AL148" s="266"/>
      <c r="AM148" s="266"/>
      <c r="AN148" s="266"/>
      <c r="AO148" s="266"/>
      <c r="AP148" s="266"/>
    </row>
    <row r="149" spans="1:42">
      <c r="A149" s="199" t="s">
        <v>16</v>
      </c>
      <c r="B149" s="199" t="s">
        <v>128</v>
      </c>
      <c r="C149" s="199" t="s">
        <v>102</v>
      </c>
      <c r="D149" s="199" t="s">
        <v>86</v>
      </c>
      <c r="E149" s="52">
        <f t="shared" ref="E149:G149" si="95">E132*E$111</f>
        <v>81.009438001127293</v>
      </c>
      <c r="F149" s="52">
        <f t="shared" si="95"/>
        <v>88.565535879115743</v>
      </c>
      <c r="G149" s="52">
        <f t="shared" si="95"/>
        <v>92.808054742091983</v>
      </c>
      <c r="H149" s="52">
        <f t="shared" ref="H149" si="96">H132*H$111</f>
        <v>94.714834624724887</v>
      </c>
      <c r="I149" s="52">
        <f>IF($D$4,U149,O149)</f>
        <v>136.14521209533891</v>
      </c>
      <c r="J149" s="52">
        <f t="shared" ref="J149:K149" si="97">IF($D$4,V149,P149)</f>
        <v>182.62778306690217</v>
      </c>
      <c r="K149" s="52">
        <f t="shared" si="97"/>
        <v>221.67527304310403</v>
      </c>
      <c r="L149" s="267" t="str">
        <f>C149</f>
        <v>Car Priv.Veh. Vehicle km</v>
      </c>
      <c r="M149" s="250">
        <f t="shared" ref="M149:Q151" si="98">M132*M$111</f>
        <v>82.003054528266361</v>
      </c>
      <c r="N149" s="250">
        <f>N132*N$111</f>
        <v>94.768749402878385</v>
      </c>
      <c r="O149" s="250">
        <f>O132*O$111</f>
        <v>145.86987010214884</v>
      </c>
      <c r="P149" s="250">
        <f t="shared" si="98"/>
        <v>210.72436507719482</v>
      </c>
      <c r="Q149" s="250">
        <f>Q132*Q$111</f>
        <v>277.09409130388002</v>
      </c>
      <c r="R149" s="250"/>
      <c r="S149" s="250">
        <f t="shared" ref="S149:S151" si="99">S132*S$111</f>
        <v>82.003054528266361</v>
      </c>
      <c r="T149" s="250">
        <f>T161/T$36</f>
        <v>94.76874940287837</v>
      </c>
      <c r="U149" s="250">
        <f>U161/U$36</f>
        <v>136.14521209533891</v>
      </c>
      <c r="V149" s="250">
        <f t="shared" ref="V149:W149" si="100">V161/V$36</f>
        <v>182.62778306690217</v>
      </c>
      <c r="W149" s="250">
        <f t="shared" si="100"/>
        <v>221.67527304310403</v>
      </c>
      <c r="X149" s="250"/>
      <c r="Y149" s="250"/>
      <c r="Z149" s="250"/>
      <c r="AF149" s="250"/>
      <c r="AG149" s="250"/>
      <c r="AH149" s="250"/>
      <c r="AI149" s="250"/>
      <c r="AJ149" s="250"/>
      <c r="AK149" s="250"/>
      <c r="AL149" s="250"/>
      <c r="AM149" s="250"/>
      <c r="AN149" s="250"/>
      <c r="AO149" s="250"/>
      <c r="AP149" s="250"/>
    </row>
    <row r="150" spans="1:42">
      <c r="A150" s="199" t="s">
        <v>16</v>
      </c>
      <c r="B150" s="199" t="s">
        <v>127</v>
      </c>
      <c r="C150" s="199" t="s">
        <v>101</v>
      </c>
      <c r="D150" s="199" t="s">
        <v>86</v>
      </c>
      <c r="E150" s="52">
        <f t="shared" ref="E150:G150" si="101">E133*E$111</f>
        <v>9.3016229013555076</v>
      </c>
      <c r="F150" s="52">
        <f t="shared" si="101"/>
        <v>10.169225180805997</v>
      </c>
      <c r="G150" s="52">
        <f t="shared" si="101"/>
        <v>10.656357440811842</v>
      </c>
      <c r="H150" s="52">
        <f>H133*H$111</f>
        <v>10.824552528539989</v>
      </c>
      <c r="I150" s="52">
        <f t="shared" ref="I150:I156" si="102">IF($D$4,U150,O150)</f>
        <v>15.47314668778245</v>
      </c>
      <c r="J150" s="52">
        <f t="shared" ref="J150:J156" si="103">IF($D$4,V150,P150)</f>
        <v>20.755973957276126</v>
      </c>
      <c r="K150" s="52">
        <f t="shared" ref="K150:K156" si="104">IF($D$4,W150,Q150)</f>
        <v>25.193790982882504</v>
      </c>
      <c r="L150" s="267" t="str">
        <f t="shared" ref="L150:L156" si="105">C150</f>
        <v>SUV Priv.Veh. Vehicle km</v>
      </c>
      <c r="M150" s="250">
        <f t="shared" si="98"/>
        <v>9.319793711684472</v>
      </c>
      <c r="N150" s="250">
        <f t="shared" si="98"/>
        <v>10.770637750386491</v>
      </c>
      <c r="O150" s="250">
        <f t="shared" si="98"/>
        <v>16.578371451195483</v>
      </c>
      <c r="P150" s="250">
        <f t="shared" si="98"/>
        <v>23.949200719933991</v>
      </c>
      <c r="Q150" s="250">
        <f t="shared" si="98"/>
        <v>31.492238728603127</v>
      </c>
      <c r="R150" s="250"/>
      <c r="S150" s="250">
        <f t="shared" si="99"/>
        <v>9.319793711684472</v>
      </c>
      <c r="T150" s="250">
        <f t="shared" ref="T150:W151" si="106">T162/T$36</f>
        <v>10.77063775038649</v>
      </c>
      <c r="U150" s="250">
        <f t="shared" si="106"/>
        <v>15.47314668778245</v>
      </c>
      <c r="V150" s="250">
        <f t="shared" si="106"/>
        <v>20.755973957276126</v>
      </c>
      <c r="W150" s="250">
        <f t="shared" si="106"/>
        <v>25.193790982882504</v>
      </c>
      <c r="X150" s="258"/>
      <c r="AF150" s="250"/>
      <c r="AG150" s="250"/>
      <c r="AH150" s="250"/>
      <c r="AI150" s="250"/>
      <c r="AJ150" s="250"/>
      <c r="AK150" s="250"/>
      <c r="AL150" s="250"/>
      <c r="AM150" s="250"/>
      <c r="AN150" s="250"/>
      <c r="AO150" s="250"/>
      <c r="AP150" s="250"/>
    </row>
    <row r="151" spans="1:42">
      <c r="A151" s="199" t="s">
        <v>16</v>
      </c>
      <c r="B151" s="199" t="s">
        <v>183</v>
      </c>
      <c r="C151" s="199" t="s">
        <v>187</v>
      </c>
      <c r="D151" s="199" t="s">
        <v>86</v>
      </c>
      <c r="E151" s="52">
        <f t="shared" ref="E151:G151" si="107">E134*E$111</f>
        <v>3.1707811479382442</v>
      </c>
      <c r="F151" s="52">
        <f t="shared" si="107"/>
        <v>2.555032364268218</v>
      </c>
      <c r="G151" s="52">
        <f t="shared" si="107"/>
        <v>2.6774250409829849</v>
      </c>
      <c r="H151" s="52">
        <f>H134*H$111</f>
        <v>2.7061381321349973</v>
      </c>
      <c r="I151" s="52">
        <f t="shared" si="102"/>
        <v>4.1653395270088289</v>
      </c>
      <c r="J151" s="52">
        <f t="shared" si="103"/>
        <v>6.0172709178750976</v>
      </c>
      <c r="K151" s="52">
        <f t="shared" si="104"/>
        <v>7.9124700008329016</v>
      </c>
      <c r="L151" s="267" t="str">
        <f t="shared" si="105"/>
        <v>Motorbikes Priv.Veh. Vehicle km</v>
      </c>
      <c r="M151" s="250">
        <f t="shared" si="98"/>
        <v>2.3416114933320729</v>
      </c>
      <c r="N151" s="250">
        <f t="shared" si="98"/>
        <v>2.7061381321349973</v>
      </c>
      <c r="O151" s="250">
        <f t="shared" si="98"/>
        <v>4.1653395270088289</v>
      </c>
      <c r="P151" s="250">
        <f t="shared" si="98"/>
        <v>6.0172709178750985</v>
      </c>
      <c r="Q151" s="250">
        <f t="shared" si="98"/>
        <v>7.9124700008329016</v>
      </c>
      <c r="R151" s="250"/>
      <c r="S151" s="250">
        <f t="shared" si="99"/>
        <v>2.3416114933320729</v>
      </c>
      <c r="T151" s="250">
        <f t="shared" si="106"/>
        <v>2.7061381321349969</v>
      </c>
      <c r="U151" s="250">
        <f t="shared" si="106"/>
        <v>4.1653395270088289</v>
      </c>
      <c r="V151" s="250">
        <f t="shared" si="106"/>
        <v>6.0172709178750976</v>
      </c>
      <c r="W151" s="250">
        <f t="shared" si="106"/>
        <v>7.9124700008329016</v>
      </c>
      <c r="X151" s="250"/>
      <c r="Y151" s="250"/>
      <c r="Z151" s="250"/>
      <c r="AB151" s="266"/>
      <c r="AC151" s="250"/>
      <c r="AD151" s="250"/>
      <c r="AE151" s="250"/>
      <c r="AF151" s="250"/>
      <c r="AG151" s="250"/>
      <c r="AH151" s="250"/>
      <c r="AI151" s="250"/>
      <c r="AJ151" s="250"/>
      <c r="AK151" s="250"/>
      <c r="AL151" s="250"/>
      <c r="AM151" s="250"/>
      <c r="AN151" s="250"/>
      <c r="AO151" s="250"/>
      <c r="AP151" s="250"/>
    </row>
    <row r="152" spans="1:42">
      <c r="A152" s="199" t="s">
        <v>16</v>
      </c>
      <c r="B152" s="199" t="s">
        <v>129</v>
      </c>
      <c r="C152" s="199" t="s">
        <v>87</v>
      </c>
      <c r="D152" s="199" t="s">
        <v>86</v>
      </c>
      <c r="E152" s="52">
        <v>0.61799148971758899</v>
      </c>
      <c r="F152" s="52">
        <v>0.65</v>
      </c>
      <c r="G152" s="52">
        <v>0.671544296289739</v>
      </c>
      <c r="H152" s="52">
        <f t="shared" ref="E152:H153" si="108">H137*H$129/H142</f>
        <v>1.290863313922495</v>
      </c>
      <c r="I152" s="52">
        <f t="shared" si="102"/>
        <v>0.88913569533505887</v>
      </c>
      <c r="J152" s="52">
        <f t="shared" si="103"/>
        <v>0.92391795786241804</v>
      </c>
      <c r="K152" s="52">
        <f t="shared" si="104"/>
        <v>1.0103447111399277</v>
      </c>
      <c r="L152" s="267" t="str">
        <f t="shared" si="105"/>
        <v>Bus vehicle km</v>
      </c>
      <c r="M152" s="250">
        <f t="shared" ref="M152:Q153" si="109">M137*M$129/M142</f>
        <v>1.0665760293237074</v>
      </c>
      <c r="N152" s="250">
        <f t="shared" si="109"/>
        <v>0.85224447525981772</v>
      </c>
      <c r="O152" s="250">
        <f t="shared" si="109"/>
        <v>0.80820271020033896</v>
      </c>
      <c r="P152" s="250">
        <f t="shared" si="109"/>
        <v>0.69008554415871037</v>
      </c>
      <c r="Q152" s="250">
        <f t="shared" si="109"/>
        <v>0.54912433800780835</v>
      </c>
      <c r="R152" s="250"/>
      <c r="S152" s="250">
        <f t="shared" ref="S152:S153" si="110">S137*S$129/S142</f>
        <v>1.0665760293237074</v>
      </c>
      <c r="T152" s="250">
        <f>T164/T142</f>
        <v>0.85224447525981772</v>
      </c>
      <c r="U152" s="250">
        <f>U164/U142</f>
        <v>0.88913569533505887</v>
      </c>
      <c r="V152" s="250">
        <f t="shared" ref="V152:W152" si="111">V164/V142</f>
        <v>0.92391795786241804</v>
      </c>
      <c r="W152" s="250">
        <f t="shared" si="111"/>
        <v>1.0103447111399277</v>
      </c>
      <c r="X152" s="250"/>
      <c r="Y152" s="250"/>
      <c r="Z152" s="250"/>
      <c r="AB152" s="266"/>
      <c r="AC152" s="250"/>
      <c r="AD152" s="250"/>
      <c r="AE152" s="250"/>
      <c r="AF152" s="250"/>
      <c r="AG152" s="250"/>
      <c r="AH152" s="250"/>
      <c r="AI152" s="250"/>
      <c r="AJ152" s="250"/>
      <c r="AK152" s="250"/>
      <c r="AL152" s="250"/>
      <c r="AM152" s="250"/>
      <c r="AN152" s="250"/>
      <c r="AO152" s="250"/>
      <c r="AP152" s="250"/>
    </row>
    <row r="153" spans="1:42">
      <c r="A153" s="199" t="s">
        <v>16</v>
      </c>
      <c r="B153" s="199" t="s">
        <v>130</v>
      </c>
      <c r="C153" s="199" t="s">
        <v>88</v>
      </c>
      <c r="D153" s="199" t="s">
        <v>86</v>
      </c>
      <c r="E153" s="52">
        <f t="shared" si="108"/>
        <v>5.9229022903283326</v>
      </c>
      <c r="F153" s="52">
        <v>6.9</v>
      </c>
      <c r="G153" s="52">
        <v>7.1425530000000004</v>
      </c>
      <c r="H153" s="52">
        <f t="shared" si="108"/>
        <v>7.2682412645555159</v>
      </c>
      <c r="I153" s="52">
        <f t="shared" si="102"/>
        <v>8.4000150753782723</v>
      </c>
      <c r="J153" s="52">
        <f t="shared" si="103"/>
        <v>8.7286168075081232</v>
      </c>
      <c r="K153" s="52">
        <f t="shared" si="104"/>
        <v>9.5451243825116254</v>
      </c>
      <c r="L153" s="267" t="str">
        <f t="shared" si="105"/>
        <v>Minibus vehicle km</v>
      </c>
      <c r="M153" s="250">
        <f t="shared" si="109"/>
        <v>6.6185405876675727</v>
      </c>
      <c r="N153" s="250">
        <f t="shared" si="109"/>
        <v>8.0514891907388684</v>
      </c>
      <c r="O153" s="250">
        <f t="shared" si="109"/>
        <v>7.6354092915886271</v>
      </c>
      <c r="P153" s="250">
        <f t="shared" si="109"/>
        <v>6.5195099068082794</v>
      </c>
      <c r="Q153" s="250">
        <f t="shared" si="109"/>
        <v>5.1877938786210658</v>
      </c>
      <c r="R153" s="250"/>
      <c r="S153" s="250">
        <f t="shared" si="110"/>
        <v>6.6185405876675727</v>
      </c>
      <c r="T153" s="250">
        <f t="shared" ref="T153:U154" si="112">T165/T143</f>
        <v>8.0514891907388684</v>
      </c>
      <c r="U153" s="250">
        <f t="shared" si="112"/>
        <v>8.4000150753782723</v>
      </c>
      <c r="V153" s="250">
        <f t="shared" ref="V153:W153" si="113">V165/V143</f>
        <v>8.7286168075081232</v>
      </c>
      <c r="W153" s="250">
        <f t="shared" si="113"/>
        <v>9.5451243825116254</v>
      </c>
      <c r="X153" s="250"/>
      <c r="Y153" s="250"/>
      <c r="Z153" s="250"/>
      <c r="AB153" s="250"/>
      <c r="AC153" s="250"/>
      <c r="AD153" s="250"/>
      <c r="AE153" s="250"/>
      <c r="AF153" s="250"/>
      <c r="AG153" s="250"/>
      <c r="AH153" s="250"/>
      <c r="AI153" s="250"/>
      <c r="AJ153" s="250"/>
      <c r="AK153" s="250"/>
      <c r="AL153" s="250"/>
      <c r="AM153" s="250"/>
      <c r="AN153" s="250"/>
      <c r="AO153" s="250"/>
      <c r="AP153" s="250"/>
    </row>
    <row r="154" spans="1:42">
      <c r="A154" s="199" t="s">
        <v>16</v>
      </c>
      <c r="B154" s="199" t="s">
        <v>131</v>
      </c>
      <c r="C154" s="199" t="s">
        <v>89</v>
      </c>
      <c r="D154" s="199" t="s">
        <v>86</v>
      </c>
      <c r="E154" s="52">
        <f t="shared" ref="E154:H154" si="114">E$127/E144</f>
        <v>2.1250110068687458E-2</v>
      </c>
      <c r="F154" s="52">
        <f t="shared" si="114"/>
        <v>2.2779236378945623E-2</v>
      </c>
      <c r="G154" s="52">
        <f t="shared" si="114"/>
        <v>2.3885871882192072E-2</v>
      </c>
      <c r="H154" s="52">
        <f t="shared" si="114"/>
        <v>0.22722938399699999</v>
      </c>
      <c r="I154" s="52">
        <f t="shared" si="102"/>
        <v>0.61484542994009928</v>
      </c>
      <c r="J154" s="52">
        <f t="shared" si="103"/>
        <v>1.1923973802591366</v>
      </c>
      <c r="K154" s="52">
        <f t="shared" si="104"/>
        <v>1.7697565369732444</v>
      </c>
      <c r="L154" s="267" t="str">
        <f t="shared" si="105"/>
        <v>BRT vehicle km</v>
      </c>
      <c r="M154" s="250">
        <f>M$127/M144</f>
        <v>2.1250110068687458E-2</v>
      </c>
      <c r="N154" s="250">
        <f>N$127/N144</f>
        <v>0.22722938399699999</v>
      </c>
      <c r="O154" s="250">
        <f>O$127/O144</f>
        <v>0.55887953373036414</v>
      </c>
      <c r="P154" s="250">
        <f>P$127/P144</f>
        <v>1.0307001368665976</v>
      </c>
      <c r="Q154" s="250">
        <f>Q$127/Q144</f>
        <v>1.4508184490037945</v>
      </c>
      <c r="R154" s="250"/>
      <c r="S154" s="250">
        <f>S$127/S144</f>
        <v>2.1250110068687458E-2</v>
      </c>
      <c r="T154" s="250">
        <f t="shared" si="112"/>
        <v>0.22722938399699999</v>
      </c>
      <c r="U154" s="250">
        <f t="shared" si="112"/>
        <v>0.61484542994009928</v>
      </c>
      <c r="V154" s="250">
        <f t="shared" ref="V154" si="115">V166/V144</f>
        <v>1.1923973802591366</v>
      </c>
      <c r="W154" s="250">
        <f>W166/W144</f>
        <v>1.7697565369732444</v>
      </c>
      <c r="X154" s="250"/>
      <c r="Y154" s="250"/>
      <c r="Z154" s="250"/>
      <c r="AB154" s="250"/>
      <c r="AC154" s="250"/>
      <c r="AD154" s="250"/>
      <c r="AE154" s="250"/>
      <c r="AF154" s="250"/>
      <c r="AG154" s="250"/>
      <c r="AH154" s="250"/>
      <c r="AI154" s="250"/>
      <c r="AJ154" s="250"/>
      <c r="AK154" s="250"/>
      <c r="AL154" s="250"/>
      <c r="AM154" s="250"/>
      <c r="AN154" s="250"/>
      <c r="AO154" s="250"/>
      <c r="AP154" s="250"/>
    </row>
    <row r="155" spans="1:42">
      <c r="A155" s="199" t="s">
        <v>16</v>
      </c>
      <c r="B155" s="199" t="s">
        <v>132</v>
      </c>
      <c r="C155" s="199" t="s">
        <v>90</v>
      </c>
      <c r="D155" s="199" t="str">
        <f>D154</f>
        <v>billion</v>
      </c>
      <c r="E155" s="52">
        <f>E139*E$129</f>
        <v>14.401941649299841</v>
      </c>
      <c r="F155" s="52">
        <f t="shared" ref="F155:H155" si="116">F139*F$129</f>
        <v>12.148269090185179</v>
      </c>
      <c r="G155" s="52">
        <f t="shared" si="116"/>
        <v>9.7242655388973933</v>
      </c>
      <c r="H155" s="52">
        <f t="shared" si="116"/>
        <v>9.9332548636701663</v>
      </c>
      <c r="I155" s="52">
        <f t="shared" si="102"/>
        <v>10.363236989547131</v>
      </c>
      <c r="J155" s="52">
        <f t="shared" si="103"/>
        <v>10.768638360220741</v>
      </c>
      <c r="K155" s="52">
        <f t="shared" si="104"/>
        <v>11.775977207543068</v>
      </c>
      <c r="L155" s="267" t="str">
        <f t="shared" si="105"/>
        <v>Metro Rail pkm</v>
      </c>
      <c r="M155" s="250">
        <f>M139*M$129</f>
        <v>11.767789562135125</v>
      </c>
      <c r="N155" s="250">
        <f>N139*N$129</f>
        <v>9.9332548636701663</v>
      </c>
      <c r="O155" s="250">
        <f>O139*O$129</f>
        <v>9.4199302371323217</v>
      </c>
      <c r="P155" s="250">
        <f>P139*P$129</f>
        <v>8.0432267815795573</v>
      </c>
      <c r="Q155" s="250">
        <f>Q139*Q$129</f>
        <v>6.4002667774558697</v>
      </c>
      <c r="R155" s="250"/>
      <c r="S155" s="250">
        <f>S139*S$129</f>
        <v>11.767789562135125</v>
      </c>
      <c r="T155" s="250">
        <f>T167</f>
        <v>9.9332548636701663</v>
      </c>
      <c r="U155" s="250">
        <f t="shared" ref="U155:W155" si="117">U167</f>
        <v>10.363236989547131</v>
      </c>
      <c r="V155" s="250">
        <f t="shared" si="117"/>
        <v>10.768638360220741</v>
      </c>
      <c r="W155" s="250">
        <f t="shared" si="117"/>
        <v>11.775977207543068</v>
      </c>
      <c r="X155" s="250"/>
      <c r="Y155" s="250"/>
      <c r="Z155" s="250"/>
      <c r="AB155" s="250"/>
      <c r="AC155" s="250"/>
      <c r="AD155" s="250"/>
      <c r="AE155" s="250"/>
      <c r="AF155" s="250"/>
      <c r="AG155" s="250"/>
      <c r="AH155" s="250"/>
      <c r="AI155" s="250"/>
      <c r="AJ155" s="250"/>
      <c r="AK155" s="250"/>
      <c r="AL155" s="250"/>
      <c r="AM155" s="250"/>
      <c r="AN155" s="250"/>
      <c r="AO155" s="250"/>
      <c r="AP155" s="250"/>
    </row>
    <row r="156" spans="1:42">
      <c r="A156" s="199" t="s">
        <v>16</v>
      </c>
      <c r="B156" s="199" t="s">
        <v>133</v>
      </c>
      <c r="C156" s="199" t="s">
        <v>91</v>
      </c>
      <c r="D156" s="199" t="s">
        <v>86</v>
      </c>
      <c r="E156" s="52">
        <f t="shared" ref="E156:H156" si="118">E128</f>
        <v>0.53452578037785492</v>
      </c>
      <c r="F156" s="52">
        <f t="shared" si="118"/>
        <v>0.58840536503250629</v>
      </c>
      <c r="G156" s="52">
        <f t="shared" si="118"/>
        <v>0.62462624083765128</v>
      </c>
      <c r="H156" s="52">
        <f t="shared" si="118"/>
        <v>0.62821600822404911</v>
      </c>
      <c r="I156" s="52">
        <f t="shared" si="102"/>
        <v>1.0060619451137058</v>
      </c>
      <c r="J156" s="52">
        <f t="shared" si="103"/>
        <v>1.4766790125020326</v>
      </c>
      <c r="K156" s="52">
        <f t="shared" si="104"/>
        <v>1.9789641389984713</v>
      </c>
      <c r="L156" s="267" t="str">
        <f t="shared" si="105"/>
        <v>Gautrain pkm</v>
      </c>
      <c r="M156" s="250">
        <f>M128</f>
        <v>0.53452578037785492</v>
      </c>
      <c r="N156" s="250">
        <f>N128</f>
        <v>0.62821600822404911</v>
      </c>
      <c r="O156" s="250">
        <f>O128</f>
        <v>0.91448582588275806</v>
      </c>
      <c r="P156" s="250">
        <f>P128</f>
        <v>1.2120963462165066</v>
      </c>
      <c r="Q156" s="250">
        <f>Q128</f>
        <v>1.4570907419974535</v>
      </c>
      <c r="R156" s="250"/>
      <c r="S156" s="250">
        <f>S128</f>
        <v>0.53452578037785492</v>
      </c>
      <c r="T156" s="250">
        <f>T168</f>
        <v>0.62821600822404911</v>
      </c>
      <c r="U156" s="250">
        <f t="shared" ref="U156:W156" si="119">U168</f>
        <v>1.0060619451137058</v>
      </c>
      <c r="V156" s="250">
        <f t="shared" si="119"/>
        <v>1.4766790125020326</v>
      </c>
      <c r="W156" s="250">
        <f t="shared" si="119"/>
        <v>1.9789641389984713</v>
      </c>
      <c r="X156" s="250"/>
      <c r="Y156" s="250"/>
      <c r="Z156" s="250"/>
      <c r="AB156" s="250"/>
      <c r="AC156" s="250"/>
      <c r="AD156" s="250"/>
      <c r="AE156" s="250"/>
      <c r="AF156" s="250"/>
      <c r="AG156" s="250"/>
      <c r="AH156" s="250"/>
      <c r="AI156" s="250"/>
      <c r="AJ156" s="250"/>
      <c r="AK156" s="250"/>
      <c r="AL156" s="250"/>
      <c r="AM156" s="250"/>
      <c r="AN156" s="250"/>
      <c r="AO156" s="250"/>
      <c r="AP156" s="250"/>
    </row>
    <row r="157" spans="1:42">
      <c r="A157" s="199" t="s">
        <v>16</v>
      </c>
      <c r="AA157" s="199" t="s">
        <v>630</v>
      </c>
    </row>
    <row r="158" spans="1:42">
      <c r="A158" s="199" t="s">
        <v>16</v>
      </c>
      <c r="S158" s="293"/>
      <c r="T158" s="293"/>
      <c r="U158" s="293"/>
      <c r="V158" s="293"/>
      <c r="AA158" s="199" t="s">
        <v>620</v>
      </c>
      <c r="AE158" s="199" t="s">
        <v>625</v>
      </c>
      <c r="AI158" s="199" t="s">
        <v>626</v>
      </c>
    </row>
    <row r="159" spans="1:42" ht="15.75" thickBot="1">
      <c r="A159" s="199" t="s">
        <v>16</v>
      </c>
      <c r="E159" s="266"/>
      <c r="M159" s="199" t="s">
        <v>41</v>
      </c>
      <c r="O159" s="10"/>
      <c r="S159" s="199" t="s">
        <v>197</v>
      </c>
      <c r="U159" s="10"/>
      <c r="AA159" s="270">
        <v>1</v>
      </c>
      <c r="AB159" s="270">
        <v>1</v>
      </c>
      <c r="AC159" s="270">
        <v>1</v>
      </c>
      <c r="AD159" s="270"/>
      <c r="AE159" s="270">
        <v>2</v>
      </c>
      <c r="AF159" s="270">
        <v>2</v>
      </c>
      <c r="AG159" s="270">
        <v>2</v>
      </c>
      <c r="AI159" s="270">
        <v>3</v>
      </c>
      <c r="AJ159" s="270">
        <v>3</v>
      </c>
      <c r="AK159" s="270">
        <v>3</v>
      </c>
    </row>
    <row r="160" spans="1:42" ht="15.75" thickBot="1">
      <c r="A160" s="199" t="s">
        <v>16</v>
      </c>
      <c r="C160" s="244" t="s">
        <v>141</v>
      </c>
      <c r="D160" s="244"/>
      <c r="E160" s="7">
        <v>2012</v>
      </c>
      <c r="F160" s="7">
        <f>F4</f>
        <v>2015</v>
      </c>
      <c r="G160" s="7">
        <f>G4</f>
        <v>2017</v>
      </c>
      <c r="H160" s="7">
        <v>2020</v>
      </c>
      <c r="I160" s="7">
        <v>2030</v>
      </c>
      <c r="J160" s="7">
        <v>2040</v>
      </c>
      <c r="K160" s="7">
        <v>2050</v>
      </c>
      <c r="L160" s="199"/>
      <c r="M160" s="199">
        <f>F160</f>
        <v>2015</v>
      </c>
      <c r="N160" s="199">
        <f>H160</f>
        <v>2020</v>
      </c>
      <c r="O160" s="199">
        <f>I160</f>
        <v>2030</v>
      </c>
      <c r="P160" s="199">
        <v>2040</v>
      </c>
      <c r="Q160" s="199">
        <f>K160</f>
        <v>2050</v>
      </c>
      <c r="S160" s="199">
        <f>M160</f>
        <v>2015</v>
      </c>
      <c r="T160" s="199">
        <f>N160</f>
        <v>2020</v>
      </c>
      <c r="U160" s="199">
        <f>O160</f>
        <v>2030</v>
      </c>
      <c r="V160" s="199">
        <v>2040</v>
      </c>
      <c r="W160" s="199">
        <f>Q160</f>
        <v>2050</v>
      </c>
      <c r="AA160" s="270">
        <v>2030</v>
      </c>
      <c r="AB160" s="270">
        <v>2040</v>
      </c>
      <c r="AC160" s="270">
        <v>2050</v>
      </c>
      <c r="AD160" s="270"/>
      <c r="AE160" s="270">
        <v>2030</v>
      </c>
      <c r="AF160" s="270">
        <v>2040</v>
      </c>
      <c r="AG160" s="270">
        <v>2050</v>
      </c>
      <c r="AI160" s="270">
        <v>2030</v>
      </c>
      <c r="AJ160" s="270">
        <v>2040</v>
      </c>
      <c r="AK160" s="270">
        <v>2050</v>
      </c>
    </row>
    <row r="161" spans="1:38">
      <c r="A161" s="199" t="s">
        <v>16</v>
      </c>
      <c r="B161" s="199" t="s">
        <v>128</v>
      </c>
      <c r="C161" s="199" t="s">
        <v>100</v>
      </c>
      <c r="D161" s="199" t="s">
        <v>86</v>
      </c>
      <c r="E161" s="52">
        <f t="shared" ref="E161:Q163" si="120">SUMPRODUCT(E$35:E$38,E$41:E$44,E$54:E$57)*E132</f>
        <v>113.41321320157822</v>
      </c>
      <c r="F161" s="52">
        <f>SUMPRODUCT(F$35:F$38,F$41:F$44,F$54:F$57)*F132</f>
        <v>113.63476701081551</v>
      </c>
      <c r="G161" s="52">
        <f>SUMPRODUCT(G$35:G$38,G$41:G$44,G$54:G$57)*G132</f>
        <v>131.32467833366348</v>
      </c>
      <c r="H161" s="52">
        <f t="shared" si="120"/>
        <v>132.60076847461482</v>
      </c>
      <c r="I161" s="52">
        <f>IF($D$4,U161,O161)</f>
        <v>190.60329693347444</v>
      </c>
      <c r="J161" s="52">
        <f t="shared" ref="J161:K161" si="121">IF($D$4,V161,P161)</f>
        <v>255.67889629366303</v>
      </c>
      <c r="K161" s="52">
        <f t="shared" si="121"/>
        <v>310.34538226034562</v>
      </c>
      <c r="L161" s="199" t="str">
        <f t="shared" ref="L161:L168" si="122">C161</f>
        <v>Car</v>
      </c>
      <c r="M161" s="10">
        <f t="shared" si="120"/>
        <v>114.80427633957291</v>
      </c>
      <c r="N161" s="10">
        <f>SUMPRODUCT(N$35:N$38,N$41:N$44,N$54:N$57)*N132</f>
        <v>132.67624916402971</v>
      </c>
      <c r="O161" s="10">
        <f t="shared" si="120"/>
        <v>204.21781814300834</v>
      </c>
      <c r="P161" s="10">
        <f t="shared" si="120"/>
        <v>295.01411110807271</v>
      </c>
      <c r="Q161" s="10">
        <f t="shared" si="120"/>
        <v>387.93172782543201</v>
      </c>
      <c r="S161" s="10">
        <f t="shared" ref="S161:S163" si="123">SUMPRODUCT(S$35:S$38,S$41:S$44,S$54:S$57)*S132</f>
        <v>114.80427633957291</v>
      </c>
      <c r="T161" s="10">
        <f>N161</f>
        <v>132.67624916402971</v>
      </c>
      <c r="U161" s="10" cm="1">
        <f t="array" ref="U161">O161*INDEX($AA$161:$AK$168,MATCH($C161,$C$161:$C$168,0),MATCH(U$160&amp;$D$3,$AA$160:$AK$160&amp;$AA$159:$AK$159,0))</f>
        <v>190.60329693347444</v>
      </c>
      <c r="V161" s="10">
        <f t="array" ref="V161">P161*INDEX($AA$161:$AK$168,MATCH($C161,$C$161:$C$168,0),MATCH(V$160&amp;$D$3,$AA$160:$AK$160&amp;$AA$159:$AK$159,0))</f>
        <v>255.67889629366303</v>
      </c>
      <c r="W161" s="10" cm="1">
        <f t="array" ref="W161">Q161*INDEX($AA$161:$AK$168,MATCH($C161,$C$161:$C$168,0),MATCH(W$160&amp;$D$3,$AA$160:$AK$160&amp;$AA$159:$AK$159,0))</f>
        <v>310.34538226034562</v>
      </c>
      <c r="AA161" s="250">
        <v>0.8</v>
      </c>
      <c r="AB161" s="250">
        <f>AVERAGE(AA161,AC161)</f>
        <v>0.8</v>
      </c>
      <c r="AC161" s="250">
        <v>0.8</v>
      </c>
      <c r="AD161" s="266"/>
      <c r="AE161" s="250">
        <f>AVERAGE(1,1,AG161)</f>
        <v>0.93333333333333324</v>
      </c>
      <c r="AF161" s="250">
        <f>AVERAGE(AE161,AG161)</f>
        <v>0.8666666666666667</v>
      </c>
      <c r="AG161" s="250">
        <v>0.8</v>
      </c>
      <c r="AI161" s="250">
        <v>0.8</v>
      </c>
      <c r="AJ161" s="250">
        <f>AVERAGE(AK161,AI161)</f>
        <v>0.75</v>
      </c>
      <c r="AK161" s="250">
        <v>0.7</v>
      </c>
    </row>
    <row r="162" spans="1:38">
      <c r="A162" s="199" t="s">
        <v>16</v>
      </c>
      <c r="B162" s="199" t="s">
        <v>127</v>
      </c>
      <c r="C162" s="199" t="s">
        <v>99</v>
      </c>
      <c r="D162" s="199" t="s">
        <v>86</v>
      </c>
      <c r="E162" s="52">
        <f t="shared" si="120"/>
        <v>13.022272061897711</v>
      </c>
      <c r="F162" s="52">
        <f t="shared" si="120"/>
        <v>13.047711196358261</v>
      </c>
      <c r="G162" s="52">
        <f t="shared" si="120"/>
        <v>15.078892850541084</v>
      </c>
      <c r="H162" s="52">
        <f t="shared" si="120"/>
        <v>15.154373539955982</v>
      </c>
      <c r="I162" s="52">
        <f t="shared" ref="I162:I168" si="124">IF($D$4,U162,O162)</f>
        <v>21.662405362895427</v>
      </c>
      <c r="J162" s="52">
        <f t="shared" ref="J162:J168" si="125">IF($D$4,V162,P162)</f>
        <v>29.058363540186576</v>
      </c>
      <c r="K162" s="52">
        <f t="shared" ref="K162:K168" si="126">IF($D$4,W162,Q162)</f>
        <v>35.271307376035502</v>
      </c>
      <c r="L162" s="199" t="str">
        <f t="shared" si="122"/>
        <v>SUV</v>
      </c>
      <c r="M162" s="10">
        <f t="shared" si="120"/>
        <v>13.047711196358261</v>
      </c>
      <c r="N162" s="10">
        <f t="shared" si="120"/>
        <v>15.078892850541084</v>
      </c>
      <c r="O162" s="10">
        <f t="shared" si="120"/>
        <v>23.209720031673672</v>
      </c>
      <c r="P162" s="10">
        <f t="shared" si="120"/>
        <v>33.528881007907586</v>
      </c>
      <c r="Q162" s="10">
        <f t="shared" si="120"/>
        <v>44.089134220044372</v>
      </c>
      <c r="S162" s="10">
        <f t="shared" si="123"/>
        <v>13.047711196358261</v>
      </c>
      <c r="T162" s="10">
        <f t="shared" ref="T162:T168" si="127">N162</f>
        <v>15.078892850541084</v>
      </c>
      <c r="U162" s="10">
        <f t="array" ref="U162">O162*INDEX($AA$161:$AK$168,MATCH($C162,$C$161:$C$168,0),MATCH(U$160&amp;$D$3,$AA$160:$AK$160&amp;$AA$159:$AK$159,0))</f>
        <v>21.662405362895427</v>
      </c>
      <c r="V162" s="10">
        <f t="array" ref="V162">P162*INDEX($AA$161:$AK$168,MATCH($C162,$C$161:$C$168,0),MATCH(V$160&amp;$D$3,$AA$160:$AK$160&amp;$AA$159:$AK$159,0))</f>
        <v>29.058363540186576</v>
      </c>
      <c r="W162" s="10">
        <f t="array" ref="W162">Q162*INDEX($AA$161:$AK$168,MATCH($C162,$C$161:$C$168,0),MATCH(W$160&amp;$D$3,$AA$160:$AK$160&amp;$AA$159:$AK$159,0))</f>
        <v>35.271307376035502</v>
      </c>
      <c r="AA162" s="250">
        <f>AA161</f>
        <v>0.8</v>
      </c>
      <c r="AB162" s="250">
        <f t="shared" ref="AB162:AC162" si="128">AB161</f>
        <v>0.8</v>
      </c>
      <c r="AC162" s="250">
        <f t="shared" si="128"/>
        <v>0.8</v>
      </c>
      <c r="AD162" s="266"/>
      <c r="AE162" s="250">
        <f>AE161</f>
        <v>0.93333333333333324</v>
      </c>
      <c r="AF162" s="250">
        <f t="shared" ref="AF162:AG162" si="129">AF161</f>
        <v>0.8666666666666667</v>
      </c>
      <c r="AG162" s="250">
        <f t="shared" si="129"/>
        <v>0.8</v>
      </c>
      <c r="AI162" s="250">
        <f>AI161</f>
        <v>0.8</v>
      </c>
      <c r="AJ162" s="250">
        <f t="shared" ref="AJ162:AK162" si="130">AJ161</f>
        <v>0.75</v>
      </c>
      <c r="AK162" s="250">
        <f t="shared" si="130"/>
        <v>0.7</v>
      </c>
    </row>
    <row r="163" spans="1:38">
      <c r="A163" s="199" t="s">
        <v>16</v>
      </c>
      <c r="B163" s="199" t="s">
        <v>183</v>
      </c>
      <c r="C163" s="199" t="s">
        <v>212</v>
      </c>
      <c r="D163" s="199" t="s">
        <v>86</v>
      </c>
      <c r="E163" s="52">
        <f t="shared" si="120"/>
        <v>4.4390936071135423</v>
      </c>
      <c r="F163" s="52">
        <f t="shared" si="120"/>
        <v>3.2782560906649021</v>
      </c>
      <c r="G163" s="52">
        <f t="shared" si="120"/>
        <v>3.7885933849889954</v>
      </c>
      <c r="H163" s="52">
        <f t="shared" si="120"/>
        <v>3.7885933849889954</v>
      </c>
      <c r="I163" s="52">
        <f t="shared" si="124"/>
        <v>5.8314753378123605</v>
      </c>
      <c r="J163" s="52">
        <f t="shared" si="125"/>
        <v>8.4241792850251365</v>
      </c>
      <c r="K163" s="52">
        <f t="shared" si="126"/>
        <v>11.077458001166061</v>
      </c>
      <c r="L163" s="199" t="str">
        <f t="shared" si="122"/>
        <v>Motorbike</v>
      </c>
      <c r="M163" s="10">
        <f t="shared" si="120"/>
        <v>3.2782560906649021</v>
      </c>
      <c r="N163" s="10">
        <f t="shared" si="120"/>
        <v>3.7885933849889954</v>
      </c>
      <c r="O163" s="10">
        <f t="shared" si="120"/>
        <v>5.8314753378123605</v>
      </c>
      <c r="P163" s="10">
        <f t="shared" si="120"/>
        <v>8.4241792850251365</v>
      </c>
      <c r="Q163" s="10">
        <f t="shared" si="120"/>
        <v>11.077458001166061</v>
      </c>
      <c r="S163" s="10">
        <f t="shared" si="123"/>
        <v>3.2782560906649021</v>
      </c>
      <c r="T163" s="10">
        <f t="shared" si="127"/>
        <v>3.7885933849889954</v>
      </c>
      <c r="U163" s="10">
        <f t="array" ref="U163">O163*INDEX($AA$161:$AK$168,MATCH($C163,$C$161:$C$168,0),MATCH(U$160&amp;$D$3,$AA$160:$AK$160&amp;$AA$159:$AK$159,0))</f>
        <v>5.8314753378123605</v>
      </c>
      <c r="V163" s="10">
        <f t="array" ref="V163">P163*INDEX($AA$161:$AK$168,MATCH($C163,$C$161:$C$168,0),MATCH(V$160&amp;$D$3,$AA$160:$AK$160&amp;$AA$159:$AK$159,0))</f>
        <v>8.4241792850251365</v>
      </c>
      <c r="W163" s="10">
        <f t="array" ref="W163">Q163*INDEX($AA$161:$AK$168,MATCH($C163,$C$161:$C$168,0),MATCH(W$160&amp;$D$3,$AA$160:$AK$160&amp;$AA$159:$AK$159,0))</f>
        <v>11.077458001166061</v>
      </c>
      <c r="AA163" s="266">
        <v>1</v>
      </c>
      <c r="AB163" s="266">
        <v>1</v>
      </c>
      <c r="AC163" s="266">
        <v>1</v>
      </c>
      <c r="AD163" s="266"/>
      <c r="AE163" s="266">
        <v>1</v>
      </c>
      <c r="AF163" s="266">
        <v>1</v>
      </c>
      <c r="AG163" s="266">
        <v>1</v>
      </c>
      <c r="AH163" s="266"/>
      <c r="AI163" s="266">
        <v>1</v>
      </c>
      <c r="AJ163" s="266">
        <v>1</v>
      </c>
      <c r="AK163" s="266">
        <v>1</v>
      </c>
    </row>
    <row r="164" spans="1:38">
      <c r="A164" s="199" t="s">
        <v>16</v>
      </c>
      <c r="B164" s="199" t="s">
        <v>129</v>
      </c>
      <c r="C164" s="199" t="s">
        <v>62</v>
      </c>
      <c r="D164" s="199" t="s">
        <v>86</v>
      </c>
      <c r="E164" s="53">
        <f t="shared" ref="E164:S166" si="131">E152*E142</f>
        <v>15.449787242939724</v>
      </c>
      <c r="F164" s="53">
        <f t="shared" si="131"/>
        <v>16.25</v>
      </c>
      <c r="G164" s="53">
        <f t="shared" si="131"/>
        <v>16.788607407243475</v>
      </c>
      <c r="H164" s="53">
        <f t="shared" si="131"/>
        <v>32.271582848062373</v>
      </c>
      <c r="I164" s="52">
        <f t="shared" si="124"/>
        <v>22.228392383376473</v>
      </c>
      <c r="J164" s="52">
        <f t="shared" si="125"/>
        <v>23.09794894656045</v>
      </c>
      <c r="K164" s="52">
        <f t="shared" si="126"/>
        <v>25.258617778498191</v>
      </c>
      <c r="L164" s="199" t="str">
        <f t="shared" si="122"/>
        <v>Bus</v>
      </c>
      <c r="M164" s="10">
        <f t="shared" si="131"/>
        <v>26.664400733092684</v>
      </c>
      <c r="N164" s="10">
        <f t="shared" si="131"/>
        <v>21.306111881495443</v>
      </c>
      <c r="O164" s="10">
        <f t="shared" si="131"/>
        <v>20.205067755008475</v>
      </c>
      <c r="P164" s="10">
        <f t="shared" si="131"/>
        <v>17.252138603967758</v>
      </c>
      <c r="Q164" s="10">
        <f t="shared" si="131"/>
        <v>13.728108450195208</v>
      </c>
      <c r="S164" s="10">
        <f t="shared" si="131"/>
        <v>26.664400733092684</v>
      </c>
      <c r="T164" s="10">
        <f t="shared" si="127"/>
        <v>21.306111881495443</v>
      </c>
      <c r="U164" s="10">
        <f t="array" ref="U164">O164+INDEX($AA$161:$AK$168,MATCH($C164,$C$161:$C$168,0),MATCH(U$160&amp;$D$3,$AA$160:$AK$160&amp;$AA$159:$AK$159,0))</f>
        <v>22.228392383376473</v>
      </c>
      <c r="V164" s="10">
        <f t="array" ref="V164">P164+INDEX($AA$161:$AK$168,MATCH($C164,$C$161:$C$168,0),MATCH(V$160&amp;$D$3,$AA$160:$AK$160&amp;$AA$159:$AK$159,0))</f>
        <v>23.09794894656045</v>
      </c>
      <c r="W164" s="10">
        <f t="array" ref="W164">Q164+INDEX($AA$161:$AK$168,MATCH($C164,$C$161:$C$168,0),MATCH(W$160&amp;$D$3,$AA$160:$AK$160&amp;$AA$159:$AK$159,0))</f>
        <v>25.258617778498191</v>
      </c>
      <c r="AA164" s="10">
        <f t="shared" ref="AA164:AC168" si="132">SUM(O$161:O$162)*(1-AA$161) *AA175</f>
        <v>6.0699738851039866</v>
      </c>
      <c r="AB164" s="10">
        <f t="shared" si="132"/>
        <v>8.7687155138890365</v>
      </c>
      <c r="AC164" s="10">
        <f t="shared" si="132"/>
        <v>11.530509328302985</v>
      </c>
      <c r="AD164" s="10"/>
      <c r="AE164" s="10">
        <f>SUM(O$161:O$162)*(1-AE$161) *AE175</f>
        <v>2.0233246283679991</v>
      </c>
      <c r="AF164" s="10">
        <f t="shared" ref="AF164:AG164" si="133">SUM(P$161:P$162)*(1-AF$161) *AF175</f>
        <v>5.8458103425926913</v>
      </c>
      <c r="AG164" s="10">
        <f t="shared" si="133"/>
        <v>11.530509328302985</v>
      </c>
      <c r="AH164" s="10"/>
      <c r="AI164" s="10">
        <f>SUM(O$161:O$162)*(1-AI$161) *AI175</f>
        <v>6.0699738851039866</v>
      </c>
      <c r="AJ164" s="10">
        <f t="shared" ref="AJ164:AK164" si="134">SUM(P$161:P$162)*(1-AJ$161) *AJ175</f>
        <v>10.960894392361299</v>
      </c>
      <c r="AK164" s="10">
        <f t="shared" si="134"/>
        <v>17.295763992454486</v>
      </c>
    </row>
    <row r="165" spans="1:38">
      <c r="A165" s="199" t="s">
        <v>16</v>
      </c>
      <c r="B165" s="199" t="s">
        <v>130</v>
      </c>
      <c r="C165" s="199" t="s">
        <v>61</v>
      </c>
      <c r="D165" s="199" t="s">
        <v>86</v>
      </c>
      <c r="E165" s="53">
        <f t="shared" si="131"/>
        <v>82.92063206459666</v>
      </c>
      <c r="F165" s="53">
        <f t="shared" si="131"/>
        <v>96.600000000000009</v>
      </c>
      <c r="G165" s="53">
        <f>G153*G143</f>
        <v>99.995742000000007</v>
      </c>
      <c r="H165" s="53">
        <f t="shared" si="131"/>
        <v>101.75537770377723</v>
      </c>
      <c r="I165" s="52">
        <f t="shared" si="124"/>
        <v>117.6002110552958</v>
      </c>
      <c r="J165" s="52">
        <f t="shared" si="125"/>
        <v>122.20063530511372</v>
      </c>
      <c r="K165" s="52">
        <f t="shared" si="126"/>
        <v>133.63174135516275</v>
      </c>
      <c r="L165" s="199" t="str">
        <f t="shared" si="122"/>
        <v>Minibus</v>
      </c>
      <c r="M165" s="10">
        <f t="shared" si="131"/>
        <v>92.659568227346014</v>
      </c>
      <c r="N165" s="10">
        <f t="shared" si="131"/>
        <v>112.72084867034415</v>
      </c>
      <c r="O165" s="10">
        <f t="shared" si="131"/>
        <v>106.89573008224077</v>
      </c>
      <c r="P165" s="10">
        <f t="shared" si="131"/>
        <v>91.273138695315907</v>
      </c>
      <c r="Q165" s="10">
        <f t="shared" si="131"/>
        <v>72.629114300694923</v>
      </c>
      <c r="S165" s="10">
        <f t="shared" si="131"/>
        <v>92.659568227346014</v>
      </c>
      <c r="T165" s="10">
        <f t="shared" si="127"/>
        <v>112.72084867034415</v>
      </c>
      <c r="U165" s="10">
        <f t="array" ref="U165">O165+INDEX($AA$161:$AK$168,MATCH($C165,$C$161:$C$168,0),MATCH(U$160&amp;$D$3,$AA$160:$AK$160&amp;$AA$159:$AK$159,0))</f>
        <v>117.6002110552958</v>
      </c>
      <c r="V165" s="10">
        <f t="array" ref="V165">P165+INDEX($AA$161:$AK$168,MATCH($C165,$C$161:$C$168,0),MATCH(V$160&amp;$D$3,$AA$160:$AK$160&amp;$AA$159:$AK$159,0))</f>
        <v>122.20063530511372</v>
      </c>
      <c r="W165" s="10" cm="1">
        <f t="array" ref="W165">Q165+INDEX($AA$161:$AK$168,MATCH($C165,$C$161:$C$168,0),MATCH(W$160&amp;$D$3,$AA$160:$AK$160&amp;$AA$159:$AK$159,0))</f>
        <v>133.63174135516275</v>
      </c>
      <c r="AA165" s="10">
        <f t="shared" si="132"/>
        <v>32.11344291916501</v>
      </c>
      <c r="AB165" s="10">
        <f t="shared" si="132"/>
        <v>46.391244914696728</v>
      </c>
      <c r="AC165" s="10">
        <f t="shared" si="132"/>
        <v>61.002627054467823</v>
      </c>
      <c r="AD165" s="10"/>
      <c r="AE165" s="10">
        <f>SUM(O$161:O$162)*(1-AE$161) *AE176</f>
        <v>10.704480973055022</v>
      </c>
      <c r="AF165" s="10">
        <f t="shared" ref="AF165:AG165" si="135">SUM(P$161:P$162)*(1-AF$161) *AF176</f>
        <v>30.927496609797817</v>
      </c>
      <c r="AG165" s="10">
        <f t="shared" si="135"/>
        <v>61.002627054467823</v>
      </c>
      <c r="AH165" s="10"/>
      <c r="AI165" s="10">
        <f>SUM(O$161:O$162)*(1-AI$161) *AI176</f>
        <v>32.11344291916501</v>
      </c>
      <c r="AJ165" s="10">
        <f t="shared" ref="AJ165:AK168" si="136">SUM(P$161:P$162)*(1-AJ$161) *AJ176</f>
        <v>57.989056143370924</v>
      </c>
      <c r="AK165" s="10">
        <f t="shared" si="136"/>
        <v>91.503940581701769</v>
      </c>
    </row>
    <row r="166" spans="1:38">
      <c r="A166" s="199" t="s">
        <v>16</v>
      </c>
      <c r="B166" s="199" t="s">
        <v>131</v>
      </c>
      <c r="C166" s="199" t="s">
        <v>63</v>
      </c>
      <c r="D166" s="199" t="s">
        <v>86</v>
      </c>
      <c r="E166" s="53">
        <f t="shared" si="131"/>
        <v>0.53125275171718644</v>
      </c>
      <c r="F166" s="53">
        <f t="shared" si="131"/>
        <v>0.56948090947364061</v>
      </c>
      <c r="G166" s="53">
        <f t="shared" si="131"/>
        <v>0.59714679705480178</v>
      </c>
      <c r="H166" s="53">
        <f t="shared" si="131"/>
        <v>5.6807345999249996</v>
      </c>
      <c r="I166" s="52">
        <f t="shared" si="124"/>
        <v>15.371135748502482</v>
      </c>
      <c r="J166" s="52">
        <f t="shared" si="125"/>
        <v>29.809934506478413</v>
      </c>
      <c r="K166" s="52">
        <f t="shared" si="126"/>
        <v>44.243913424331112</v>
      </c>
      <c r="L166" s="199" t="str">
        <f t="shared" si="122"/>
        <v>BRT</v>
      </c>
      <c r="M166" s="10">
        <f t="shared" si="131"/>
        <v>0.53125275171718644</v>
      </c>
      <c r="N166" s="10">
        <f t="shared" si="131"/>
        <v>5.6807345999249996</v>
      </c>
      <c r="O166" s="10">
        <f t="shared" si="131"/>
        <v>13.971988343259104</v>
      </c>
      <c r="P166" s="10">
        <f t="shared" si="131"/>
        <v>25.767503421664941</v>
      </c>
      <c r="Q166" s="10">
        <f t="shared" si="131"/>
        <v>36.270461225094863</v>
      </c>
      <c r="S166" s="10">
        <f t="shared" si="131"/>
        <v>0.53125275171718644</v>
      </c>
      <c r="T166" s="10">
        <f t="shared" si="127"/>
        <v>5.6807345999249996</v>
      </c>
      <c r="U166" s="10">
        <f t="array" ref="U166">O166+INDEX($AA$161:$AK$168,MATCH($C166,$C$161:$C$168,0),MATCH(U$160&amp;$D$3,$AA$160:$AK$160&amp;$AA$159:$AK$159,0))</f>
        <v>15.371135748502482</v>
      </c>
      <c r="V166" s="10">
        <f t="array" ref="V166">P166+INDEX($AA$161:$AK$168,MATCH($C166,$C$161:$C$168,0),MATCH(V$160&amp;$D$3,$AA$160:$AK$160&amp;$AA$159:$AK$159,0))</f>
        <v>29.809934506478413</v>
      </c>
      <c r="W166" s="10">
        <f t="array" ref="W166">Q166+INDEX($AA$161:$AK$168,MATCH($C166,$C$161:$C$168,0),MATCH(W$160&amp;$D$3,$AA$160:$AK$160&amp;$AA$159:$AK$159,0))</f>
        <v>44.243913424331112</v>
      </c>
      <c r="AA166" s="10">
        <f t="shared" si="132"/>
        <v>4.1974422157301259</v>
      </c>
      <c r="AB166" s="10">
        <f t="shared" si="132"/>
        <v>6.0636466272202068</v>
      </c>
      <c r="AC166" s="10">
        <f t="shared" si="132"/>
        <v>7.9734521992362462</v>
      </c>
      <c r="AD166" s="10"/>
      <c r="AE166" s="10">
        <f t="shared" ref="AE166:AE168" si="137">SUM(O$161:O$162)*(1-AE$161) *AE177</f>
        <v>1.3991474052433774</v>
      </c>
      <c r="AF166" s="10">
        <f t="shared" ref="AF166:AF168" si="138">SUM(P$161:P$162)*(1-AF$161) *AF177</f>
        <v>4.0424310848134715</v>
      </c>
      <c r="AG166" s="10">
        <f t="shared" ref="AG166:AG168" si="139">SUM(Q$161:Q$162)*(1-AG$161) *AG177</f>
        <v>7.9734521992362462</v>
      </c>
      <c r="AH166" s="10"/>
      <c r="AI166" s="10">
        <f t="shared" ref="AI166:AI168" si="140">SUM(O$161:O$162)*(1-AI$161) *AI177</f>
        <v>4.1974422157301259</v>
      </c>
      <c r="AJ166" s="10">
        <f t="shared" si="136"/>
        <v>7.5795582840252607</v>
      </c>
      <c r="AK166" s="10">
        <f t="shared" si="136"/>
        <v>11.960178298854373</v>
      </c>
    </row>
    <row r="167" spans="1:38">
      <c r="A167" s="199" t="s">
        <v>16</v>
      </c>
      <c r="B167" s="199" t="s">
        <v>132</v>
      </c>
      <c r="C167" s="199" t="s">
        <v>85</v>
      </c>
      <c r="D167" s="199" t="str">
        <f>D166</f>
        <v>billion</v>
      </c>
      <c r="E167" s="52">
        <f t="shared" ref="E167:S168" si="141">E155</f>
        <v>14.401941649299841</v>
      </c>
      <c r="F167" s="52">
        <f t="shared" si="141"/>
        <v>12.148269090185179</v>
      </c>
      <c r="G167" s="52">
        <f t="shared" si="141"/>
        <v>9.7242655388973933</v>
      </c>
      <c r="H167" s="52">
        <f t="shared" si="141"/>
        <v>9.9332548636701663</v>
      </c>
      <c r="I167" s="52">
        <f t="shared" si="124"/>
        <v>10.363236989547131</v>
      </c>
      <c r="J167" s="52">
        <f t="shared" si="125"/>
        <v>10.768638360220741</v>
      </c>
      <c r="K167" s="52">
        <f t="shared" si="126"/>
        <v>11.775977207543068</v>
      </c>
      <c r="L167" s="199" t="str">
        <f t="shared" si="122"/>
        <v>Metro Rail</v>
      </c>
      <c r="M167" s="10">
        <f t="shared" si="141"/>
        <v>11.767789562135125</v>
      </c>
      <c r="N167" s="10">
        <f t="shared" si="141"/>
        <v>9.9332548636701663</v>
      </c>
      <c r="O167" s="10">
        <f t="shared" si="141"/>
        <v>9.4199302371323217</v>
      </c>
      <c r="P167" s="10">
        <f t="shared" si="141"/>
        <v>8.0432267815795573</v>
      </c>
      <c r="Q167" s="10">
        <f t="shared" si="141"/>
        <v>6.4002667774558697</v>
      </c>
      <c r="S167" s="10">
        <f t="shared" si="141"/>
        <v>11.767789562135125</v>
      </c>
      <c r="T167" s="10">
        <f t="shared" si="127"/>
        <v>9.9332548636701663</v>
      </c>
      <c r="U167" s="10">
        <f t="array" ref="U167">O167+INDEX($AA$161:$AK$168,MATCH($C167,$C$161:$C$168,0),MATCH(U$160&amp;$D$3,$AA$160:$AK$160&amp;$AA$159:$AK$159,0))</f>
        <v>10.363236989547131</v>
      </c>
      <c r="V167" s="10">
        <f t="array" ref="V167">P167+INDEX($AA$161:$AK$168,MATCH($C167,$C$161:$C$168,0),MATCH(V$160&amp;$D$3,$AA$160:$AK$160&amp;$AA$159:$AK$159,0))</f>
        <v>10.768638360220741</v>
      </c>
      <c r="W167" s="10">
        <f t="array" ref="W167">Q167+INDEX($AA$161:$AK$168,MATCH($C167,$C$161:$C$168,0),MATCH(W$160&amp;$D$3,$AA$160:$AK$160&amp;$AA$159:$AK$159,0))</f>
        <v>11.775977207543068</v>
      </c>
      <c r="AA167" s="10">
        <f t="shared" si="132"/>
        <v>2.829920257244424</v>
      </c>
      <c r="AB167" s="10">
        <f t="shared" si="132"/>
        <v>4.088117367961777</v>
      </c>
      <c r="AC167" s="10">
        <f t="shared" si="132"/>
        <v>5.3757104300871985</v>
      </c>
      <c r="AD167" s="10"/>
      <c r="AE167" s="10">
        <f t="shared" si="137"/>
        <v>0.94330675241480955</v>
      </c>
      <c r="AF167" s="10">
        <f t="shared" si="138"/>
        <v>2.725411578641185</v>
      </c>
      <c r="AG167" s="10">
        <f t="shared" si="139"/>
        <v>5.3757104300871985</v>
      </c>
      <c r="AH167" s="10"/>
      <c r="AI167" s="10">
        <f t="shared" si="140"/>
        <v>2.829920257244424</v>
      </c>
      <c r="AJ167" s="10">
        <f t="shared" si="136"/>
        <v>5.1101467099522226</v>
      </c>
      <c r="AK167" s="10">
        <f t="shared" si="136"/>
        <v>8.0635656451308009</v>
      </c>
    </row>
    <row r="168" spans="1:38">
      <c r="A168" s="199" t="s">
        <v>16</v>
      </c>
      <c r="B168" s="199" t="s">
        <v>133</v>
      </c>
      <c r="C168" s="199" t="s">
        <v>82</v>
      </c>
      <c r="D168" s="199" t="s">
        <v>86</v>
      </c>
      <c r="E168" s="52">
        <f t="shared" si="141"/>
        <v>0.53452578037785492</v>
      </c>
      <c r="F168" s="52">
        <f t="shared" si="141"/>
        <v>0.58840536503250629</v>
      </c>
      <c r="G168" s="52">
        <f t="shared" si="141"/>
        <v>0.62462624083765128</v>
      </c>
      <c r="H168" s="52">
        <f t="shared" si="141"/>
        <v>0.62821600822404911</v>
      </c>
      <c r="I168" s="52">
        <f t="shared" si="124"/>
        <v>1.0060619451137058</v>
      </c>
      <c r="J168" s="52">
        <f t="shared" si="125"/>
        <v>1.4766790125020326</v>
      </c>
      <c r="K168" s="52">
        <f t="shared" si="126"/>
        <v>1.9789641389984713</v>
      </c>
      <c r="L168" s="199" t="str">
        <f t="shared" si="122"/>
        <v>Gautrain</v>
      </c>
      <c r="M168" s="10">
        <f t="shared" si="141"/>
        <v>0.53452578037785492</v>
      </c>
      <c r="N168" s="10">
        <f t="shared" si="141"/>
        <v>0.62821600822404911</v>
      </c>
      <c r="O168" s="10">
        <f t="shared" si="141"/>
        <v>0.91448582588275806</v>
      </c>
      <c r="P168" s="10">
        <f t="shared" si="141"/>
        <v>1.2120963462165066</v>
      </c>
      <c r="Q168" s="10">
        <f t="shared" si="141"/>
        <v>1.4570907419974535</v>
      </c>
      <c r="S168" s="10">
        <f t="shared" si="141"/>
        <v>0.53452578037785492</v>
      </c>
      <c r="T168" s="10">
        <f t="shared" si="127"/>
        <v>0.62821600822404911</v>
      </c>
      <c r="U168" s="10">
        <f t="array" ref="U168">O168+INDEX($AA$161:$AK$168,MATCH($C168,$C$161:$C$168,0),MATCH(U$160&amp;$D$3,$AA$160:$AK$160&amp;$AA$159:$AK$159,0))</f>
        <v>1.0060619451137058</v>
      </c>
      <c r="V168" s="10">
        <f t="array" ref="V168">P168+INDEX($AA$161:$AK$168,MATCH($C168,$C$161:$C$168,0),MATCH(V$160&amp;$D$3,$AA$160:$AK$160&amp;$AA$159:$AK$159,0))</f>
        <v>1.4766790125020326</v>
      </c>
      <c r="W168" s="10">
        <f t="array" ref="W168">Q168+INDEX($AA$161:$AK$168,MATCH($C168,$C$161:$C$168,0),MATCH(W$160&amp;$D$3,$AA$160:$AK$160&amp;$AA$159:$AK$159,0))</f>
        <v>1.9789641389984713</v>
      </c>
      <c r="AA168" s="10">
        <f t="shared" si="132"/>
        <v>0.27472835769284282</v>
      </c>
      <c r="AB168" s="10">
        <f t="shared" si="132"/>
        <v>0.39687399942828877</v>
      </c>
      <c r="AC168" s="10">
        <f t="shared" si="132"/>
        <v>0.52187339700101787</v>
      </c>
      <c r="AD168" s="10"/>
      <c r="AE168" s="10">
        <f t="shared" si="137"/>
        <v>9.1576119230947758E-2</v>
      </c>
      <c r="AF168" s="10">
        <f t="shared" si="138"/>
        <v>0.26458266628552585</v>
      </c>
      <c r="AG168" s="10">
        <f t="shared" si="139"/>
        <v>0.52187339700101787</v>
      </c>
      <c r="AH168" s="10"/>
      <c r="AI168" s="10">
        <f t="shared" si="140"/>
        <v>0.27472835769284282</v>
      </c>
      <c r="AJ168" s="10">
        <f t="shared" si="136"/>
        <v>0.49609249928536109</v>
      </c>
      <c r="AK168" s="10">
        <f t="shared" si="136"/>
        <v>0.78281009550152703</v>
      </c>
    </row>
    <row r="169" spans="1:38">
      <c r="A169" s="199" t="s">
        <v>16</v>
      </c>
      <c r="C169" s="5" t="s">
        <v>5</v>
      </c>
      <c r="E169" s="10">
        <f t="shared" ref="E169:V169" si="142">SUM(E161:E168)</f>
        <v>244.71271835952072</v>
      </c>
      <c r="F169" s="10">
        <f t="shared" si="142"/>
        <v>256.11688966253001</v>
      </c>
      <c r="G169" s="10">
        <f t="shared" si="142"/>
        <v>277.92255255322686</v>
      </c>
      <c r="H169" s="10">
        <f t="shared" si="142"/>
        <v>301.81290142321865</v>
      </c>
      <c r="I169" s="10">
        <f t="shared" si="142"/>
        <v>384.66621575601778</v>
      </c>
      <c r="J169" s="10">
        <f t="shared" si="142"/>
        <v>480.51527524975018</v>
      </c>
      <c r="K169" s="10">
        <f t="shared" si="142"/>
        <v>573.58336154208075</v>
      </c>
      <c r="L169" s="40"/>
      <c r="M169" s="10">
        <f t="shared" si="142"/>
        <v>263.28778068126491</v>
      </c>
      <c r="N169" s="10">
        <f t="shared" si="142"/>
        <v>301.81290142321865</v>
      </c>
      <c r="O169" s="10">
        <f t="shared" si="142"/>
        <v>384.66621575601783</v>
      </c>
      <c r="P169" s="10">
        <f t="shared" si="142"/>
        <v>480.51527524975012</v>
      </c>
      <c r="Q169" s="10">
        <f t="shared" si="142"/>
        <v>573.58336154208087</v>
      </c>
      <c r="S169" s="10">
        <f t="shared" si="142"/>
        <v>263.28778068126491</v>
      </c>
      <c r="T169" s="10">
        <f t="shared" si="142"/>
        <v>301.81290142321865</v>
      </c>
      <c r="U169" s="10">
        <f t="shared" si="142"/>
        <v>384.66621575601778</v>
      </c>
      <c r="V169" s="10">
        <f t="shared" si="142"/>
        <v>480.51527524975018</v>
      </c>
      <c r="W169" s="10">
        <f>SUM(W161:W168)</f>
        <v>573.58336154208075</v>
      </c>
      <c r="AI169" s="199" t="s">
        <v>626</v>
      </c>
    </row>
    <row r="170" spans="1:38" ht="15.75" thickBot="1">
      <c r="A170" s="199" t="s">
        <v>16</v>
      </c>
      <c r="W170" s="138"/>
      <c r="AA170" s="270">
        <v>1</v>
      </c>
      <c r="AB170" s="270">
        <v>1</v>
      </c>
      <c r="AC170" s="270">
        <v>1</v>
      </c>
      <c r="AD170" s="270"/>
      <c r="AE170" s="270">
        <v>2</v>
      </c>
      <c r="AF170" s="270">
        <v>2</v>
      </c>
      <c r="AG170" s="270">
        <v>2</v>
      </c>
      <c r="AI170" s="270">
        <v>2</v>
      </c>
      <c r="AJ170" s="270">
        <v>2</v>
      </c>
      <c r="AK170" s="270">
        <v>2</v>
      </c>
    </row>
    <row r="171" spans="1:38" ht="15.75" thickBot="1">
      <c r="A171" s="199" t="s">
        <v>16</v>
      </c>
      <c r="C171" s="244" t="s">
        <v>143</v>
      </c>
      <c r="D171" s="244"/>
      <c r="E171" s="270">
        <v>2012</v>
      </c>
      <c r="F171" s="270">
        <f>F4</f>
        <v>2015</v>
      </c>
      <c r="G171" s="270">
        <f>G4</f>
        <v>2017</v>
      </c>
      <c r="H171" s="270">
        <v>2020</v>
      </c>
      <c r="I171" s="270">
        <v>2030</v>
      </c>
      <c r="J171" s="270">
        <v>2040</v>
      </c>
      <c r="K171" s="270">
        <v>2050</v>
      </c>
      <c r="L171" s="270"/>
      <c r="M171" s="270">
        <f>F171</f>
        <v>2015</v>
      </c>
      <c r="N171" s="270">
        <f>H171</f>
        <v>2020</v>
      </c>
      <c r="O171" s="270">
        <f>I171</f>
        <v>2030</v>
      </c>
      <c r="P171" s="270">
        <v>2040</v>
      </c>
      <c r="Q171" s="270">
        <f>K171</f>
        <v>2050</v>
      </c>
      <c r="R171" s="270"/>
      <c r="S171" s="270">
        <f>M171</f>
        <v>2015</v>
      </c>
      <c r="T171" s="270">
        <f>N171</f>
        <v>2020</v>
      </c>
      <c r="U171" s="270">
        <f>O171</f>
        <v>2030</v>
      </c>
      <c r="V171" s="270">
        <v>2040</v>
      </c>
      <c r="W171" s="270">
        <f>Q171</f>
        <v>2050</v>
      </c>
      <c r="X171" s="270"/>
      <c r="AA171" s="270">
        <v>2030</v>
      </c>
      <c r="AB171" s="270">
        <v>2040</v>
      </c>
      <c r="AC171" s="270">
        <v>2050</v>
      </c>
      <c r="AD171" s="270"/>
      <c r="AE171" s="270">
        <v>2030</v>
      </c>
      <c r="AF171" s="270">
        <v>2040</v>
      </c>
      <c r="AG171" s="270">
        <v>2050</v>
      </c>
      <c r="AH171" s="270"/>
      <c r="AI171" s="270">
        <v>2030</v>
      </c>
      <c r="AJ171" s="270">
        <v>2040</v>
      </c>
      <c r="AK171" s="270">
        <v>2050</v>
      </c>
      <c r="AL171" s="270"/>
    </row>
    <row r="172" spans="1:38">
      <c r="A172" s="199" t="s">
        <v>16</v>
      </c>
      <c r="B172" s="199" t="str">
        <f t="shared" ref="B172:C179" si="143">B161</f>
        <v>TPPRCAR</v>
      </c>
      <c r="C172" s="199" t="str">
        <f t="shared" si="143"/>
        <v>Car</v>
      </c>
      <c r="E172" s="258">
        <f t="shared" ref="E172:K179" si="144">E161/E$169</f>
        <v>0.46345451091330986</v>
      </c>
      <c r="F172" s="258">
        <f t="shared" si="144"/>
        <v>0.44368322276810906</v>
      </c>
      <c r="G172" s="258">
        <f t="shared" si="144"/>
        <v>0.47252256834577178</v>
      </c>
      <c r="H172" s="258">
        <f t="shared" si="144"/>
        <v>0.43934758205937241</v>
      </c>
      <c r="I172" s="258">
        <f t="shared" si="144"/>
        <v>0.4955030858607255</v>
      </c>
      <c r="J172" s="258">
        <f t="shared" si="144"/>
        <v>0.53209317052568761</v>
      </c>
      <c r="K172" s="258">
        <f t="shared" si="144"/>
        <v>0.54106412959047667</v>
      </c>
      <c r="L172" s="41" t="str">
        <f>C172</f>
        <v>Car</v>
      </c>
      <c r="M172" s="258">
        <f t="shared" ref="M172:Q179" si="145">M161/M$169</f>
        <v>0.43604103480424899</v>
      </c>
      <c r="N172" s="258">
        <f t="shared" si="145"/>
        <v>0.4395976730563409</v>
      </c>
      <c r="O172" s="258">
        <f t="shared" si="145"/>
        <v>0.53089616342220591</v>
      </c>
      <c r="P172" s="258">
        <f t="shared" si="145"/>
        <v>0.61395365829887039</v>
      </c>
      <c r="Q172" s="258">
        <f t="shared" si="145"/>
        <v>0.6763301619880957</v>
      </c>
      <c r="R172" s="10"/>
      <c r="S172" s="258">
        <f t="shared" ref="S172:W179" si="146">S161/S$169</f>
        <v>0.43604103480424899</v>
      </c>
      <c r="T172" s="258">
        <f t="shared" si="146"/>
        <v>0.4395976730563409</v>
      </c>
      <c r="U172" s="258">
        <f t="shared" si="146"/>
        <v>0.4955030858607255</v>
      </c>
      <c r="V172" s="258">
        <f t="shared" si="146"/>
        <v>0.53209317052568761</v>
      </c>
      <c r="W172" s="258">
        <f>W161/W$169</f>
        <v>0.54106412959047667</v>
      </c>
      <c r="AA172" s="204"/>
      <c r="AB172" s="204"/>
      <c r="AC172" s="204"/>
      <c r="AE172" s="204"/>
      <c r="AF172" s="204"/>
      <c r="AG172" s="204"/>
      <c r="AI172" s="250"/>
      <c r="AJ172" s="250"/>
      <c r="AK172" s="250"/>
    </row>
    <row r="173" spans="1:38">
      <c r="A173" s="199" t="s">
        <v>16</v>
      </c>
      <c r="B173" s="199" t="str">
        <f t="shared" si="143"/>
        <v>TPPRSUV</v>
      </c>
      <c r="C173" s="199" t="str">
        <f t="shared" si="143"/>
        <v>SUV</v>
      </c>
      <c r="E173" s="258">
        <f t="shared" si="144"/>
        <v>5.3214529057562042E-2</v>
      </c>
      <c r="F173" s="258">
        <f t="shared" si="144"/>
        <v>5.0944360653256617E-2</v>
      </c>
      <c r="G173" s="258">
        <f t="shared" si="144"/>
        <v>5.4255736758366244E-2</v>
      </c>
      <c r="H173" s="258">
        <f t="shared" si="144"/>
        <v>5.0211152235356854E-2</v>
      </c>
      <c r="I173" s="258">
        <f t="shared" si="144"/>
        <v>5.6314811323683385E-2</v>
      </c>
      <c r="J173" s="258">
        <f t="shared" si="144"/>
        <v>6.0473339843532238E-2</v>
      </c>
      <c r="K173" s="258">
        <f t="shared" si="144"/>
        <v>6.1492905375093998E-2</v>
      </c>
      <c r="M173" s="258">
        <f t="shared" si="145"/>
        <v>4.955684294423738E-2</v>
      </c>
      <c r="N173" s="258">
        <f t="shared" si="145"/>
        <v>4.9961061238388324E-2</v>
      </c>
      <c r="O173" s="258">
        <f t="shared" si="145"/>
        <v>6.0337297846803625E-2</v>
      </c>
      <c r="P173" s="258">
        <f t="shared" si="145"/>
        <v>6.9776930588691041E-2</v>
      </c>
      <c r="Q173" s="258">
        <f t="shared" si="145"/>
        <v>7.686613171886747E-2</v>
      </c>
      <c r="R173" s="10"/>
      <c r="S173" s="258">
        <f t="shared" si="146"/>
        <v>4.955684294423738E-2</v>
      </c>
      <c r="T173" s="258">
        <f t="shared" si="146"/>
        <v>4.9961061238388324E-2</v>
      </c>
      <c r="U173" s="258">
        <f t="shared" si="146"/>
        <v>5.6314811323683385E-2</v>
      </c>
      <c r="V173" s="258">
        <f t="shared" si="146"/>
        <v>6.0473339843532238E-2</v>
      </c>
      <c r="W173" s="258">
        <f t="shared" si="146"/>
        <v>6.1492905375093998E-2</v>
      </c>
      <c r="AA173" s="204"/>
      <c r="AB173" s="204"/>
      <c r="AC173" s="204"/>
      <c r="AE173" s="204"/>
      <c r="AF173" s="204"/>
      <c r="AG173" s="204"/>
      <c r="AI173" s="250"/>
      <c r="AJ173" s="250"/>
      <c r="AK173" s="250"/>
    </row>
    <row r="174" spans="1:38">
      <c r="A174" s="199" t="s">
        <v>16</v>
      </c>
      <c r="B174" s="199" t="str">
        <f t="shared" si="143"/>
        <v>TPPRMOT</v>
      </c>
      <c r="C174" s="199" t="str">
        <f t="shared" si="143"/>
        <v>Motorbike</v>
      </c>
      <c r="E174" s="258">
        <f t="shared" si="144"/>
        <v>1.8140020007426951E-2</v>
      </c>
      <c r="F174" s="258">
        <f t="shared" si="144"/>
        <v>1.2799843442517458E-2</v>
      </c>
      <c r="G174" s="258">
        <f t="shared" si="144"/>
        <v>1.36318314227609E-2</v>
      </c>
      <c r="H174" s="258">
        <f t="shared" si="144"/>
        <v>1.2552788058839214E-2</v>
      </c>
      <c r="I174" s="258">
        <f>I163/I$169</f>
        <v>1.5159832340231017E-2</v>
      </c>
      <c r="J174" s="258">
        <f t="shared" si="144"/>
        <v>1.7531553561219521E-2</v>
      </c>
      <c r="K174" s="258">
        <f t="shared" si="144"/>
        <v>1.9312725479665727E-2</v>
      </c>
      <c r="M174" s="258">
        <f t="shared" si="145"/>
        <v>1.2451227634576576E-2</v>
      </c>
      <c r="N174" s="258">
        <f t="shared" si="145"/>
        <v>1.2552788058839214E-2</v>
      </c>
      <c r="O174" s="258">
        <f t="shared" si="145"/>
        <v>1.5159832340231015E-2</v>
      </c>
      <c r="P174" s="258">
        <f t="shared" si="145"/>
        <v>1.7531553561219524E-2</v>
      </c>
      <c r="Q174" s="258">
        <f t="shared" si="145"/>
        <v>1.9312725479665723E-2</v>
      </c>
      <c r="R174" s="10"/>
      <c r="S174" s="258">
        <f t="shared" si="146"/>
        <v>1.2451227634576576E-2</v>
      </c>
      <c r="T174" s="258">
        <f t="shared" si="146"/>
        <v>1.2552788058839214E-2</v>
      </c>
      <c r="U174" s="258">
        <f t="shared" si="146"/>
        <v>1.5159832340231017E-2</v>
      </c>
      <c r="V174" s="258">
        <f t="shared" si="146"/>
        <v>1.7531553561219521E-2</v>
      </c>
      <c r="W174" s="258">
        <f t="shared" si="146"/>
        <v>1.9312725479665727E-2</v>
      </c>
      <c r="AA174" s="204"/>
      <c r="AB174" s="204"/>
      <c r="AC174" s="204"/>
      <c r="AE174" s="204"/>
      <c r="AF174" s="204"/>
      <c r="AG174" s="204"/>
    </row>
    <row r="175" spans="1:38">
      <c r="A175" s="199" t="s">
        <v>16</v>
      </c>
      <c r="B175" s="199" t="str">
        <f t="shared" si="143"/>
        <v>TPPUBUS</v>
      </c>
      <c r="C175" s="199" t="str">
        <f t="shared" si="143"/>
        <v>Bus</v>
      </c>
      <c r="E175" s="258">
        <f t="shared" si="144"/>
        <v>6.3134386093662703E-2</v>
      </c>
      <c r="F175" s="258">
        <f t="shared" si="144"/>
        <v>6.3447592313851928E-2</v>
      </c>
      <c r="G175" s="258">
        <f t="shared" si="144"/>
        <v>6.0407502928457646E-2</v>
      </c>
      <c r="H175" s="258">
        <f t="shared" si="144"/>
        <v>0.10692578977201966</v>
      </c>
      <c r="I175" s="258">
        <f t="shared" si="144"/>
        <v>5.7786183119016808E-2</v>
      </c>
      <c r="J175" s="258">
        <f t="shared" si="144"/>
        <v>4.8069125241762975E-2</v>
      </c>
      <c r="K175" s="258">
        <f t="shared" si="144"/>
        <v>4.4036524543861096E-2</v>
      </c>
      <c r="M175" s="258">
        <f t="shared" si="145"/>
        <v>0.10127473695929891</v>
      </c>
      <c r="N175" s="258">
        <f t="shared" si="145"/>
        <v>7.0593774424569225E-2</v>
      </c>
      <c r="O175" s="258">
        <f t="shared" si="145"/>
        <v>5.2526234245182421E-2</v>
      </c>
      <c r="P175" s="258">
        <f t="shared" si="145"/>
        <v>3.5903413465890086E-2</v>
      </c>
      <c r="Q175" s="258">
        <f t="shared" si="145"/>
        <v>2.3933937716197243E-2</v>
      </c>
      <c r="R175" s="10"/>
      <c r="S175" s="258">
        <f t="shared" si="146"/>
        <v>0.10127473695929891</v>
      </c>
      <c r="T175" s="258">
        <f t="shared" si="146"/>
        <v>7.0593774424569225E-2</v>
      </c>
      <c r="U175" s="258">
        <f t="shared" si="146"/>
        <v>5.7786183119016808E-2</v>
      </c>
      <c r="V175" s="258">
        <f t="shared" si="146"/>
        <v>4.8069125241762975E-2</v>
      </c>
      <c r="W175" s="258">
        <f t="shared" si="146"/>
        <v>4.4036524543861096E-2</v>
      </c>
      <c r="Y175" s="275">
        <f>O175</f>
        <v>5.2526234245182421E-2</v>
      </c>
      <c r="AA175" s="118">
        <f>Y175/$Y$180</f>
        <v>0.1334485246118651</v>
      </c>
      <c r="AB175" s="118">
        <f>AA175</f>
        <v>0.1334485246118651</v>
      </c>
      <c r="AC175" s="118">
        <f>AB175</f>
        <v>0.1334485246118651</v>
      </c>
      <c r="AE175" s="118">
        <f>AA175</f>
        <v>0.1334485246118651</v>
      </c>
      <c r="AF175" s="118">
        <f t="shared" ref="AF175:AG179" si="147">AB175</f>
        <v>0.1334485246118651</v>
      </c>
      <c r="AG175" s="118">
        <f t="shared" si="147"/>
        <v>0.1334485246118651</v>
      </c>
      <c r="AI175" s="118">
        <f>AE175</f>
        <v>0.1334485246118651</v>
      </c>
      <c r="AJ175" s="118">
        <f t="shared" ref="AJ175:AK179" si="148">AF175</f>
        <v>0.1334485246118651</v>
      </c>
      <c r="AK175" s="118">
        <f t="shared" si="148"/>
        <v>0.1334485246118651</v>
      </c>
    </row>
    <row r="176" spans="1:38">
      <c r="A176" s="199" t="s">
        <v>16</v>
      </c>
      <c r="B176" s="199" t="str">
        <f t="shared" si="143"/>
        <v>TPPUMBT</v>
      </c>
      <c r="C176" s="199" t="str">
        <f t="shared" si="143"/>
        <v>Minibus</v>
      </c>
      <c r="E176" s="258">
        <f t="shared" si="144"/>
        <v>0.33884888623881604</v>
      </c>
      <c r="F176" s="258">
        <f t="shared" si="144"/>
        <v>0.37717153338572901</v>
      </c>
      <c r="G176" s="258">
        <f t="shared" si="144"/>
        <v>0.35979714881486319</v>
      </c>
      <c r="H176" s="258">
        <f t="shared" si="144"/>
        <v>0.33714721015550703</v>
      </c>
      <c r="I176" s="258">
        <f t="shared" si="144"/>
        <v>0.30572014447425788</v>
      </c>
      <c r="J176" s="258">
        <f t="shared" si="144"/>
        <v>0.25431165583986759</v>
      </c>
      <c r="K176" s="258">
        <f t="shared" si="144"/>
        <v>0.23297701836380569</v>
      </c>
      <c r="M176" s="258">
        <f t="shared" si="145"/>
        <v>0.35193265706287868</v>
      </c>
      <c r="N176" s="258">
        <f t="shared" si="145"/>
        <v>0.37347922550295748</v>
      </c>
      <c r="O176" s="258">
        <f>O165/O$169</f>
        <v>0.27789217171606645</v>
      </c>
      <c r="P176" s="258">
        <f t="shared" si="145"/>
        <v>0.18994846448508063</v>
      </c>
      <c r="Q176" s="258">
        <f t="shared" si="145"/>
        <v>0.12662346778231379</v>
      </c>
      <c r="R176" s="10"/>
      <c r="S176" s="258">
        <f t="shared" si="146"/>
        <v>0.35193265706287868</v>
      </c>
      <c r="T176" s="258">
        <f t="shared" si="146"/>
        <v>0.37347922550295748</v>
      </c>
      <c r="U176" s="258">
        <f t="shared" si="146"/>
        <v>0.30572014447425788</v>
      </c>
      <c r="V176" s="258">
        <f>V165/V$169</f>
        <v>0.25431165583986759</v>
      </c>
      <c r="W176" s="258">
        <f t="shared" si="146"/>
        <v>0.23297701836380569</v>
      </c>
      <c r="Y176" s="275">
        <f t="shared" ref="Y176:Y179" si="149">O176</f>
        <v>0.27789217171606645</v>
      </c>
      <c r="AA176" s="118">
        <f>1-SUM(AA177:AA179,AA175)</f>
        <v>0.70601482953439443</v>
      </c>
      <c r="AB176" s="118">
        <f t="shared" ref="AB176:AC176" si="150">1-SUM(AB177:AB179,AB175)</f>
        <v>0.70601482953439443</v>
      </c>
      <c r="AC176" s="118">
        <f t="shared" si="150"/>
        <v>0.70601482953439443</v>
      </c>
      <c r="AE176" s="118">
        <f t="shared" ref="AE176:AE179" si="151">AA176</f>
        <v>0.70601482953439443</v>
      </c>
      <c r="AF176" s="118">
        <f t="shared" si="147"/>
        <v>0.70601482953439443</v>
      </c>
      <c r="AG176" s="118">
        <f t="shared" si="147"/>
        <v>0.70601482953439443</v>
      </c>
      <c r="AI176" s="118">
        <f t="shared" ref="AI176:AI178" si="152">AE176</f>
        <v>0.70601482953439443</v>
      </c>
      <c r="AJ176" s="118">
        <f t="shared" si="148"/>
        <v>0.70601482953439443</v>
      </c>
      <c r="AK176" s="118">
        <f t="shared" si="148"/>
        <v>0.70601482953439443</v>
      </c>
    </row>
    <row r="177" spans="1:42">
      <c r="A177" s="199" t="s">
        <v>16</v>
      </c>
      <c r="B177" s="199" t="str">
        <f t="shared" si="143"/>
        <v>TPPUBRT</v>
      </c>
      <c r="C177" s="199" t="str">
        <f t="shared" si="143"/>
        <v>BRT</v>
      </c>
      <c r="E177" s="258">
        <f t="shared" si="144"/>
        <v>2.1709241566132834E-3</v>
      </c>
      <c r="F177" s="258">
        <f t="shared" si="144"/>
        <v>2.2235195430649331E-3</v>
      </c>
      <c r="G177" s="258">
        <f t="shared" si="144"/>
        <v>2.1486086377982515E-3</v>
      </c>
      <c r="H177" s="258">
        <f t="shared" si="144"/>
        <v>1.8822040320798483E-2</v>
      </c>
      <c r="I177" s="258">
        <f t="shared" si="144"/>
        <v>3.9959671837289532E-2</v>
      </c>
      <c r="J177" s="258">
        <f t="shared" si="144"/>
        <v>6.2037433650750338E-2</v>
      </c>
      <c r="K177" s="258">
        <f t="shared" si="144"/>
        <v>7.7135977768569161E-2</v>
      </c>
      <c r="M177" s="258">
        <f t="shared" si="145"/>
        <v>2.017764555356706E-3</v>
      </c>
      <c r="N177" s="258">
        <f t="shared" si="145"/>
        <v>1.8822040320798483E-2</v>
      </c>
      <c r="O177" s="258">
        <f t="shared" si="145"/>
        <v>3.6322369293073337E-2</v>
      </c>
      <c r="P177" s="258">
        <f t="shared" si="145"/>
        <v>5.3624733174761526E-2</v>
      </c>
      <c r="Q177" s="258">
        <f t="shared" si="145"/>
        <v>6.3234855919777039E-2</v>
      </c>
      <c r="R177" s="10"/>
      <c r="S177" s="258">
        <f t="shared" si="146"/>
        <v>2.017764555356706E-3</v>
      </c>
      <c r="T177" s="258">
        <f t="shared" si="146"/>
        <v>1.8822040320798483E-2</v>
      </c>
      <c r="U177" s="258">
        <f t="shared" si="146"/>
        <v>3.9959671837289532E-2</v>
      </c>
      <c r="V177" s="258">
        <f t="shared" si="146"/>
        <v>6.2037433650750338E-2</v>
      </c>
      <c r="W177" s="258">
        <f t="shared" si="146"/>
        <v>7.7135977768569161E-2</v>
      </c>
      <c r="Y177" s="275">
        <f t="shared" si="149"/>
        <v>3.6322369293073337E-2</v>
      </c>
      <c r="AA177" s="118">
        <f t="shared" ref="AA177:AA179" si="153">Y177/$Y$180</f>
        <v>9.2280869973322341E-2</v>
      </c>
      <c r="AB177" s="118">
        <f t="shared" ref="AB177:AC177" si="154">AA177</f>
        <v>9.2280869973322341E-2</v>
      </c>
      <c r="AC177" s="118">
        <f t="shared" si="154"/>
        <v>9.2280869973322341E-2</v>
      </c>
      <c r="AE177" s="118">
        <f t="shared" si="151"/>
        <v>9.2280869973322341E-2</v>
      </c>
      <c r="AF177" s="118">
        <f t="shared" si="147"/>
        <v>9.2280869973322341E-2</v>
      </c>
      <c r="AG177" s="118">
        <f t="shared" si="147"/>
        <v>9.2280869973322341E-2</v>
      </c>
      <c r="AI177" s="118">
        <f t="shared" si="152"/>
        <v>9.2280869973322341E-2</v>
      </c>
      <c r="AJ177" s="118">
        <f t="shared" si="148"/>
        <v>9.2280869973322341E-2</v>
      </c>
      <c r="AK177" s="118">
        <f t="shared" si="148"/>
        <v>9.2280869973322341E-2</v>
      </c>
    </row>
    <row r="178" spans="1:42">
      <c r="A178" s="199" t="s">
        <v>16</v>
      </c>
      <c r="B178" s="199" t="str">
        <f t="shared" si="143"/>
        <v>TPPUMER</v>
      </c>
      <c r="C178" s="199" t="str">
        <f t="shared" si="143"/>
        <v>Metro Rail</v>
      </c>
      <c r="D178" s="274">
        <f>INDEX($BI$4:$BI$7,MATCH($D$3,$BA$4:$BA$7,0))</f>
        <v>0</v>
      </c>
      <c r="E178" s="258">
        <f t="shared" si="144"/>
        <v>5.885244439212664E-2</v>
      </c>
      <c r="F178" s="258">
        <f t="shared" si="144"/>
        <v>4.7432518434033115E-2</v>
      </c>
      <c r="G178" s="258">
        <f t="shared" si="144"/>
        <v>3.4989119988868236E-2</v>
      </c>
      <c r="H178" s="258">
        <f t="shared" si="144"/>
        <v>3.2911962400643736E-2</v>
      </c>
      <c r="I178" s="258">
        <f t="shared" si="144"/>
        <v>2.6940855643325382E-2</v>
      </c>
      <c r="J178" s="258">
        <f t="shared" si="144"/>
        <v>2.2410605687038124E-2</v>
      </c>
      <c r="K178" s="258">
        <f t="shared" si="144"/>
        <v>2.0530541848151444E-2</v>
      </c>
      <c r="M178" s="258">
        <f t="shared" si="145"/>
        <v>4.4695540110846095E-2</v>
      </c>
      <c r="N178" s="258">
        <f t="shared" si="145"/>
        <v>3.2911962400643736E-2</v>
      </c>
      <c r="O178" s="258">
        <f t="shared" si="145"/>
        <v>2.4488582181875568E-2</v>
      </c>
      <c r="P178" s="258">
        <f t="shared" si="145"/>
        <v>1.6738753575313608E-2</v>
      </c>
      <c r="Q178" s="258">
        <f t="shared" si="145"/>
        <v>1.1158389881200059E-2</v>
      </c>
      <c r="R178" s="10"/>
      <c r="S178" s="258">
        <f t="shared" si="146"/>
        <v>4.4695540110846095E-2</v>
      </c>
      <c r="T178" s="258">
        <f t="shared" si="146"/>
        <v>3.2911962400643736E-2</v>
      </c>
      <c r="U178" s="258">
        <f t="shared" si="146"/>
        <v>2.6940855643325382E-2</v>
      </c>
      <c r="V178" s="258">
        <f t="shared" si="146"/>
        <v>2.2410605687038124E-2</v>
      </c>
      <c r="W178" s="258">
        <f>W167/W$169</f>
        <v>2.0530541848151444E-2</v>
      </c>
      <c r="Y178" s="275">
        <f>O178</f>
        <v>2.4488582181875568E-2</v>
      </c>
      <c r="AA178" s="118">
        <f>Y178/$Y$180</f>
        <v>6.2215866204180299E-2</v>
      </c>
      <c r="AB178" s="118">
        <f>AA178*(1+$D$178)</f>
        <v>6.2215866204180299E-2</v>
      </c>
      <c r="AC178" s="118">
        <f>AB178*(1+$D$178)</f>
        <v>6.2215866204180299E-2</v>
      </c>
      <c r="AE178" s="118">
        <f>AA178</f>
        <v>6.2215866204180299E-2</v>
      </c>
      <c r="AF178" s="118">
        <f t="shared" si="147"/>
        <v>6.2215866204180299E-2</v>
      </c>
      <c r="AG178" s="118">
        <f>AC178</f>
        <v>6.2215866204180299E-2</v>
      </c>
      <c r="AI178" s="118">
        <f t="shared" si="152"/>
        <v>6.2215866204180299E-2</v>
      </c>
      <c r="AJ178" s="118">
        <f t="shared" si="148"/>
        <v>6.2215866204180299E-2</v>
      </c>
      <c r="AK178" s="118">
        <f>AG178</f>
        <v>6.2215866204180299E-2</v>
      </c>
      <c r="AM178" s="295"/>
    </row>
    <row r="179" spans="1:42">
      <c r="A179" s="199" t="s">
        <v>16</v>
      </c>
      <c r="B179" s="199" t="str">
        <f t="shared" si="143"/>
        <v>TPPUGAT</v>
      </c>
      <c r="C179" s="199" t="str">
        <f t="shared" si="143"/>
        <v>Gautrain</v>
      </c>
      <c r="E179" s="258">
        <f t="shared" si="144"/>
        <v>2.1842991404825724E-3</v>
      </c>
      <c r="F179" s="258">
        <f t="shared" si="144"/>
        <v>2.2974094594378882E-3</v>
      </c>
      <c r="G179" s="258">
        <f t="shared" si="144"/>
        <v>2.2474831031138605E-3</v>
      </c>
      <c r="H179" s="258">
        <f t="shared" si="144"/>
        <v>2.0814749974625178E-3</v>
      </c>
      <c r="I179" s="258">
        <f t="shared" si="144"/>
        <v>2.6154154014706109E-3</v>
      </c>
      <c r="J179" s="258">
        <f t="shared" si="144"/>
        <v>3.0731156501414476E-3</v>
      </c>
      <c r="K179" s="258">
        <f t="shared" si="144"/>
        <v>3.4501770303762293E-3</v>
      </c>
      <c r="M179" s="258">
        <f t="shared" si="145"/>
        <v>2.0301959285567816E-3</v>
      </c>
      <c r="N179" s="258">
        <f t="shared" si="145"/>
        <v>2.0814749974625178E-3</v>
      </c>
      <c r="O179" s="258">
        <f t="shared" si="145"/>
        <v>2.3773489545616576E-3</v>
      </c>
      <c r="P179" s="258">
        <f t="shared" si="145"/>
        <v>2.5224928501732099E-3</v>
      </c>
      <c r="Q179" s="258">
        <f t="shared" si="145"/>
        <v>2.5403295138827944E-3</v>
      </c>
      <c r="S179" s="258">
        <f t="shared" si="146"/>
        <v>2.0301959285567816E-3</v>
      </c>
      <c r="T179" s="258">
        <f t="shared" si="146"/>
        <v>2.0814749974625178E-3</v>
      </c>
      <c r="U179" s="258">
        <f t="shared" si="146"/>
        <v>2.6154154014706109E-3</v>
      </c>
      <c r="V179" s="258">
        <f t="shared" si="146"/>
        <v>3.0731156501414476E-3</v>
      </c>
      <c r="W179" s="258">
        <f t="shared" si="146"/>
        <v>3.4501770303762293E-3</v>
      </c>
      <c r="Y179" s="275">
        <f t="shared" si="149"/>
        <v>2.3773489545616576E-3</v>
      </c>
      <c r="AA179" s="118">
        <f t="shared" si="153"/>
        <v>6.0399096762378483E-3</v>
      </c>
      <c r="AB179" s="118">
        <f t="shared" ref="AB179:AC179" si="155">AA179</f>
        <v>6.0399096762378483E-3</v>
      </c>
      <c r="AC179" s="118">
        <f t="shared" si="155"/>
        <v>6.0399096762378483E-3</v>
      </c>
      <c r="AE179" s="118">
        <f t="shared" si="151"/>
        <v>6.0399096762378483E-3</v>
      </c>
      <c r="AF179" s="118">
        <f t="shared" si="147"/>
        <v>6.0399096762378483E-3</v>
      </c>
      <c r="AG179" s="118">
        <f t="shared" si="147"/>
        <v>6.0399096762378483E-3</v>
      </c>
      <c r="AI179" s="118">
        <f>AE179</f>
        <v>6.0399096762378483E-3</v>
      </c>
      <c r="AJ179" s="118">
        <f t="shared" si="148"/>
        <v>6.0399096762378483E-3</v>
      </c>
      <c r="AK179" s="118">
        <f t="shared" si="148"/>
        <v>6.0399096762378483E-3</v>
      </c>
      <c r="AM179" s="295"/>
    </row>
    <row r="180" spans="1:42">
      <c r="A180" s="199" t="s">
        <v>16</v>
      </c>
      <c r="Y180" s="275">
        <f>SUM(Y175:Y179)</f>
        <v>0.39360670639075945</v>
      </c>
      <c r="AA180" s="34"/>
      <c r="AB180" s="34"/>
      <c r="AC180" s="34"/>
    </row>
    <row r="181" spans="1:42">
      <c r="A181" s="199" t="s">
        <v>16</v>
      </c>
      <c r="C181" s="199" t="s">
        <v>145</v>
      </c>
      <c r="E181" s="34">
        <f>SUM(E172:E174)</f>
        <v>0.53480905997829886</v>
      </c>
      <c r="F181" s="34">
        <f t="shared" ref="F181:J181" si="156">SUM(F172:F174)</f>
        <v>0.5074274268638832</v>
      </c>
      <c r="G181" s="34">
        <f t="shared" si="156"/>
        <v>0.54041013652689895</v>
      </c>
      <c r="H181" s="34">
        <f t="shared" si="156"/>
        <v>0.50211152235356848</v>
      </c>
      <c r="I181" s="34">
        <f t="shared" si="156"/>
        <v>0.56697772952463987</v>
      </c>
      <c r="J181" s="34">
        <f t="shared" si="156"/>
        <v>0.6100980639304393</v>
      </c>
      <c r="K181" s="34">
        <f>SUM(K172:K174)</f>
        <v>0.62186976044523634</v>
      </c>
      <c r="M181" s="34">
        <f>SUM(M172:M174)</f>
        <v>0.49804910538306296</v>
      </c>
      <c r="N181" s="34">
        <f t="shared" ref="N181:Q181" si="157">SUM(N172:N174)</f>
        <v>0.50211152235356848</v>
      </c>
      <c r="O181" s="34">
        <f t="shared" si="157"/>
        <v>0.60639329360924055</v>
      </c>
      <c r="P181" s="34">
        <f t="shared" si="157"/>
        <v>0.70126214244878093</v>
      </c>
      <c r="Q181" s="34">
        <f t="shared" si="157"/>
        <v>0.77250901918662884</v>
      </c>
      <c r="S181" s="34">
        <f>SUM(S172:S174)</f>
        <v>0.49804910538306296</v>
      </c>
      <c r="T181" s="34">
        <f t="shared" ref="T181:W181" si="158">SUM(T172:T174)</f>
        <v>0.50211152235356848</v>
      </c>
      <c r="U181" s="34">
        <f t="shared" si="158"/>
        <v>0.56697772952463987</v>
      </c>
      <c r="V181" s="34">
        <f t="shared" si="158"/>
        <v>0.6100980639304393</v>
      </c>
      <c r="W181" s="34">
        <f t="shared" si="158"/>
        <v>0.62186976044523634</v>
      </c>
    </row>
    <row r="182" spans="1:42">
      <c r="A182" s="199" t="s">
        <v>16</v>
      </c>
      <c r="B182" s="294"/>
      <c r="C182" s="199" t="s">
        <v>146</v>
      </c>
      <c r="E182" s="34">
        <f t="shared" ref="E182:K182" si="159">1-E181</f>
        <v>0.46519094002170114</v>
      </c>
      <c r="F182" s="34">
        <f t="shared" si="159"/>
        <v>0.4925725731361168</v>
      </c>
      <c r="G182" s="34">
        <f t="shared" si="159"/>
        <v>0.45958986347310105</v>
      </c>
      <c r="H182" s="34">
        <f t="shared" si="159"/>
        <v>0.49788847764643152</v>
      </c>
      <c r="I182" s="34">
        <f t="shared" si="159"/>
        <v>0.43302227047536013</v>
      </c>
      <c r="J182" s="34">
        <f t="shared" si="159"/>
        <v>0.3899019360695607</v>
      </c>
      <c r="K182" s="34">
        <f t="shared" si="159"/>
        <v>0.37813023955476366</v>
      </c>
      <c r="M182" s="34">
        <f>1-M181</f>
        <v>0.50195089461693709</v>
      </c>
      <c r="N182" s="34">
        <f>1-N181</f>
        <v>0.49788847764643152</v>
      </c>
      <c r="O182" s="34">
        <f>1-O181</f>
        <v>0.39360670639075945</v>
      </c>
      <c r="P182" s="34">
        <f>1-P181</f>
        <v>0.29873785755121907</v>
      </c>
      <c r="Q182" s="34">
        <f>1-Q181</f>
        <v>0.22749098081337116</v>
      </c>
      <c r="S182" s="34">
        <f>1-S181</f>
        <v>0.50195089461693709</v>
      </c>
      <c r="T182" s="34">
        <f>1-T181</f>
        <v>0.49788847764643152</v>
      </c>
      <c r="U182" s="34">
        <f>1-U181</f>
        <v>0.43302227047536013</v>
      </c>
      <c r="V182" s="34">
        <f>1-V181</f>
        <v>0.3899019360695607</v>
      </c>
      <c r="W182" s="34">
        <f>1-W181</f>
        <v>0.37813023955476366</v>
      </c>
    </row>
    <row r="183" spans="1:42">
      <c r="A183" s="199" t="s">
        <v>16</v>
      </c>
      <c r="B183" s="294"/>
      <c r="S183" s="24">
        <f t="shared" ref="S183:T183" si="160">SUM(S161:S162)/SUM(M161:M162)</f>
        <v>1</v>
      </c>
      <c r="T183" s="24">
        <f t="shared" si="160"/>
        <v>1</v>
      </c>
      <c r="U183" s="24">
        <f t="shared" ref="U183" si="161">SUM(U161:U162)/SUM(O161:O162)</f>
        <v>0.93333333333333324</v>
      </c>
      <c r="V183" s="24">
        <f t="shared" ref="V183" si="162">SUM(V161:V162)/SUM(P161:P162)</f>
        <v>0.86666666666666692</v>
      </c>
      <c r="W183" s="24">
        <f>SUM(W161:W162)/SUM(Q161:Q162)</f>
        <v>0.8</v>
      </c>
    </row>
    <row r="184" spans="1:42">
      <c r="A184" s="199" t="s">
        <v>16</v>
      </c>
    </row>
    <row r="185" spans="1:42" ht="15.75" thickBot="1">
      <c r="A185" s="199" t="s">
        <v>16</v>
      </c>
      <c r="C185" s="244" t="s">
        <v>204</v>
      </c>
      <c r="E185" s="7">
        <v>2012</v>
      </c>
      <c r="F185" s="7">
        <f>F4</f>
        <v>2015</v>
      </c>
      <c r="G185" s="7">
        <f>G4</f>
        <v>2017</v>
      </c>
      <c r="H185" s="7">
        <v>2020</v>
      </c>
      <c r="I185" s="7">
        <v>2030</v>
      </c>
      <c r="J185" s="7">
        <v>2040</v>
      </c>
      <c r="K185" s="7">
        <v>2050</v>
      </c>
      <c r="L185" s="199">
        <f>L4</f>
        <v>0</v>
      </c>
      <c r="M185" s="199">
        <f t="shared" ref="M185:AJ185" si="163">M4</f>
        <v>0</v>
      </c>
      <c r="N185" s="199">
        <f t="shared" si="163"/>
        <v>0</v>
      </c>
      <c r="O185" s="199">
        <f t="shared" si="163"/>
        <v>0</v>
      </c>
      <c r="P185" s="199">
        <f t="shared" si="163"/>
        <v>0</v>
      </c>
      <c r="Q185" s="199">
        <f t="shared" si="163"/>
        <v>0</v>
      </c>
      <c r="R185" s="199">
        <f t="shared" si="163"/>
        <v>0</v>
      </c>
      <c r="S185" s="199">
        <f t="shared" si="163"/>
        <v>0</v>
      </c>
      <c r="T185" s="199">
        <f t="shared" si="163"/>
        <v>0</v>
      </c>
      <c r="U185" s="199">
        <f t="shared" si="163"/>
        <v>0</v>
      </c>
      <c r="V185" s="199">
        <f t="shared" si="163"/>
        <v>0</v>
      </c>
      <c r="W185" s="199">
        <f t="shared" si="163"/>
        <v>0</v>
      </c>
      <c r="X185" s="199">
        <f t="shared" si="163"/>
        <v>0</v>
      </c>
      <c r="Y185" s="199">
        <f t="shared" si="163"/>
        <v>0</v>
      </c>
      <c r="Z185" s="199">
        <f t="shared" si="163"/>
        <v>0</v>
      </c>
      <c r="AA185" s="199">
        <f t="shared" si="163"/>
        <v>0</v>
      </c>
      <c r="AB185" s="199">
        <f t="shared" si="163"/>
        <v>0</v>
      </c>
      <c r="AC185" s="199">
        <f t="shared" si="163"/>
        <v>0</v>
      </c>
      <c r="AD185" s="199">
        <f t="shared" si="163"/>
        <v>0</v>
      </c>
      <c r="AE185" s="199">
        <f t="shared" si="163"/>
        <v>0</v>
      </c>
      <c r="AF185" s="199">
        <f t="shared" si="163"/>
        <v>0</v>
      </c>
      <c r="AG185" s="199">
        <f t="shared" si="163"/>
        <v>0</v>
      </c>
      <c r="AH185" s="199">
        <f t="shared" si="163"/>
        <v>0</v>
      </c>
      <c r="AI185" s="199">
        <f t="shared" si="163"/>
        <v>0</v>
      </c>
      <c r="AJ185" s="199">
        <f t="shared" si="163"/>
        <v>0</v>
      </c>
    </row>
    <row r="186" spans="1:42">
      <c r="A186" s="199" t="s">
        <v>16</v>
      </c>
      <c r="B186" s="199" t="str">
        <f>B149</f>
        <v>TPPRCAR</v>
      </c>
      <c r="C186" s="199" t="str">
        <f>C149</f>
        <v>Car Priv.Veh. Vehicle km</v>
      </c>
      <c r="E186" s="10">
        <f t="shared" ref="E186:K193" si="164">E149</f>
        <v>81.009438001127293</v>
      </c>
      <c r="F186" s="10">
        <f>F149</f>
        <v>88.565535879115743</v>
      </c>
      <c r="G186" s="200">
        <f>G149</f>
        <v>92.808054742091983</v>
      </c>
      <c r="H186" s="200">
        <f t="shared" si="164"/>
        <v>94.714834624724887</v>
      </c>
      <c r="I186" s="10">
        <f t="shared" si="164"/>
        <v>136.14521209533891</v>
      </c>
      <c r="J186" s="10">
        <f t="shared" si="164"/>
        <v>182.62778306690217</v>
      </c>
      <c r="K186" s="10">
        <f t="shared" si="164"/>
        <v>221.67527304310403</v>
      </c>
      <c r="L186" s="267">
        <f t="shared" ref="L186:L193" si="165">E186</f>
        <v>81.009438001127293</v>
      </c>
      <c r="M186" s="250">
        <f t="shared" ref="M186:AJ193" si="166">IF(M$4&lt;=$H$148,($H186-$F186)/10,IF(AND(M$4&gt;$H$148,M$4&lt;=$I$148),($I186-$H186)/10,IF(AND(M$4&gt;$I$148,M$4&lt;=$J$148),($J186-$I186)/2,($K186-$J186)/2)))+L186</f>
        <v>81.624367875688208</v>
      </c>
      <c r="N186" s="250">
        <f t="shared" si="166"/>
        <v>82.239297750249122</v>
      </c>
      <c r="O186" s="250">
        <f t="shared" si="166"/>
        <v>82.854227624810036</v>
      </c>
      <c r="P186" s="250">
        <f t="shared" si="166"/>
        <v>83.469157499370951</v>
      </c>
      <c r="Q186" s="250">
        <f t="shared" si="166"/>
        <v>84.084087373931865</v>
      </c>
      <c r="R186" s="250">
        <f t="shared" si="166"/>
        <v>84.69901724849278</v>
      </c>
      <c r="S186" s="250">
        <f t="shared" si="166"/>
        <v>85.313947123053694</v>
      </c>
      <c r="T186" s="250">
        <f t="shared" si="166"/>
        <v>85.928876997614609</v>
      </c>
      <c r="U186" s="250">
        <f t="shared" si="166"/>
        <v>86.543806872175523</v>
      </c>
      <c r="V186" s="250">
        <f t="shared" si="166"/>
        <v>87.158736746736437</v>
      </c>
      <c r="W186" s="250">
        <f t="shared" si="166"/>
        <v>87.773666621297352</v>
      </c>
      <c r="X186" s="250">
        <f t="shared" si="166"/>
        <v>88.388596495858266</v>
      </c>
      <c r="Y186" s="250">
        <f t="shared" si="166"/>
        <v>89.003526370419181</v>
      </c>
      <c r="Z186" s="250">
        <f t="shared" si="166"/>
        <v>89.618456244980095</v>
      </c>
      <c r="AA186" s="250">
        <f t="shared" si="166"/>
        <v>90.233386119541009</v>
      </c>
      <c r="AB186" s="250">
        <f t="shared" si="166"/>
        <v>90.848315994101924</v>
      </c>
      <c r="AC186" s="250">
        <f t="shared" si="166"/>
        <v>91.463245868662838</v>
      </c>
      <c r="AD186" s="250">
        <f t="shared" si="166"/>
        <v>92.078175743223753</v>
      </c>
      <c r="AE186" s="250">
        <f t="shared" si="166"/>
        <v>92.693105617784667</v>
      </c>
      <c r="AF186" s="250">
        <f t="shared" si="166"/>
        <v>93.308035492345581</v>
      </c>
      <c r="AG186" s="250">
        <f t="shared" si="166"/>
        <v>93.922965366906496</v>
      </c>
      <c r="AH186" s="250">
        <f t="shared" si="166"/>
        <v>94.53789524146741</v>
      </c>
      <c r="AI186" s="250">
        <f t="shared" si="166"/>
        <v>95.152825116028325</v>
      </c>
      <c r="AJ186" s="250">
        <f t="shared" si="166"/>
        <v>95.767754990589239</v>
      </c>
      <c r="AK186" s="250"/>
      <c r="AL186" s="250"/>
      <c r="AM186" s="250"/>
      <c r="AN186" s="250"/>
      <c r="AO186" s="10"/>
      <c r="AP186" s="10"/>
    </row>
    <row r="187" spans="1:42">
      <c r="A187" s="199" t="s">
        <v>16</v>
      </c>
      <c r="B187" s="199" t="str">
        <f t="shared" ref="B187:C193" si="167">B150</f>
        <v>TPPRSUV</v>
      </c>
      <c r="C187" s="199" t="str">
        <f t="shared" si="167"/>
        <v>SUV Priv.Veh. Vehicle km</v>
      </c>
      <c r="E187" s="10">
        <f t="shared" si="164"/>
        <v>9.3016229013555076</v>
      </c>
      <c r="F187" s="10">
        <f t="shared" si="164"/>
        <v>10.169225180805997</v>
      </c>
      <c r="G187" s="10">
        <f t="shared" si="164"/>
        <v>10.656357440811842</v>
      </c>
      <c r="H187" s="10">
        <f t="shared" si="164"/>
        <v>10.824552528539989</v>
      </c>
      <c r="I187" s="10">
        <f t="shared" si="164"/>
        <v>15.47314668778245</v>
      </c>
      <c r="J187" s="10">
        <f t="shared" si="164"/>
        <v>20.755973957276126</v>
      </c>
      <c r="K187" s="10">
        <f t="shared" si="164"/>
        <v>25.193790982882504</v>
      </c>
      <c r="L187" s="267">
        <f t="shared" si="165"/>
        <v>9.3016229013555076</v>
      </c>
      <c r="M187" s="250">
        <f t="shared" si="166"/>
        <v>9.3671556361289063</v>
      </c>
      <c r="N187" s="250">
        <f t="shared" si="166"/>
        <v>9.4326883709023051</v>
      </c>
      <c r="O187" s="250">
        <f t="shared" si="166"/>
        <v>9.4982211056757038</v>
      </c>
      <c r="P187" s="250">
        <f t="shared" si="166"/>
        <v>9.5637538404491025</v>
      </c>
      <c r="Q187" s="250">
        <f t="shared" si="166"/>
        <v>9.6292865752225012</v>
      </c>
      <c r="R187" s="250">
        <f t="shared" si="166"/>
        <v>9.6948193099958999</v>
      </c>
      <c r="S187" s="250">
        <f t="shared" si="166"/>
        <v>9.7603520447692986</v>
      </c>
      <c r="T187" s="250">
        <f t="shared" si="166"/>
        <v>9.8258847795426973</v>
      </c>
      <c r="U187" s="250">
        <f t="shared" si="166"/>
        <v>9.8914175143160961</v>
      </c>
      <c r="V187" s="250">
        <f t="shared" si="166"/>
        <v>9.9569502490894948</v>
      </c>
      <c r="W187" s="250">
        <f t="shared" si="166"/>
        <v>10.022482983862893</v>
      </c>
      <c r="X187" s="250">
        <f t="shared" si="166"/>
        <v>10.088015718636292</v>
      </c>
      <c r="Y187" s="250">
        <f t="shared" si="166"/>
        <v>10.153548453409691</v>
      </c>
      <c r="Z187" s="250">
        <f t="shared" si="166"/>
        <v>10.21908118818309</v>
      </c>
      <c r="AA187" s="250">
        <f t="shared" si="166"/>
        <v>10.284613922956488</v>
      </c>
      <c r="AB187" s="250">
        <f t="shared" si="166"/>
        <v>10.350146657729887</v>
      </c>
      <c r="AC187" s="250">
        <f t="shared" si="166"/>
        <v>10.415679392503286</v>
      </c>
      <c r="AD187" s="250">
        <f t="shared" si="166"/>
        <v>10.481212127276684</v>
      </c>
      <c r="AE187" s="250">
        <f t="shared" si="166"/>
        <v>10.546744862050083</v>
      </c>
      <c r="AF187" s="250">
        <f t="shared" si="166"/>
        <v>10.612277596823482</v>
      </c>
      <c r="AG187" s="250">
        <f t="shared" si="166"/>
        <v>10.677810331596881</v>
      </c>
      <c r="AH187" s="250">
        <f t="shared" si="166"/>
        <v>10.743343066370279</v>
      </c>
      <c r="AI187" s="250">
        <f t="shared" si="166"/>
        <v>10.808875801143678</v>
      </c>
      <c r="AJ187" s="250">
        <f t="shared" si="166"/>
        <v>10.874408535917077</v>
      </c>
      <c r="AK187" s="250"/>
      <c r="AL187" s="250"/>
      <c r="AM187" s="250"/>
      <c r="AN187" s="250"/>
      <c r="AO187" s="10"/>
      <c r="AP187" s="10"/>
    </row>
    <row r="188" spans="1:42">
      <c r="A188" s="199" t="s">
        <v>16</v>
      </c>
      <c r="B188" s="199" t="str">
        <f t="shared" si="167"/>
        <v>TPPRMOT</v>
      </c>
      <c r="C188" s="199" t="str">
        <f t="shared" si="167"/>
        <v>Motorbikes Priv.Veh. Vehicle km</v>
      </c>
      <c r="E188" s="10">
        <f t="shared" si="164"/>
        <v>3.1707811479382442</v>
      </c>
      <c r="F188" s="10">
        <f t="shared" si="164"/>
        <v>2.555032364268218</v>
      </c>
      <c r="G188" s="10">
        <f t="shared" si="164"/>
        <v>2.6774250409829849</v>
      </c>
      <c r="H188" s="10">
        <f t="shared" si="164"/>
        <v>2.7061381321349973</v>
      </c>
      <c r="I188" s="10">
        <f t="shared" si="164"/>
        <v>4.1653395270088289</v>
      </c>
      <c r="J188" s="10">
        <f t="shared" si="164"/>
        <v>6.0172709178750976</v>
      </c>
      <c r="K188" s="10">
        <f t="shared" si="164"/>
        <v>7.9124700008329016</v>
      </c>
      <c r="L188" s="267">
        <f t="shared" si="165"/>
        <v>3.1707811479382442</v>
      </c>
      <c r="M188" s="250">
        <f t="shared" si="166"/>
        <v>3.1858917247249221</v>
      </c>
      <c r="N188" s="250">
        <f t="shared" si="166"/>
        <v>3.2010023015116</v>
      </c>
      <c r="O188" s="250">
        <f t="shared" si="166"/>
        <v>3.216112878298278</v>
      </c>
      <c r="P188" s="250">
        <f t="shared" si="166"/>
        <v>3.2312234550849559</v>
      </c>
      <c r="Q188" s="250">
        <f t="shared" si="166"/>
        <v>3.2463340318716338</v>
      </c>
      <c r="R188" s="250">
        <f t="shared" si="166"/>
        <v>3.2614446086583118</v>
      </c>
      <c r="S188" s="250">
        <f t="shared" si="166"/>
        <v>3.2765551854449897</v>
      </c>
      <c r="T188" s="250">
        <f t="shared" si="166"/>
        <v>3.2916657622316676</v>
      </c>
      <c r="U188" s="250">
        <f t="shared" si="166"/>
        <v>3.3067763390183456</v>
      </c>
      <c r="V188" s="250">
        <f t="shared" si="166"/>
        <v>3.3218869158050235</v>
      </c>
      <c r="W188" s="250">
        <f t="shared" si="166"/>
        <v>3.3369974925917014</v>
      </c>
      <c r="X188" s="250">
        <f t="shared" si="166"/>
        <v>3.3521080693783794</v>
      </c>
      <c r="Y188" s="250">
        <f t="shared" si="166"/>
        <v>3.3672186461650573</v>
      </c>
      <c r="Z188" s="250">
        <f t="shared" si="166"/>
        <v>3.3823292229517352</v>
      </c>
      <c r="AA188" s="250">
        <f t="shared" si="166"/>
        <v>3.3974397997384131</v>
      </c>
      <c r="AB188" s="250">
        <f t="shared" si="166"/>
        <v>3.4125503765250911</v>
      </c>
      <c r="AC188" s="250">
        <f t="shared" si="166"/>
        <v>3.427660953311769</v>
      </c>
      <c r="AD188" s="250">
        <f t="shared" si="166"/>
        <v>3.4427715300984469</v>
      </c>
      <c r="AE188" s="250">
        <f t="shared" si="166"/>
        <v>3.4578821068851249</v>
      </c>
      <c r="AF188" s="250">
        <f t="shared" si="166"/>
        <v>3.4729926836718028</v>
      </c>
      <c r="AG188" s="250">
        <f t="shared" si="166"/>
        <v>3.4881032604584807</v>
      </c>
      <c r="AH188" s="250">
        <f t="shared" si="166"/>
        <v>3.5032138372451587</v>
      </c>
      <c r="AI188" s="250">
        <f t="shared" si="166"/>
        <v>3.5183244140318366</v>
      </c>
      <c r="AJ188" s="250">
        <f t="shared" si="166"/>
        <v>3.5334349908185145</v>
      </c>
      <c r="AK188" s="250"/>
      <c r="AL188" s="250"/>
      <c r="AM188" s="250"/>
      <c r="AN188" s="250"/>
      <c r="AO188" s="10"/>
      <c r="AP188" s="10"/>
    </row>
    <row r="189" spans="1:42">
      <c r="A189" s="199" t="s">
        <v>16</v>
      </c>
      <c r="B189" s="199" t="str">
        <f t="shared" si="167"/>
        <v>TPPUBUS</v>
      </c>
      <c r="C189" s="199" t="str">
        <f t="shared" si="167"/>
        <v>Bus vehicle km</v>
      </c>
      <c r="E189" s="10">
        <f t="shared" si="164"/>
        <v>0.61799148971758899</v>
      </c>
      <c r="F189" s="10">
        <f t="shared" si="164"/>
        <v>0.65</v>
      </c>
      <c r="G189" s="10">
        <f t="shared" si="164"/>
        <v>0.671544296289739</v>
      </c>
      <c r="H189" s="10">
        <f t="shared" si="164"/>
        <v>1.290863313922495</v>
      </c>
      <c r="I189" s="10">
        <f t="shared" si="164"/>
        <v>0.88913569533505887</v>
      </c>
      <c r="J189" s="10">
        <f t="shared" si="164"/>
        <v>0.92391795786241804</v>
      </c>
      <c r="K189" s="10">
        <f t="shared" si="164"/>
        <v>1.0103447111399277</v>
      </c>
      <c r="L189" s="267">
        <f t="shared" si="165"/>
        <v>0.61799148971758899</v>
      </c>
      <c r="M189" s="250">
        <f t="shared" si="166"/>
        <v>0.6820778211098385</v>
      </c>
      <c r="N189" s="250">
        <f t="shared" si="166"/>
        <v>0.74616415250208801</v>
      </c>
      <c r="O189" s="250">
        <f t="shared" si="166"/>
        <v>0.81025048389433751</v>
      </c>
      <c r="P189" s="250">
        <f t="shared" si="166"/>
        <v>0.87433681528658702</v>
      </c>
      <c r="Q189" s="250">
        <f t="shared" si="166"/>
        <v>0.93842314667883653</v>
      </c>
      <c r="R189" s="250">
        <f t="shared" si="166"/>
        <v>1.0025094780710859</v>
      </c>
      <c r="S189" s="250">
        <f t="shared" si="166"/>
        <v>1.0665958094633354</v>
      </c>
      <c r="T189" s="250">
        <f t="shared" si="166"/>
        <v>1.1306821408555849</v>
      </c>
      <c r="U189" s="250">
        <f t="shared" si="166"/>
        <v>1.1947684722478344</v>
      </c>
      <c r="V189" s="250">
        <f t="shared" si="166"/>
        <v>1.258854803640084</v>
      </c>
      <c r="W189" s="250">
        <f t="shared" si="166"/>
        <v>1.3229411350323335</v>
      </c>
      <c r="X189" s="250">
        <f t="shared" si="166"/>
        <v>1.387027466424583</v>
      </c>
      <c r="Y189" s="250">
        <f t="shared" si="166"/>
        <v>1.4511137978168325</v>
      </c>
      <c r="Z189" s="250">
        <f t="shared" si="166"/>
        <v>1.515200129209082</v>
      </c>
      <c r="AA189" s="250">
        <f t="shared" si="166"/>
        <v>1.5792864606013315</v>
      </c>
      <c r="AB189" s="250">
        <f t="shared" si="166"/>
        <v>1.643372791993581</v>
      </c>
      <c r="AC189" s="250">
        <f t="shared" si="166"/>
        <v>1.7074591233858305</v>
      </c>
      <c r="AD189" s="250">
        <f t="shared" si="166"/>
        <v>1.77154545477808</v>
      </c>
      <c r="AE189" s="250">
        <f t="shared" si="166"/>
        <v>1.8356317861703295</v>
      </c>
      <c r="AF189" s="250">
        <f t="shared" si="166"/>
        <v>1.899718117562579</v>
      </c>
      <c r="AG189" s="250">
        <f t="shared" si="166"/>
        <v>1.9638044489548285</v>
      </c>
      <c r="AH189" s="250">
        <f t="shared" si="166"/>
        <v>2.0278907803470778</v>
      </c>
      <c r="AI189" s="250">
        <f t="shared" si="166"/>
        <v>2.0919771117393271</v>
      </c>
      <c r="AJ189" s="250">
        <f t="shared" si="166"/>
        <v>2.1560634431315764</v>
      </c>
      <c r="AK189" s="250"/>
      <c r="AL189" s="250"/>
      <c r="AM189" s="250"/>
      <c r="AN189" s="250"/>
      <c r="AO189" s="10"/>
      <c r="AP189" s="10"/>
    </row>
    <row r="190" spans="1:42">
      <c r="A190" s="199" t="s">
        <v>16</v>
      </c>
      <c r="B190" s="199" t="str">
        <f t="shared" si="167"/>
        <v>TPPUMBT</v>
      </c>
      <c r="C190" s="199" t="str">
        <f t="shared" si="167"/>
        <v>Minibus vehicle km</v>
      </c>
      <c r="E190" s="10">
        <f t="shared" si="164"/>
        <v>5.9229022903283326</v>
      </c>
      <c r="F190" s="10">
        <f t="shared" si="164"/>
        <v>6.9</v>
      </c>
      <c r="G190" s="10">
        <f t="shared" si="164"/>
        <v>7.1425530000000004</v>
      </c>
      <c r="H190" s="10">
        <f t="shared" si="164"/>
        <v>7.2682412645555159</v>
      </c>
      <c r="I190" s="10">
        <f t="shared" si="164"/>
        <v>8.4000150753782723</v>
      </c>
      <c r="J190" s="10">
        <f t="shared" si="164"/>
        <v>8.7286168075081232</v>
      </c>
      <c r="K190" s="10">
        <f t="shared" si="164"/>
        <v>9.5451243825116254</v>
      </c>
      <c r="L190" s="267">
        <f t="shared" si="165"/>
        <v>5.9229022903283326</v>
      </c>
      <c r="M190" s="250">
        <f t="shared" si="166"/>
        <v>5.9597264167838837</v>
      </c>
      <c r="N190" s="250">
        <f t="shared" si="166"/>
        <v>5.9965505432394348</v>
      </c>
      <c r="O190" s="250">
        <f t="shared" si="166"/>
        <v>6.0333746696949859</v>
      </c>
      <c r="P190" s="250">
        <f t="shared" si="166"/>
        <v>6.070198796150537</v>
      </c>
      <c r="Q190" s="250">
        <f t="shared" si="166"/>
        <v>6.1070229226060881</v>
      </c>
      <c r="R190" s="250">
        <f t="shared" si="166"/>
        <v>6.1438470490616393</v>
      </c>
      <c r="S190" s="250">
        <f t="shared" si="166"/>
        <v>6.1806711755171904</v>
      </c>
      <c r="T190" s="250">
        <f t="shared" si="166"/>
        <v>6.2174953019727415</v>
      </c>
      <c r="U190" s="250">
        <f t="shared" si="166"/>
        <v>6.2543194284282926</v>
      </c>
      <c r="V190" s="250">
        <f t="shared" si="166"/>
        <v>6.2911435548838437</v>
      </c>
      <c r="W190" s="250">
        <f t="shared" si="166"/>
        <v>6.3279676813393948</v>
      </c>
      <c r="X190" s="250">
        <f t="shared" si="166"/>
        <v>6.3647918077949459</v>
      </c>
      <c r="Y190" s="250">
        <f t="shared" si="166"/>
        <v>6.401615934250497</v>
      </c>
      <c r="Z190" s="250">
        <f t="shared" si="166"/>
        <v>6.4384400607060481</v>
      </c>
      <c r="AA190" s="250">
        <f t="shared" si="166"/>
        <v>6.4752641871615992</v>
      </c>
      <c r="AB190" s="250">
        <f t="shared" si="166"/>
        <v>6.5120883136171503</v>
      </c>
      <c r="AC190" s="250">
        <f t="shared" si="166"/>
        <v>6.5489124400727015</v>
      </c>
      <c r="AD190" s="250">
        <f t="shared" si="166"/>
        <v>6.5857365665282526</v>
      </c>
      <c r="AE190" s="250">
        <f t="shared" si="166"/>
        <v>6.6225606929838037</v>
      </c>
      <c r="AF190" s="250">
        <f t="shared" si="166"/>
        <v>6.6593848194393548</v>
      </c>
      <c r="AG190" s="250">
        <f t="shared" si="166"/>
        <v>6.6962089458949059</v>
      </c>
      <c r="AH190" s="250">
        <f t="shared" si="166"/>
        <v>6.733033072350457</v>
      </c>
      <c r="AI190" s="250">
        <f t="shared" si="166"/>
        <v>6.7698571988060081</v>
      </c>
      <c r="AJ190" s="250">
        <f t="shared" si="166"/>
        <v>6.8066813252615592</v>
      </c>
      <c r="AK190" s="250"/>
      <c r="AL190" s="250"/>
      <c r="AM190" s="250"/>
      <c r="AN190" s="250"/>
      <c r="AO190" s="10"/>
      <c r="AP190" s="10"/>
    </row>
    <row r="191" spans="1:42">
      <c r="A191" s="199" t="s">
        <v>16</v>
      </c>
      <c r="B191" s="199" t="str">
        <f t="shared" si="167"/>
        <v>TPPUBRT</v>
      </c>
      <c r="C191" s="199" t="str">
        <f t="shared" si="167"/>
        <v>BRT vehicle km</v>
      </c>
      <c r="E191" s="10">
        <f t="shared" si="164"/>
        <v>2.1250110068687458E-2</v>
      </c>
      <c r="F191" s="10">
        <f t="shared" si="164"/>
        <v>2.2779236378945623E-2</v>
      </c>
      <c r="G191" s="10">
        <f t="shared" si="164"/>
        <v>2.3885871882192072E-2</v>
      </c>
      <c r="H191" s="10">
        <f t="shared" si="164"/>
        <v>0.22722938399699999</v>
      </c>
      <c r="I191" s="10">
        <f t="shared" si="164"/>
        <v>0.61484542994009928</v>
      </c>
      <c r="J191" s="10">
        <f t="shared" si="164"/>
        <v>1.1923973802591366</v>
      </c>
      <c r="K191" s="10">
        <f t="shared" si="164"/>
        <v>1.7697565369732444</v>
      </c>
      <c r="L191" s="267">
        <f t="shared" si="165"/>
        <v>2.1250110068687458E-2</v>
      </c>
      <c r="M191" s="250">
        <f t="shared" si="166"/>
        <v>4.1695124830492897E-2</v>
      </c>
      <c r="N191" s="250">
        <f t="shared" si="166"/>
        <v>6.2140139592298332E-2</v>
      </c>
      <c r="O191" s="250">
        <f t="shared" si="166"/>
        <v>8.2585154354103768E-2</v>
      </c>
      <c r="P191" s="250">
        <f t="shared" si="166"/>
        <v>0.1030301691159092</v>
      </c>
      <c r="Q191" s="250">
        <f t="shared" si="166"/>
        <v>0.12347518387771464</v>
      </c>
      <c r="R191" s="250">
        <f t="shared" si="166"/>
        <v>0.14392019863952007</v>
      </c>
      <c r="S191" s="250">
        <f t="shared" si="166"/>
        <v>0.16436521340132551</v>
      </c>
      <c r="T191" s="250">
        <f t="shared" si="166"/>
        <v>0.18481022816313095</v>
      </c>
      <c r="U191" s="250">
        <f t="shared" si="166"/>
        <v>0.20525524292493638</v>
      </c>
      <c r="V191" s="250">
        <f t="shared" si="166"/>
        <v>0.22570025768674182</v>
      </c>
      <c r="W191" s="250">
        <f t="shared" si="166"/>
        <v>0.24614527244854725</v>
      </c>
      <c r="X191" s="250">
        <f t="shared" si="166"/>
        <v>0.26659028721035272</v>
      </c>
      <c r="Y191" s="250">
        <f t="shared" si="166"/>
        <v>0.28703530197215815</v>
      </c>
      <c r="Z191" s="250">
        <f t="shared" si="166"/>
        <v>0.30748031673396359</v>
      </c>
      <c r="AA191" s="250">
        <f t="shared" si="166"/>
        <v>0.32792533149576902</v>
      </c>
      <c r="AB191" s="250">
        <f t="shared" si="166"/>
        <v>0.34837034625757446</v>
      </c>
      <c r="AC191" s="250">
        <f t="shared" si="166"/>
        <v>0.36881536101937989</v>
      </c>
      <c r="AD191" s="250">
        <f t="shared" si="166"/>
        <v>0.38926037578118533</v>
      </c>
      <c r="AE191" s="250">
        <f t="shared" si="166"/>
        <v>0.40970539054299077</v>
      </c>
      <c r="AF191" s="250">
        <f t="shared" si="166"/>
        <v>0.4301504053047962</v>
      </c>
      <c r="AG191" s="250">
        <f t="shared" si="166"/>
        <v>0.45059542006660164</v>
      </c>
      <c r="AH191" s="250">
        <f t="shared" si="166"/>
        <v>0.47104043482840707</v>
      </c>
      <c r="AI191" s="250">
        <f t="shared" si="166"/>
        <v>0.49148544959021251</v>
      </c>
      <c r="AJ191" s="250">
        <f t="shared" si="166"/>
        <v>0.51193046435201794</v>
      </c>
      <c r="AK191" s="250"/>
      <c r="AL191" s="250"/>
      <c r="AM191" s="250"/>
      <c r="AN191" s="250"/>
      <c r="AO191" s="10"/>
      <c r="AP191" s="10"/>
    </row>
    <row r="192" spans="1:42">
      <c r="A192" s="199" t="s">
        <v>16</v>
      </c>
      <c r="B192" s="199" t="str">
        <f t="shared" si="167"/>
        <v>TPPUMER</v>
      </c>
      <c r="C192" s="199" t="str">
        <f t="shared" si="167"/>
        <v>Metro Rail pkm</v>
      </c>
      <c r="E192" s="10">
        <f t="shared" si="164"/>
        <v>14.401941649299841</v>
      </c>
      <c r="F192" s="10">
        <f t="shared" si="164"/>
        <v>12.148269090185179</v>
      </c>
      <c r="G192" s="10">
        <f t="shared" si="164"/>
        <v>9.7242655388973933</v>
      </c>
      <c r="H192" s="10">
        <f t="shared" si="164"/>
        <v>9.9332548636701663</v>
      </c>
      <c r="I192" s="10">
        <f t="shared" si="164"/>
        <v>10.363236989547131</v>
      </c>
      <c r="J192" s="10">
        <f t="shared" si="164"/>
        <v>10.768638360220741</v>
      </c>
      <c r="K192" s="10">
        <f t="shared" si="164"/>
        <v>11.775977207543068</v>
      </c>
      <c r="L192" s="267">
        <f t="shared" si="165"/>
        <v>14.401941649299841</v>
      </c>
      <c r="M192" s="250">
        <f t="shared" si="166"/>
        <v>14.18044022664834</v>
      </c>
      <c r="N192" s="250">
        <f t="shared" si="166"/>
        <v>13.958938803996839</v>
      </c>
      <c r="O192" s="250">
        <f t="shared" si="166"/>
        <v>13.737437381345337</v>
      </c>
      <c r="P192" s="250">
        <f t="shared" si="166"/>
        <v>13.515935958693836</v>
      </c>
      <c r="Q192" s="250">
        <f t="shared" si="166"/>
        <v>13.294434536042335</v>
      </c>
      <c r="R192" s="250">
        <f t="shared" si="166"/>
        <v>13.072933113390834</v>
      </c>
      <c r="S192" s="250">
        <f t="shared" si="166"/>
        <v>12.851431690739332</v>
      </c>
      <c r="T192" s="250">
        <f t="shared" si="166"/>
        <v>12.629930268087831</v>
      </c>
      <c r="U192" s="250">
        <f t="shared" si="166"/>
        <v>12.40842884543633</v>
      </c>
      <c r="V192" s="250">
        <f t="shared" si="166"/>
        <v>12.186927422784828</v>
      </c>
      <c r="W192" s="250">
        <f t="shared" si="166"/>
        <v>11.965426000133327</v>
      </c>
      <c r="X192" s="250">
        <f t="shared" si="166"/>
        <v>11.743924577481826</v>
      </c>
      <c r="Y192" s="250">
        <f t="shared" si="166"/>
        <v>11.522423154830324</v>
      </c>
      <c r="Z192" s="250">
        <f t="shared" si="166"/>
        <v>11.300921732178823</v>
      </c>
      <c r="AA192" s="250">
        <f t="shared" si="166"/>
        <v>11.079420309527322</v>
      </c>
      <c r="AB192" s="250">
        <f t="shared" si="166"/>
        <v>10.857918886875821</v>
      </c>
      <c r="AC192" s="250">
        <f t="shared" si="166"/>
        <v>10.636417464224319</v>
      </c>
      <c r="AD192" s="250">
        <f t="shared" si="166"/>
        <v>10.414916041572818</v>
      </c>
      <c r="AE192" s="250">
        <f t="shared" si="166"/>
        <v>10.193414618921317</v>
      </c>
      <c r="AF192" s="250">
        <f t="shared" si="166"/>
        <v>9.9719131962698153</v>
      </c>
      <c r="AG192" s="250">
        <f t="shared" si="166"/>
        <v>9.750411773618314</v>
      </c>
      <c r="AH192" s="250">
        <f t="shared" si="166"/>
        <v>9.5289103509668127</v>
      </c>
      <c r="AI192" s="250">
        <f t="shared" si="166"/>
        <v>9.3074089283153114</v>
      </c>
      <c r="AJ192" s="250">
        <f t="shared" si="166"/>
        <v>9.0859075056638101</v>
      </c>
      <c r="AK192" s="250"/>
      <c r="AL192" s="250"/>
      <c r="AM192" s="250"/>
      <c r="AN192" s="250"/>
      <c r="AO192" s="10"/>
      <c r="AP192" s="10"/>
    </row>
    <row r="193" spans="1:61">
      <c r="A193" s="199" t="s">
        <v>16</v>
      </c>
      <c r="B193" s="199" t="str">
        <f t="shared" si="167"/>
        <v>TPPUGAT</v>
      </c>
      <c r="C193" s="199" t="str">
        <f t="shared" si="167"/>
        <v>Gautrain pkm</v>
      </c>
      <c r="E193" s="10">
        <f t="shared" si="164"/>
        <v>0.53452578037785492</v>
      </c>
      <c r="F193" s="10">
        <f t="shared" si="164"/>
        <v>0.58840536503250629</v>
      </c>
      <c r="G193" s="10">
        <f t="shared" si="164"/>
        <v>0.62462624083765128</v>
      </c>
      <c r="H193" s="10">
        <f t="shared" si="164"/>
        <v>0.62821600822404911</v>
      </c>
      <c r="I193" s="10">
        <f t="shared" si="164"/>
        <v>1.0060619451137058</v>
      </c>
      <c r="J193" s="10">
        <f t="shared" si="164"/>
        <v>1.4766790125020326</v>
      </c>
      <c r="K193" s="10">
        <f t="shared" si="164"/>
        <v>1.9789641389984713</v>
      </c>
      <c r="L193" s="267">
        <f t="shared" si="165"/>
        <v>0.53452578037785492</v>
      </c>
      <c r="M193" s="250">
        <f t="shared" si="166"/>
        <v>0.53850684469700916</v>
      </c>
      <c r="N193" s="250">
        <f t="shared" si="166"/>
        <v>0.54248790901616339</v>
      </c>
      <c r="O193" s="250">
        <f t="shared" si="166"/>
        <v>0.54646897333531763</v>
      </c>
      <c r="P193" s="250">
        <f t="shared" si="166"/>
        <v>0.55045003765447187</v>
      </c>
      <c r="Q193" s="250">
        <f t="shared" si="166"/>
        <v>0.55443110197362611</v>
      </c>
      <c r="R193" s="250">
        <f t="shared" si="166"/>
        <v>0.55841216629278034</v>
      </c>
      <c r="S193" s="250">
        <f t="shared" si="166"/>
        <v>0.56239323061193458</v>
      </c>
      <c r="T193" s="250">
        <f t="shared" si="166"/>
        <v>0.56637429493108882</v>
      </c>
      <c r="U193" s="250">
        <f t="shared" si="166"/>
        <v>0.57035535925024305</v>
      </c>
      <c r="V193" s="250">
        <f t="shared" si="166"/>
        <v>0.57433642356939729</v>
      </c>
      <c r="W193" s="250">
        <f t="shared" si="166"/>
        <v>0.57831748788855153</v>
      </c>
      <c r="X193" s="250">
        <f t="shared" si="166"/>
        <v>0.58229855220770577</v>
      </c>
      <c r="Y193" s="250">
        <f t="shared" si="166"/>
        <v>0.58627961652686</v>
      </c>
      <c r="Z193" s="250">
        <f t="shared" si="166"/>
        <v>0.59026068084601424</v>
      </c>
      <c r="AA193" s="250">
        <f t="shared" si="166"/>
        <v>0.59424174516516848</v>
      </c>
      <c r="AB193" s="250">
        <f t="shared" si="166"/>
        <v>0.59822280948432272</v>
      </c>
      <c r="AC193" s="250">
        <f t="shared" si="166"/>
        <v>0.60220387380347695</v>
      </c>
      <c r="AD193" s="250">
        <f t="shared" si="166"/>
        <v>0.60618493812263119</v>
      </c>
      <c r="AE193" s="250">
        <f t="shared" si="166"/>
        <v>0.61016600244178543</v>
      </c>
      <c r="AF193" s="250">
        <f t="shared" si="166"/>
        <v>0.61414706676093966</v>
      </c>
      <c r="AG193" s="250">
        <f t="shared" si="166"/>
        <v>0.6181281310800939</v>
      </c>
      <c r="AH193" s="250">
        <f t="shared" si="166"/>
        <v>0.62210919539924814</v>
      </c>
      <c r="AI193" s="250">
        <f t="shared" si="166"/>
        <v>0.62609025971840238</v>
      </c>
      <c r="AJ193" s="250">
        <f t="shared" si="166"/>
        <v>0.63007132403755661</v>
      </c>
      <c r="AK193" s="250"/>
      <c r="AL193" s="250"/>
      <c r="AM193" s="250"/>
      <c r="AN193" s="250"/>
      <c r="AO193" s="10"/>
      <c r="AP193" s="10"/>
    </row>
    <row r="194" spans="1:61">
      <c r="E194" s="10"/>
      <c r="F194" s="10"/>
      <c r="G194" s="10"/>
      <c r="H194" s="10"/>
      <c r="I194" s="10"/>
      <c r="J194" s="10"/>
      <c r="K194" s="10"/>
      <c r="L194" s="267"/>
      <c r="M194" s="250"/>
      <c r="N194" s="250"/>
      <c r="O194" s="250"/>
      <c r="P194" s="250"/>
      <c r="Q194" s="250"/>
      <c r="R194" s="250"/>
      <c r="S194" s="250"/>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10"/>
      <c r="AP194" s="10"/>
    </row>
    <row r="195" spans="1:61" ht="23.25">
      <c r="A195" s="199" t="s">
        <v>16</v>
      </c>
      <c r="B195" s="16" t="s">
        <v>18</v>
      </c>
      <c r="C195" s="16" t="s">
        <v>19</v>
      </c>
      <c r="D195" s="16" t="s">
        <v>20</v>
      </c>
      <c r="E195" s="16" t="s">
        <v>21</v>
      </c>
      <c r="F195" s="16"/>
      <c r="G195" s="16" t="s">
        <v>22</v>
      </c>
      <c r="H195" s="16" t="s">
        <v>23</v>
      </c>
      <c r="I195" s="16" t="s">
        <v>24</v>
      </c>
      <c r="J195" s="17" t="s">
        <v>25</v>
      </c>
      <c r="K195" s="18">
        <v>2012</v>
      </c>
      <c r="L195" s="18">
        <f t="shared" ref="L195:AM195" si="168">1+K195</f>
        <v>2013</v>
      </c>
      <c r="M195" s="18">
        <f t="shared" si="168"/>
        <v>2014</v>
      </c>
      <c r="N195" s="18">
        <f>1+M195</f>
        <v>2015</v>
      </c>
      <c r="O195" s="18">
        <f t="shared" si="168"/>
        <v>2016</v>
      </c>
      <c r="P195" s="18">
        <f t="shared" si="168"/>
        <v>2017</v>
      </c>
      <c r="Q195" s="18">
        <f t="shared" si="168"/>
        <v>2018</v>
      </c>
      <c r="R195" s="18">
        <f t="shared" si="168"/>
        <v>2019</v>
      </c>
      <c r="S195" s="18">
        <f t="shared" si="168"/>
        <v>2020</v>
      </c>
      <c r="T195" s="18">
        <f t="shared" si="168"/>
        <v>2021</v>
      </c>
      <c r="U195" s="18">
        <f t="shared" si="168"/>
        <v>2022</v>
      </c>
      <c r="V195" s="18">
        <f t="shared" si="168"/>
        <v>2023</v>
      </c>
      <c r="W195" s="18">
        <f t="shared" si="168"/>
        <v>2024</v>
      </c>
      <c r="X195" s="18">
        <f t="shared" si="168"/>
        <v>2025</v>
      </c>
      <c r="Y195" s="18">
        <f t="shared" si="168"/>
        <v>2026</v>
      </c>
      <c r="Z195" s="18">
        <f t="shared" si="168"/>
        <v>2027</v>
      </c>
      <c r="AA195" s="18">
        <f t="shared" si="168"/>
        <v>2028</v>
      </c>
      <c r="AB195" s="18">
        <f t="shared" si="168"/>
        <v>2029</v>
      </c>
      <c r="AC195" s="18">
        <f t="shared" si="168"/>
        <v>2030</v>
      </c>
      <c r="AD195" s="18">
        <f t="shared" si="168"/>
        <v>2031</v>
      </c>
      <c r="AE195" s="18">
        <f t="shared" si="168"/>
        <v>2032</v>
      </c>
      <c r="AF195" s="18">
        <f t="shared" si="168"/>
        <v>2033</v>
      </c>
      <c r="AG195" s="18">
        <f t="shared" si="168"/>
        <v>2034</v>
      </c>
      <c r="AH195" s="18">
        <f t="shared" si="168"/>
        <v>2035</v>
      </c>
      <c r="AI195" s="18">
        <f t="shared" si="168"/>
        <v>2036</v>
      </c>
      <c r="AJ195" s="18">
        <f t="shared" si="168"/>
        <v>2037</v>
      </c>
      <c r="AK195" s="18">
        <f t="shared" si="168"/>
        <v>2038</v>
      </c>
      <c r="AL195" s="18">
        <f t="shared" si="168"/>
        <v>2039</v>
      </c>
      <c r="AM195" s="18">
        <f t="shared" si="168"/>
        <v>2040</v>
      </c>
      <c r="AN195" s="18">
        <v>2045</v>
      </c>
      <c r="AO195" s="18">
        <v>2050</v>
      </c>
      <c r="AP195" s="18">
        <v>2060</v>
      </c>
      <c r="AQ195" s="18">
        <v>2070</v>
      </c>
      <c r="AS195" s="18"/>
      <c r="AT195" s="18"/>
      <c r="AW195" s="18"/>
      <c r="AX195" s="18"/>
      <c r="BH195" s="18">
        <v>2012</v>
      </c>
      <c r="BI195" s="18"/>
    </row>
    <row r="196" spans="1:61" s="205" customFormat="1">
      <c r="A196" s="124" t="s">
        <v>16</v>
      </c>
      <c r="B196" s="205" t="s">
        <v>392</v>
      </c>
      <c r="C196" s="205">
        <v>1</v>
      </c>
      <c r="D196" s="205">
        <v>2012</v>
      </c>
      <c r="E196" s="205">
        <v>2015</v>
      </c>
      <c r="F196" s="205">
        <v>2017</v>
      </c>
      <c r="G196" s="205">
        <v>2020</v>
      </c>
      <c r="H196" s="205">
        <v>2030</v>
      </c>
      <c r="I196" s="205">
        <v>2040</v>
      </c>
      <c r="J196" s="254">
        <v>2050</v>
      </c>
      <c r="K196" s="124">
        <f t="shared" ref="K196:AO196" si="169">MATCH(J$209,$E$185:$K$185,$C196)</f>
        <v>1</v>
      </c>
      <c r="L196" s="124">
        <f t="shared" si="169"/>
        <v>1</v>
      </c>
      <c r="M196" s="124">
        <f t="shared" si="169"/>
        <v>1</v>
      </c>
      <c r="N196" s="124">
        <f t="shared" si="169"/>
        <v>2</v>
      </c>
      <c r="O196" s="124">
        <f t="shared" si="169"/>
        <v>2</v>
      </c>
      <c r="P196" s="124">
        <f t="shared" si="169"/>
        <v>3</v>
      </c>
      <c r="Q196" s="124">
        <f t="shared" si="169"/>
        <v>3</v>
      </c>
      <c r="R196" s="124">
        <f t="shared" si="169"/>
        <v>3</v>
      </c>
      <c r="S196" s="124">
        <f t="shared" si="169"/>
        <v>4</v>
      </c>
      <c r="T196" s="124">
        <f t="shared" si="169"/>
        <v>4</v>
      </c>
      <c r="U196" s="124">
        <f t="shared" si="169"/>
        <v>4</v>
      </c>
      <c r="V196" s="124">
        <f t="shared" si="169"/>
        <v>4</v>
      </c>
      <c r="W196" s="124">
        <f t="shared" si="169"/>
        <v>4</v>
      </c>
      <c r="X196" s="124">
        <f t="shared" si="169"/>
        <v>4</v>
      </c>
      <c r="Y196" s="124">
        <f t="shared" si="169"/>
        <v>4</v>
      </c>
      <c r="Z196" s="124">
        <f t="shared" si="169"/>
        <v>4</v>
      </c>
      <c r="AA196" s="124">
        <f t="shared" si="169"/>
        <v>4</v>
      </c>
      <c r="AB196" s="124">
        <f t="shared" si="169"/>
        <v>4</v>
      </c>
      <c r="AC196" s="124">
        <f t="shared" si="169"/>
        <v>5</v>
      </c>
      <c r="AD196" s="124">
        <f t="shared" si="169"/>
        <v>5</v>
      </c>
      <c r="AE196" s="124">
        <f t="shared" si="169"/>
        <v>5</v>
      </c>
      <c r="AF196" s="124">
        <f t="shared" si="169"/>
        <v>5</v>
      </c>
      <c r="AG196" s="124">
        <f t="shared" si="169"/>
        <v>5</v>
      </c>
      <c r="AH196" s="124">
        <f t="shared" si="169"/>
        <v>5</v>
      </c>
      <c r="AI196" s="124">
        <f t="shared" si="169"/>
        <v>5</v>
      </c>
      <c r="AJ196" s="124">
        <f t="shared" si="169"/>
        <v>5</v>
      </c>
      <c r="AK196" s="124">
        <f t="shared" si="169"/>
        <v>5</v>
      </c>
      <c r="AL196" s="124">
        <f t="shared" si="169"/>
        <v>5</v>
      </c>
      <c r="AM196" s="124">
        <f t="shared" si="169"/>
        <v>6</v>
      </c>
      <c r="AN196" s="124">
        <f t="shared" si="169"/>
        <v>6</v>
      </c>
      <c r="AO196" s="124">
        <f t="shared" si="169"/>
        <v>7</v>
      </c>
      <c r="AP196" s="205">
        <f>MATCH(AO$209,$C$210:$I$210,$C196)</f>
        <v>7</v>
      </c>
      <c r="AQ196" s="205">
        <f>MATCH(AP$209,$C$210:$I$210,$C196)</f>
        <v>7</v>
      </c>
      <c r="BH196" s="124">
        <f>MATCH(BG$209,$C$210:$I$210,$C196)</f>
        <v>1</v>
      </c>
    </row>
    <row r="197" spans="1:61">
      <c r="A197" s="41" t="s">
        <v>16</v>
      </c>
      <c r="B197" s="199" t="s">
        <v>393</v>
      </c>
      <c r="C197" s="199">
        <v>0</v>
      </c>
      <c r="D197" s="199">
        <f t="shared" ref="D197:J197" si="170">INDEX($D196:$J196,0,COUNT($D196:$J196)-D198)</f>
        <v>2050</v>
      </c>
      <c r="E197" s="199">
        <f t="shared" si="170"/>
        <v>2040</v>
      </c>
      <c r="F197" s="199">
        <f t="shared" si="170"/>
        <v>2030</v>
      </c>
      <c r="G197" s="199">
        <f t="shared" si="170"/>
        <v>2020</v>
      </c>
      <c r="H197" s="199">
        <f t="shared" si="170"/>
        <v>2017</v>
      </c>
      <c r="I197" s="199">
        <f t="shared" si="170"/>
        <v>2015</v>
      </c>
      <c r="J197" s="131">
        <f t="shared" si="170"/>
        <v>2012</v>
      </c>
      <c r="K197" s="41">
        <f t="shared" ref="K197:AO197" si="171">MATCH(J$209,$E$185:$K$185,$C197)</f>
        <v>1</v>
      </c>
      <c r="L197" s="41" t="e">
        <f t="shared" si="171"/>
        <v>#N/A</v>
      </c>
      <c r="M197" s="41" t="e">
        <f t="shared" si="171"/>
        <v>#N/A</v>
      </c>
      <c r="N197" s="41">
        <f t="shared" si="171"/>
        <v>2</v>
      </c>
      <c r="O197" s="41" t="e">
        <f t="shared" si="171"/>
        <v>#N/A</v>
      </c>
      <c r="P197" s="41">
        <f t="shared" si="171"/>
        <v>3</v>
      </c>
      <c r="Q197" s="41" t="e">
        <f t="shared" si="171"/>
        <v>#N/A</v>
      </c>
      <c r="R197" s="41" t="e">
        <f t="shared" si="171"/>
        <v>#N/A</v>
      </c>
      <c r="S197" s="41">
        <f t="shared" si="171"/>
        <v>4</v>
      </c>
      <c r="T197" s="41" t="e">
        <f t="shared" si="171"/>
        <v>#N/A</v>
      </c>
      <c r="U197" s="41" t="e">
        <f t="shared" si="171"/>
        <v>#N/A</v>
      </c>
      <c r="V197" s="41" t="e">
        <f t="shared" si="171"/>
        <v>#N/A</v>
      </c>
      <c r="W197" s="41" t="e">
        <f t="shared" si="171"/>
        <v>#N/A</v>
      </c>
      <c r="X197" s="41" t="e">
        <f t="shared" si="171"/>
        <v>#N/A</v>
      </c>
      <c r="Y197" s="41" t="e">
        <f t="shared" si="171"/>
        <v>#N/A</v>
      </c>
      <c r="Z197" s="41" t="e">
        <f t="shared" si="171"/>
        <v>#N/A</v>
      </c>
      <c r="AA197" s="41" t="e">
        <f t="shared" si="171"/>
        <v>#N/A</v>
      </c>
      <c r="AB197" s="41" t="e">
        <f t="shared" si="171"/>
        <v>#N/A</v>
      </c>
      <c r="AC197" s="41">
        <f t="shared" si="171"/>
        <v>5</v>
      </c>
      <c r="AD197" s="41" t="e">
        <f t="shared" si="171"/>
        <v>#N/A</v>
      </c>
      <c r="AE197" s="41" t="e">
        <f t="shared" si="171"/>
        <v>#N/A</v>
      </c>
      <c r="AF197" s="41" t="e">
        <f t="shared" si="171"/>
        <v>#N/A</v>
      </c>
      <c r="AG197" s="41" t="e">
        <f t="shared" si="171"/>
        <v>#N/A</v>
      </c>
      <c r="AH197" s="41" t="e">
        <f t="shared" si="171"/>
        <v>#N/A</v>
      </c>
      <c r="AI197" s="41" t="e">
        <f t="shared" si="171"/>
        <v>#N/A</v>
      </c>
      <c r="AJ197" s="41" t="e">
        <f t="shared" si="171"/>
        <v>#N/A</v>
      </c>
      <c r="AK197" s="41" t="e">
        <f t="shared" si="171"/>
        <v>#N/A</v>
      </c>
      <c r="AL197" s="41" t="e">
        <f t="shared" si="171"/>
        <v>#N/A</v>
      </c>
      <c r="AM197" s="41">
        <f t="shared" si="171"/>
        <v>6</v>
      </c>
      <c r="AN197" s="41" t="e">
        <f t="shared" si="171"/>
        <v>#N/A</v>
      </c>
      <c r="AO197" s="41">
        <f t="shared" si="171"/>
        <v>7</v>
      </c>
      <c r="AP197" s="199" t="e">
        <f>MATCH(AO$209,$C$210:$I$210,$C197)</f>
        <v>#N/A</v>
      </c>
      <c r="AQ197" s="199" t="e">
        <f>MATCH(AP$209,$C$210:$I$210,$C197)</f>
        <v>#N/A</v>
      </c>
      <c r="BH197" s="41">
        <f>MATCH(BG$209,$C$210:$I$210,$C197)</f>
        <v>1</v>
      </c>
    </row>
    <row r="198" spans="1:61">
      <c r="A198" s="41" t="s">
        <v>16</v>
      </c>
      <c r="B198" s="199" t="s">
        <v>391</v>
      </c>
      <c r="C198" s="199">
        <v>-1</v>
      </c>
      <c r="D198" s="199">
        <v>0</v>
      </c>
      <c r="E198" s="199">
        <v>1</v>
      </c>
      <c r="F198" s="202">
        <v>2</v>
      </c>
      <c r="G198" s="199">
        <v>3</v>
      </c>
      <c r="H198" s="199">
        <v>4</v>
      </c>
      <c r="I198" s="199">
        <v>5</v>
      </c>
      <c r="J198" s="199">
        <v>6</v>
      </c>
      <c r="K198" s="199">
        <f>MATCH(J$209,$C$211:$I$211,$C198)</f>
        <v>7</v>
      </c>
      <c r="L198" s="199">
        <f>MATCH(K$209,$D$197:$J$197,$C198)</f>
        <v>6</v>
      </c>
      <c r="M198" s="199">
        <f t="shared" ref="M198:AQ198" si="172">MATCH(L$209,$C$211:$I$211,$C198)</f>
        <v>6</v>
      </c>
      <c r="N198" s="199">
        <f t="shared" si="172"/>
        <v>6</v>
      </c>
      <c r="O198" s="199">
        <f t="shared" si="172"/>
        <v>5</v>
      </c>
      <c r="P198" s="199">
        <f t="shared" si="172"/>
        <v>5</v>
      </c>
      <c r="Q198" s="199">
        <f t="shared" si="172"/>
        <v>4</v>
      </c>
      <c r="R198" s="199">
        <f t="shared" si="172"/>
        <v>4</v>
      </c>
      <c r="S198" s="199">
        <f t="shared" si="172"/>
        <v>4</v>
      </c>
      <c r="T198" s="199">
        <f t="shared" si="172"/>
        <v>3</v>
      </c>
      <c r="U198" s="199">
        <f t="shared" si="172"/>
        <v>3</v>
      </c>
      <c r="V198" s="199">
        <f t="shared" si="172"/>
        <v>3</v>
      </c>
      <c r="W198" s="199">
        <f t="shared" si="172"/>
        <v>3</v>
      </c>
      <c r="X198" s="199">
        <f t="shared" si="172"/>
        <v>3</v>
      </c>
      <c r="Y198" s="199">
        <f t="shared" si="172"/>
        <v>3</v>
      </c>
      <c r="Z198" s="199">
        <f t="shared" si="172"/>
        <v>3</v>
      </c>
      <c r="AA198" s="199">
        <f t="shared" si="172"/>
        <v>3</v>
      </c>
      <c r="AB198" s="199">
        <f t="shared" si="172"/>
        <v>3</v>
      </c>
      <c r="AC198" s="199">
        <f t="shared" si="172"/>
        <v>3</v>
      </c>
      <c r="AD198" s="199">
        <f t="shared" si="172"/>
        <v>2</v>
      </c>
      <c r="AE198" s="199">
        <f t="shared" si="172"/>
        <v>2</v>
      </c>
      <c r="AF198" s="199">
        <f t="shared" si="172"/>
        <v>2</v>
      </c>
      <c r="AG198" s="199">
        <f t="shared" si="172"/>
        <v>2</v>
      </c>
      <c r="AH198" s="199">
        <f t="shared" si="172"/>
        <v>2</v>
      </c>
      <c r="AI198" s="199">
        <f t="shared" si="172"/>
        <v>2</v>
      </c>
      <c r="AJ198" s="199">
        <f t="shared" si="172"/>
        <v>2</v>
      </c>
      <c r="AK198" s="199">
        <f t="shared" si="172"/>
        <v>2</v>
      </c>
      <c r="AL198" s="199">
        <f t="shared" si="172"/>
        <v>2</v>
      </c>
      <c r="AM198" s="199">
        <f t="shared" si="172"/>
        <v>2</v>
      </c>
      <c r="AN198" s="199">
        <f t="shared" si="172"/>
        <v>1</v>
      </c>
      <c r="AO198" s="199">
        <f t="shared" si="172"/>
        <v>1</v>
      </c>
      <c r="AP198" s="199" t="e">
        <f t="shared" si="172"/>
        <v>#N/A</v>
      </c>
      <c r="AQ198" s="199" t="e">
        <f t="shared" si="172"/>
        <v>#N/A</v>
      </c>
      <c r="BH198" s="199">
        <f>MATCH(BG$209,$C$211:$I$211,$C198)</f>
        <v>7</v>
      </c>
    </row>
    <row r="199" spans="1:61" s="127" customFormat="1">
      <c r="A199" s="126" t="s">
        <v>16</v>
      </c>
      <c r="B199" s="127" t="s">
        <v>394</v>
      </c>
      <c r="J199" s="132"/>
      <c r="K199" s="203">
        <f>IF(ISNA(K196),-1,IF(ISNA(K198),99,IF(ISNA(K197),K196,0)))</f>
        <v>0</v>
      </c>
      <c r="L199" s="203">
        <f>IF(ISNA(L196),-1,IF(ISNA(L198),99,IF(ISNA(L197),L196,0)))</f>
        <v>1</v>
      </c>
      <c r="M199" s="203">
        <f t="shared" ref="M199:AQ199" si="173">IF(ISNA(M196),-1,IF(ISNA(M198),99,IF(ISNA(M197),M196,0)))</f>
        <v>1</v>
      </c>
      <c r="N199" s="203">
        <f t="shared" si="173"/>
        <v>0</v>
      </c>
      <c r="O199" s="203">
        <f t="shared" si="173"/>
        <v>2</v>
      </c>
      <c r="P199" s="203">
        <f t="shared" ref="P199" si="174">IF(ISNA(P196),-1,IF(ISNA(P198),99,IF(ISNA(P197),P196,0)))</f>
        <v>0</v>
      </c>
      <c r="Q199" s="203">
        <f t="shared" si="173"/>
        <v>3</v>
      </c>
      <c r="R199" s="203">
        <f t="shared" si="173"/>
        <v>3</v>
      </c>
      <c r="S199" s="203">
        <f t="shared" si="173"/>
        <v>0</v>
      </c>
      <c r="T199" s="203">
        <f t="shared" si="173"/>
        <v>4</v>
      </c>
      <c r="U199" s="203">
        <f t="shared" si="173"/>
        <v>4</v>
      </c>
      <c r="V199" s="203">
        <f t="shared" si="173"/>
        <v>4</v>
      </c>
      <c r="W199" s="203">
        <f t="shared" si="173"/>
        <v>4</v>
      </c>
      <c r="X199" s="203">
        <f t="shared" si="173"/>
        <v>4</v>
      </c>
      <c r="Y199" s="203">
        <f t="shared" si="173"/>
        <v>4</v>
      </c>
      <c r="Z199" s="203">
        <f t="shared" si="173"/>
        <v>4</v>
      </c>
      <c r="AA199" s="203">
        <f t="shared" si="173"/>
        <v>4</v>
      </c>
      <c r="AB199" s="203">
        <f t="shared" si="173"/>
        <v>4</v>
      </c>
      <c r="AC199" s="203">
        <f t="shared" si="173"/>
        <v>0</v>
      </c>
      <c r="AD199" s="203">
        <f t="shared" si="173"/>
        <v>5</v>
      </c>
      <c r="AE199" s="203">
        <f t="shared" si="173"/>
        <v>5</v>
      </c>
      <c r="AF199" s="203">
        <f t="shared" si="173"/>
        <v>5</v>
      </c>
      <c r="AG199" s="203">
        <f t="shared" si="173"/>
        <v>5</v>
      </c>
      <c r="AH199" s="203">
        <f t="shared" si="173"/>
        <v>5</v>
      </c>
      <c r="AI199" s="203">
        <f t="shared" si="173"/>
        <v>5</v>
      </c>
      <c r="AJ199" s="203">
        <f t="shared" si="173"/>
        <v>5</v>
      </c>
      <c r="AK199" s="203">
        <f t="shared" si="173"/>
        <v>5</v>
      </c>
      <c r="AL199" s="203">
        <f t="shared" si="173"/>
        <v>5</v>
      </c>
      <c r="AM199" s="203">
        <f t="shared" si="173"/>
        <v>0</v>
      </c>
      <c r="AN199" s="203">
        <f t="shared" si="173"/>
        <v>6</v>
      </c>
      <c r="AO199" s="203">
        <f t="shared" si="173"/>
        <v>0</v>
      </c>
      <c r="AP199" s="203">
        <f t="shared" si="173"/>
        <v>99</v>
      </c>
      <c r="AQ199" s="203">
        <f t="shared" si="173"/>
        <v>99</v>
      </c>
      <c r="AS199" s="203"/>
      <c r="AT199" s="203"/>
      <c r="AW199" s="203"/>
      <c r="AX199" s="203"/>
      <c r="BH199" s="203">
        <f>IF(ISNA(BH196),-1,IF(ISNA(BH198),99,IF(ISNA(BH197),BH196,0)))</f>
        <v>0</v>
      </c>
      <c r="BI199" s="203"/>
    </row>
    <row r="200" spans="1:61">
      <c r="A200" s="199" t="s">
        <v>16</v>
      </c>
      <c r="B200" s="22" t="str">
        <f t="shared" ref="B200:B207" si="175">IF(A200="*","","COM_PROJ")</f>
        <v/>
      </c>
      <c r="C200" s="23" t="str">
        <f t="shared" ref="C200:C207" si="176">IF($A200="*","","-")</f>
        <v/>
      </c>
      <c r="D200" s="61" t="str">
        <f t="shared" ref="D200:D207" si="177">B172</f>
        <v>TPPRCAR</v>
      </c>
      <c r="E200" s="23" t="str">
        <f t="shared" ref="E200:I207" si="178">IF($A200="*","","-")</f>
        <v/>
      </c>
      <c r="F200" s="23"/>
      <c r="G200" s="23" t="str">
        <f t="shared" si="178"/>
        <v/>
      </c>
      <c r="H200" s="23" t="str">
        <f t="shared" si="178"/>
        <v/>
      </c>
      <c r="I200" s="23" t="str">
        <f t="shared" si="178"/>
        <v/>
      </c>
      <c r="J200" s="22" t="str">
        <f t="shared" ref="J200:J207" si="179">IF(A200="*","",0)</f>
        <v/>
      </c>
      <c r="K200" s="200">
        <f t="shared" ref="K200:AP207" si="180">IF(K$199=-1,L200,IF(K$199=99,J200,IF(K$199=0,INDEX($E186:$K186,0,K$197),(INDEX($E186:$K186,0,K$199+1)-INDEX($E186:$K186,0,K$199))/(INDEX($E$185:$K$185,0,K$199+1)-INDEX($E$185:$K$185,0,K$199))+J200)))</f>
        <v>81.009438001127293</v>
      </c>
      <c r="L200" s="200">
        <f t="shared" si="180"/>
        <v>83.52813729379011</v>
      </c>
      <c r="M200" s="200">
        <f t="shared" si="180"/>
        <v>86.046836586452926</v>
      </c>
      <c r="N200" s="200">
        <f t="shared" si="180"/>
        <v>88.565535879115743</v>
      </c>
      <c r="O200" s="200">
        <f t="shared" si="180"/>
        <v>90.686795310603856</v>
      </c>
      <c r="P200" s="200">
        <f t="shared" si="180"/>
        <v>92.808054742091983</v>
      </c>
      <c r="Q200" s="200">
        <f t="shared" si="180"/>
        <v>93.443648036302946</v>
      </c>
      <c r="R200" s="200">
        <f t="shared" si="180"/>
        <v>94.079241330513909</v>
      </c>
      <c r="S200" s="200">
        <f t="shared" si="180"/>
        <v>94.714834624724887</v>
      </c>
      <c r="T200" s="200">
        <f t="shared" si="180"/>
        <v>98.857872371786286</v>
      </c>
      <c r="U200" s="200">
        <f t="shared" si="180"/>
        <v>103.00091011884768</v>
      </c>
      <c r="V200" s="200">
        <f t="shared" si="180"/>
        <v>107.14394786590908</v>
      </c>
      <c r="W200" s="200">
        <f t="shared" si="180"/>
        <v>111.28698561297048</v>
      </c>
      <c r="X200" s="200">
        <f t="shared" si="180"/>
        <v>115.43002336003188</v>
      </c>
      <c r="Y200" s="200">
        <f t="shared" si="180"/>
        <v>119.57306110709328</v>
      </c>
      <c r="Z200" s="200">
        <f t="shared" si="180"/>
        <v>123.71609885415468</v>
      </c>
      <c r="AA200" s="200">
        <f t="shared" si="180"/>
        <v>127.85913660121608</v>
      </c>
      <c r="AB200" s="200">
        <f t="shared" si="180"/>
        <v>132.00217434827749</v>
      </c>
      <c r="AC200" s="200">
        <f t="shared" si="180"/>
        <v>136.14521209533891</v>
      </c>
      <c r="AD200" s="200">
        <f t="shared" si="180"/>
        <v>140.79346919249522</v>
      </c>
      <c r="AE200" s="200">
        <f t="shared" si="180"/>
        <v>145.44172628965154</v>
      </c>
      <c r="AF200" s="200">
        <f t="shared" si="180"/>
        <v>150.08998338680786</v>
      </c>
      <c r="AG200" s="200">
        <f t="shared" si="180"/>
        <v>154.73824048396418</v>
      </c>
      <c r="AH200" s="200">
        <f t="shared" si="180"/>
        <v>159.38649758112049</v>
      </c>
      <c r="AI200" s="200">
        <f t="shared" si="180"/>
        <v>164.03475467827681</v>
      </c>
      <c r="AJ200" s="200">
        <f t="shared" si="180"/>
        <v>168.68301177543313</v>
      </c>
      <c r="AK200" s="200">
        <f t="shared" si="180"/>
        <v>173.33126887258945</v>
      </c>
      <c r="AL200" s="200">
        <f t="shared" si="180"/>
        <v>177.97952596974577</v>
      </c>
      <c r="AM200" s="200">
        <f t="shared" si="180"/>
        <v>182.62778306690217</v>
      </c>
      <c r="AN200" s="200">
        <f t="shared" si="180"/>
        <v>186.53253206452234</v>
      </c>
      <c r="AO200" s="200">
        <f t="shared" si="180"/>
        <v>221.67527304310403</v>
      </c>
      <c r="AP200" s="200">
        <f t="shared" si="180"/>
        <v>221.67527304310403</v>
      </c>
      <c r="AQ200" s="200">
        <f t="shared" ref="AQ200:AQ207" si="181">IF(AQ$199=-1,AS200,IF(AQ$199=99,AP200,IF(AQ$199=0,INDEX($E186:$K186,0,AQ$197),(INDEX($E186:$K186,0,AQ$199+1)-INDEX($E186:$K186,0,AQ$199))/(INDEX($E$185:$K$185,0,AQ$199+1)-INDEX($E$185:$K$185,0,AQ$199))+AP200)))</f>
        <v>221.67527304310403</v>
      </c>
      <c r="AS200" s="200"/>
      <c r="AT200" s="200"/>
      <c r="AW200" s="200"/>
      <c r="AX200" s="200"/>
      <c r="BH200" s="200">
        <f t="shared" ref="BH200:BH207" si="182">E186</f>
        <v>81.009438001127293</v>
      </c>
      <c r="BI200" s="118">
        <f t="shared" ref="BI200:BI207" si="183">(K200-BH200)/K200</f>
        <v>0</v>
      </c>
    </row>
    <row r="201" spans="1:61">
      <c r="A201" s="199" t="s">
        <v>16</v>
      </c>
      <c r="B201" s="22" t="str">
        <f t="shared" si="175"/>
        <v/>
      </c>
      <c r="C201" s="23" t="str">
        <f t="shared" si="176"/>
        <v/>
      </c>
      <c r="D201" s="61" t="str">
        <f t="shared" si="177"/>
        <v>TPPRSUV</v>
      </c>
      <c r="E201" s="23" t="str">
        <f t="shared" si="178"/>
        <v/>
      </c>
      <c r="F201" s="23"/>
      <c r="G201" s="23" t="str">
        <f t="shared" si="178"/>
        <v/>
      </c>
      <c r="H201" s="23" t="str">
        <f t="shared" si="178"/>
        <v/>
      </c>
      <c r="I201" s="23" t="str">
        <f t="shared" si="178"/>
        <v/>
      </c>
      <c r="J201" s="22" t="str">
        <f t="shared" si="179"/>
        <v/>
      </c>
      <c r="K201" s="200">
        <f t="shared" si="180"/>
        <v>9.3016229013555076</v>
      </c>
      <c r="L201" s="200">
        <f t="shared" si="180"/>
        <v>9.5908236611723368</v>
      </c>
      <c r="M201" s="200">
        <f t="shared" si="180"/>
        <v>9.8800244209891659</v>
      </c>
      <c r="N201" s="200">
        <f t="shared" si="180"/>
        <v>10.169225180805997</v>
      </c>
      <c r="O201" s="200">
        <f t="shared" si="180"/>
        <v>10.41279131080892</v>
      </c>
      <c r="P201" s="200">
        <f t="shared" si="180"/>
        <v>10.656357440811842</v>
      </c>
      <c r="Q201" s="200">
        <f t="shared" si="180"/>
        <v>10.712422470054557</v>
      </c>
      <c r="R201" s="200">
        <f t="shared" si="180"/>
        <v>10.768487499297272</v>
      </c>
      <c r="S201" s="200">
        <f t="shared" si="180"/>
        <v>10.824552528539989</v>
      </c>
      <c r="T201" s="200">
        <f t="shared" si="180"/>
        <v>11.289411944464236</v>
      </c>
      <c r="U201" s="200">
        <f t="shared" si="180"/>
        <v>11.754271360388483</v>
      </c>
      <c r="V201" s="200">
        <f t="shared" si="180"/>
        <v>12.219130776312729</v>
      </c>
      <c r="W201" s="200">
        <f t="shared" si="180"/>
        <v>12.683990192236976</v>
      </c>
      <c r="X201" s="200">
        <f t="shared" si="180"/>
        <v>13.148849608161223</v>
      </c>
      <c r="Y201" s="200">
        <f t="shared" si="180"/>
        <v>13.61370902408547</v>
      </c>
      <c r="Z201" s="200">
        <f t="shared" si="180"/>
        <v>14.078568440009716</v>
      </c>
      <c r="AA201" s="200">
        <f t="shared" si="180"/>
        <v>14.543427855933963</v>
      </c>
      <c r="AB201" s="200">
        <f t="shared" si="180"/>
        <v>15.00828727185821</v>
      </c>
      <c r="AC201" s="200">
        <f t="shared" si="180"/>
        <v>15.47314668778245</v>
      </c>
      <c r="AD201" s="200">
        <f t="shared" si="180"/>
        <v>16.001429414731817</v>
      </c>
      <c r="AE201" s="200">
        <f t="shared" si="180"/>
        <v>16.529712141681184</v>
      </c>
      <c r="AF201" s="200">
        <f t="shared" si="180"/>
        <v>17.057994868630551</v>
      </c>
      <c r="AG201" s="200">
        <f t="shared" si="180"/>
        <v>17.586277595579919</v>
      </c>
      <c r="AH201" s="200">
        <f t="shared" si="180"/>
        <v>18.114560322529286</v>
      </c>
      <c r="AI201" s="200">
        <f t="shared" si="180"/>
        <v>18.642843049478653</v>
      </c>
      <c r="AJ201" s="200">
        <f t="shared" si="180"/>
        <v>19.171125776428021</v>
      </c>
      <c r="AK201" s="200">
        <f t="shared" si="180"/>
        <v>19.699408503377388</v>
      </c>
      <c r="AL201" s="200">
        <f t="shared" si="180"/>
        <v>20.227691230326755</v>
      </c>
      <c r="AM201" s="200">
        <f t="shared" si="180"/>
        <v>20.755973957276126</v>
      </c>
      <c r="AN201" s="200">
        <f t="shared" si="180"/>
        <v>21.199755659836764</v>
      </c>
      <c r="AO201" s="200">
        <f t="shared" si="180"/>
        <v>25.193790982882504</v>
      </c>
      <c r="AP201" s="200">
        <f t="shared" si="180"/>
        <v>25.193790982882504</v>
      </c>
      <c r="AQ201" s="200">
        <f t="shared" si="181"/>
        <v>25.193790982882504</v>
      </c>
      <c r="AS201" s="200"/>
      <c r="AT201" s="200"/>
      <c r="AW201" s="200"/>
      <c r="AX201" s="200"/>
      <c r="BH201" s="200">
        <f t="shared" si="182"/>
        <v>9.3016229013555076</v>
      </c>
      <c r="BI201" s="118">
        <f t="shared" si="183"/>
        <v>0</v>
      </c>
    </row>
    <row r="202" spans="1:61">
      <c r="A202" s="199" t="s">
        <v>16</v>
      </c>
      <c r="B202" s="22" t="str">
        <f t="shared" si="175"/>
        <v/>
      </c>
      <c r="C202" s="23" t="str">
        <f t="shared" si="176"/>
        <v/>
      </c>
      <c r="D202" s="61" t="str">
        <f t="shared" si="177"/>
        <v>TPPRMOT</v>
      </c>
      <c r="E202" s="23" t="str">
        <f t="shared" si="178"/>
        <v/>
      </c>
      <c r="F202" s="23"/>
      <c r="G202" s="23" t="str">
        <f t="shared" si="178"/>
        <v/>
      </c>
      <c r="H202" s="23" t="str">
        <f t="shared" si="178"/>
        <v/>
      </c>
      <c r="I202" s="23" t="str">
        <f t="shared" si="178"/>
        <v/>
      </c>
      <c r="J202" s="22" t="str">
        <f t="shared" si="179"/>
        <v/>
      </c>
      <c r="K202" s="200">
        <f t="shared" si="180"/>
        <v>3.1707811479382442</v>
      </c>
      <c r="L202" s="200">
        <f t="shared" si="180"/>
        <v>2.9655315533815689</v>
      </c>
      <c r="M202" s="200">
        <f t="shared" si="180"/>
        <v>2.7602819588248937</v>
      </c>
      <c r="N202" s="200">
        <f t="shared" si="180"/>
        <v>2.555032364268218</v>
      </c>
      <c r="O202" s="200">
        <f t="shared" si="180"/>
        <v>2.6162287026256017</v>
      </c>
      <c r="P202" s="200">
        <f t="shared" si="180"/>
        <v>2.6774250409829849</v>
      </c>
      <c r="Q202" s="200">
        <f t="shared" si="180"/>
        <v>2.6869960713669889</v>
      </c>
      <c r="R202" s="200">
        <f t="shared" si="180"/>
        <v>2.6965671017509929</v>
      </c>
      <c r="S202" s="200">
        <f t="shared" si="180"/>
        <v>2.7061381321349973</v>
      </c>
      <c r="T202" s="200">
        <f t="shared" si="180"/>
        <v>2.8520582716223806</v>
      </c>
      <c r="U202" s="200">
        <f t="shared" si="180"/>
        <v>2.9979784111097638</v>
      </c>
      <c r="V202" s="200">
        <f t="shared" si="180"/>
        <v>3.1438985505971471</v>
      </c>
      <c r="W202" s="200">
        <f t="shared" si="180"/>
        <v>3.2898186900845303</v>
      </c>
      <c r="X202" s="200">
        <f t="shared" si="180"/>
        <v>3.4357388295719136</v>
      </c>
      <c r="Y202" s="200">
        <f t="shared" si="180"/>
        <v>3.5816589690592968</v>
      </c>
      <c r="Z202" s="200">
        <f t="shared" si="180"/>
        <v>3.7275791085466801</v>
      </c>
      <c r="AA202" s="200">
        <f t="shared" si="180"/>
        <v>3.8734992480340633</v>
      </c>
      <c r="AB202" s="200">
        <f t="shared" si="180"/>
        <v>4.0194193875214461</v>
      </c>
      <c r="AC202" s="200">
        <f t="shared" si="180"/>
        <v>4.1653395270088289</v>
      </c>
      <c r="AD202" s="200">
        <f t="shared" si="180"/>
        <v>4.3505326660954555</v>
      </c>
      <c r="AE202" s="200">
        <f t="shared" si="180"/>
        <v>4.5357258051820821</v>
      </c>
      <c r="AF202" s="200">
        <f t="shared" si="180"/>
        <v>4.7209189442687087</v>
      </c>
      <c r="AG202" s="200">
        <f t="shared" si="180"/>
        <v>4.9061120833553353</v>
      </c>
      <c r="AH202" s="200">
        <f t="shared" si="180"/>
        <v>5.0913052224419619</v>
      </c>
      <c r="AI202" s="200">
        <f t="shared" si="180"/>
        <v>5.2764983615285885</v>
      </c>
      <c r="AJ202" s="200">
        <f t="shared" si="180"/>
        <v>5.4616915006152151</v>
      </c>
      <c r="AK202" s="200">
        <f t="shared" si="180"/>
        <v>5.6468846397018417</v>
      </c>
      <c r="AL202" s="200">
        <f t="shared" si="180"/>
        <v>5.8320777787884683</v>
      </c>
      <c r="AM202" s="200">
        <f t="shared" si="180"/>
        <v>6.0172709178750976</v>
      </c>
      <c r="AN202" s="200">
        <f t="shared" si="180"/>
        <v>6.2067908261708782</v>
      </c>
      <c r="AO202" s="200">
        <f t="shared" si="180"/>
        <v>7.9124700008329016</v>
      </c>
      <c r="AP202" s="200">
        <f t="shared" si="180"/>
        <v>7.9124700008329016</v>
      </c>
      <c r="AQ202" s="200">
        <f t="shared" si="181"/>
        <v>7.9124700008329016</v>
      </c>
      <c r="AS202" s="200"/>
      <c r="AT202" s="200"/>
      <c r="AW202" s="200"/>
      <c r="AX202" s="200"/>
      <c r="BH202" s="200">
        <f t="shared" si="182"/>
        <v>3.1707811479382442</v>
      </c>
      <c r="BI202" s="118">
        <f t="shared" si="183"/>
        <v>0</v>
      </c>
    </row>
    <row r="203" spans="1:61">
      <c r="A203" s="199" t="s">
        <v>16</v>
      </c>
      <c r="B203" s="22" t="str">
        <f t="shared" si="175"/>
        <v/>
      </c>
      <c r="C203" s="23" t="str">
        <f t="shared" si="176"/>
        <v/>
      </c>
      <c r="D203" s="61" t="str">
        <f t="shared" si="177"/>
        <v>TPPUBUS</v>
      </c>
      <c r="E203" s="23" t="str">
        <f t="shared" si="178"/>
        <v/>
      </c>
      <c r="F203" s="23"/>
      <c r="G203" s="23" t="str">
        <f t="shared" si="178"/>
        <v/>
      </c>
      <c r="H203" s="23" t="str">
        <f t="shared" si="178"/>
        <v/>
      </c>
      <c r="I203" s="23" t="str">
        <f t="shared" si="178"/>
        <v/>
      </c>
      <c r="J203" s="22" t="str">
        <f t="shared" si="179"/>
        <v/>
      </c>
      <c r="K203" s="200">
        <f>INDEX('[2]TS BYDem'!J$10:J$59,MATCH($D203,'[2]TS BYDem'!D$10:D$59,0))</f>
        <v>1.4990333520535337</v>
      </c>
      <c r="L203" s="200">
        <f t="shared" si="180"/>
        <v>1.5097028554810041</v>
      </c>
      <c r="M203" s="200">
        <f t="shared" si="180"/>
        <v>1.5203723589084746</v>
      </c>
      <c r="N203" s="200">
        <f t="shared" si="180"/>
        <v>0.65</v>
      </c>
      <c r="O203" s="200">
        <f t="shared" si="180"/>
        <v>0.66077214814486951</v>
      </c>
      <c r="P203" s="200">
        <f t="shared" si="180"/>
        <v>0.671544296289739</v>
      </c>
      <c r="Q203" s="200">
        <f t="shared" si="180"/>
        <v>0.87798396883399099</v>
      </c>
      <c r="R203" s="200">
        <f t="shared" si="180"/>
        <v>1.0844236413782431</v>
      </c>
      <c r="S203" s="200">
        <f t="shared" si="180"/>
        <v>1.290863313922495</v>
      </c>
      <c r="T203" s="200">
        <f t="shared" si="180"/>
        <v>1.2506905520637515</v>
      </c>
      <c r="U203" s="200">
        <f t="shared" si="180"/>
        <v>1.2105177902050079</v>
      </c>
      <c r="V203" s="200">
        <f t="shared" si="180"/>
        <v>1.1703450283462644</v>
      </c>
      <c r="W203" s="200">
        <f t="shared" si="180"/>
        <v>1.1301722664875209</v>
      </c>
      <c r="X203" s="200">
        <f t="shared" si="180"/>
        <v>1.0899995046287774</v>
      </c>
      <c r="Y203" s="200">
        <f t="shared" si="180"/>
        <v>1.0498267427700338</v>
      </c>
      <c r="Z203" s="200">
        <f t="shared" si="180"/>
        <v>1.0096539809112903</v>
      </c>
      <c r="AA203" s="200">
        <f t="shared" si="180"/>
        <v>0.96948121905254669</v>
      </c>
      <c r="AB203" s="200">
        <f t="shared" si="180"/>
        <v>0.92930845719380306</v>
      </c>
      <c r="AC203" s="200">
        <f t="shared" si="180"/>
        <v>0.88913569533505887</v>
      </c>
      <c r="AD203" s="200">
        <f t="shared" si="180"/>
        <v>0.89261392158779485</v>
      </c>
      <c r="AE203" s="200">
        <f t="shared" si="180"/>
        <v>0.89609214784053082</v>
      </c>
      <c r="AF203" s="200">
        <f t="shared" si="180"/>
        <v>0.89957037409326679</v>
      </c>
      <c r="AG203" s="200">
        <f t="shared" si="180"/>
        <v>0.90304860034600276</v>
      </c>
      <c r="AH203" s="200">
        <f t="shared" si="180"/>
        <v>0.90652682659873873</v>
      </c>
      <c r="AI203" s="200">
        <f t="shared" si="180"/>
        <v>0.91000505285147471</v>
      </c>
      <c r="AJ203" s="200">
        <f t="shared" si="180"/>
        <v>0.91348327910421068</v>
      </c>
      <c r="AK203" s="200">
        <f t="shared" si="180"/>
        <v>0.91696150535694665</v>
      </c>
      <c r="AL203" s="200">
        <f t="shared" si="180"/>
        <v>0.92043973160968262</v>
      </c>
      <c r="AM203" s="200">
        <f t="shared" si="180"/>
        <v>0.92391795786241804</v>
      </c>
      <c r="AN203" s="200">
        <f t="shared" si="180"/>
        <v>0.93256063319016902</v>
      </c>
      <c r="AO203" s="200">
        <f t="shared" si="180"/>
        <v>1.0103447111399277</v>
      </c>
      <c r="AP203" s="200">
        <f t="shared" si="180"/>
        <v>1.0103447111399277</v>
      </c>
      <c r="AQ203" s="200">
        <f t="shared" si="181"/>
        <v>1.0103447111399277</v>
      </c>
      <c r="AS203" s="200"/>
      <c r="AT203" s="200"/>
      <c r="AW203" s="200"/>
      <c r="AX203" s="200"/>
      <c r="BH203" s="200">
        <f t="shared" si="182"/>
        <v>0.61799148971758899</v>
      </c>
      <c r="BI203" s="118">
        <f t="shared" si="183"/>
        <v>0.5877400000000006</v>
      </c>
    </row>
    <row r="204" spans="1:61">
      <c r="A204" s="199" t="s">
        <v>16</v>
      </c>
      <c r="B204" s="22" t="str">
        <f t="shared" si="175"/>
        <v/>
      </c>
      <c r="C204" s="23" t="str">
        <f t="shared" si="176"/>
        <v/>
      </c>
      <c r="D204" s="61" t="str">
        <f t="shared" si="177"/>
        <v>TPPUMBT</v>
      </c>
      <c r="E204" s="23" t="str">
        <f t="shared" si="178"/>
        <v/>
      </c>
      <c r="F204" s="23"/>
      <c r="G204" s="23" t="str">
        <f t="shared" si="178"/>
        <v/>
      </c>
      <c r="H204" s="23" t="str">
        <f t="shared" si="178"/>
        <v/>
      </c>
      <c r="I204" s="23" t="str">
        <f t="shared" si="178"/>
        <v/>
      </c>
      <c r="J204" s="22" t="str">
        <f t="shared" si="179"/>
        <v/>
      </c>
      <c r="K204" s="200">
        <f>INDEX('[2]TS BYDem'!J$10:J$59,MATCH($D204,'[2]TS BYDem'!D$10:D$59,0))</f>
        <v>6.4978638621089795</v>
      </c>
      <c r="L204" s="200">
        <f t="shared" si="180"/>
        <v>6.8235630986662024</v>
      </c>
      <c r="M204" s="200">
        <f t="shared" si="180"/>
        <v>7.1492623352234252</v>
      </c>
      <c r="N204" s="200">
        <f t="shared" si="180"/>
        <v>6.9</v>
      </c>
      <c r="O204" s="200">
        <f t="shared" si="180"/>
        <v>7.0212765000000008</v>
      </c>
      <c r="P204" s="200">
        <f t="shared" si="180"/>
        <v>7.1425530000000004</v>
      </c>
      <c r="Q204" s="200">
        <f t="shared" si="180"/>
        <v>7.1844490881851719</v>
      </c>
      <c r="R204" s="200">
        <f t="shared" si="180"/>
        <v>7.2263451763703435</v>
      </c>
      <c r="S204" s="200">
        <f t="shared" si="180"/>
        <v>7.2682412645555159</v>
      </c>
      <c r="T204" s="200">
        <f t="shared" si="180"/>
        <v>7.3814186456377913</v>
      </c>
      <c r="U204" s="200">
        <f t="shared" si="180"/>
        <v>7.4945960267200666</v>
      </c>
      <c r="V204" s="200">
        <f t="shared" si="180"/>
        <v>7.607773407802342</v>
      </c>
      <c r="W204" s="200">
        <f t="shared" si="180"/>
        <v>7.7209507888846174</v>
      </c>
      <c r="X204" s="200">
        <f t="shared" si="180"/>
        <v>7.8341281699668928</v>
      </c>
      <c r="Y204" s="200">
        <f t="shared" si="180"/>
        <v>7.9473055510491681</v>
      </c>
      <c r="Z204" s="200">
        <f t="shared" si="180"/>
        <v>8.0604829321314444</v>
      </c>
      <c r="AA204" s="200">
        <f t="shared" si="180"/>
        <v>8.1736603132137198</v>
      </c>
      <c r="AB204" s="200">
        <f t="shared" si="180"/>
        <v>8.2868376942959951</v>
      </c>
      <c r="AC204" s="200">
        <f t="shared" si="180"/>
        <v>8.4000150753782723</v>
      </c>
      <c r="AD204" s="200">
        <f t="shared" si="180"/>
        <v>8.432875248591257</v>
      </c>
      <c r="AE204" s="200">
        <f t="shared" si="180"/>
        <v>8.4657354218042418</v>
      </c>
      <c r="AF204" s="200">
        <f t="shared" si="180"/>
        <v>8.4985955950172265</v>
      </c>
      <c r="AG204" s="200">
        <f t="shared" si="180"/>
        <v>8.5314557682302112</v>
      </c>
      <c r="AH204" s="200">
        <f t="shared" si="180"/>
        <v>8.564315941443196</v>
      </c>
      <c r="AI204" s="200">
        <f t="shared" si="180"/>
        <v>8.5971761146561807</v>
      </c>
      <c r="AJ204" s="200">
        <f t="shared" si="180"/>
        <v>8.6300362878691654</v>
      </c>
      <c r="AK204" s="200">
        <f t="shared" si="180"/>
        <v>8.6628964610821502</v>
      </c>
      <c r="AL204" s="200">
        <f t="shared" si="180"/>
        <v>8.6957566342951349</v>
      </c>
      <c r="AM204" s="200">
        <f t="shared" si="180"/>
        <v>8.7286168075081232</v>
      </c>
      <c r="AN204" s="200">
        <f t="shared" si="180"/>
        <v>8.8102675650084734</v>
      </c>
      <c r="AO204" s="200">
        <f t="shared" si="180"/>
        <v>9.5451243825116254</v>
      </c>
      <c r="AP204" s="200">
        <f t="shared" si="180"/>
        <v>9.5451243825116254</v>
      </c>
      <c r="AQ204" s="200">
        <f t="shared" si="181"/>
        <v>9.5451243825116254</v>
      </c>
      <c r="AS204" s="200"/>
      <c r="AT204" s="200"/>
      <c r="AW204" s="200"/>
      <c r="AX204" s="200"/>
      <c r="BH204" s="200">
        <f t="shared" si="182"/>
        <v>5.9229022903283326</v>
      </c>
      <c r="BI204" s="118">
        <f t="shared" si="183"/>
        <v>8.8484705740516159E-2</v>
      </c>
    </row>
    <row r="205" spans="1:61">
      <c r="A205" s="199" t="s">
        <v>16</v>
      </c>
      <c r="B205" s="22" t="str">
        <f t="shared" si="175"/>
        <v/>
      </c>
      <c r="C205" s="23" t="str">
        <f t="shared" si="176"/>
        <v/>
      </c>
      <c r="D205" s="61" t="str">
        <f t="shared" si="177"/>
        <v>TPPUBRT</v>
      </c>
      <c r="E205" s="23" t="str">
        <f t="shared" si="178"/>
        <v/>
      </c>
      <c r="F205" s="23"/>
      <c r="G205" s="23" t="str">
        <f t="shared" si="178"/>
        <v/>
      </c>
      <c r="H205" s="23" t="str">
        <f t="shared" si="178"/>
        <v/>
      </c>
      <c r="I205" s="23" t="str">
        <f t="shared" si="178"/>
        <v/>
      </c>
      <c r="J205" s="22" t="str">
        <f t="shared" si="179"/>
        <v/>
      </c>
      <c r="K205" s="200">
        <f>INDEX('[2]TS BYDem'!J$10:J$59,MATCH($D205,'[2]TS BYDem'!D$10:D$59,0))</f>
        <v>0</v>
      </c>
      <c r="L205" s="200">
        <f t="shared" si="180"/>
        <v>5.0970877008605503E-4</v>
      </c>
      <c r="M205" s="200">
        <f t="shared" si="180"/>
        <v>1.0194175401721101E-3</v>
      </c>
      <c r="N205" s="200">
        <f t="shared" si="180"/>
        <v>2.2779236378945623E-2</v>
      </c>
      <c r="O205" s="200">
        <f t="shared" si="180"/>
        <v>2.3332554130568846E-2</v>
      </c>
      <c r="P205" s="200">
        <f t="shared" si="180"/>
        <v>2.3885871882192072E-2</v>
      </c>
      <c r="Q205" s="200">
        <f t="shared" si="180"/>
        <v>9.1667042587128045E-2</v>
      </c>
      <c r="R205" s="200">
        <f t="shared" si="180"/>
        <v>0.15944821329206402</v>
      </c>
      <c r="S205" s="200">
        <f t="shared" si="180"/>
        <v>0.22722938399699999</v>
      </c>
      <c r="T205" s="200">
        <f t="shared" si="180"/>
        <v>0.26599098859130993</v>
      </c>
      <c r="U205" s="200">
        <f t="shared" si="180"/>
        <v>0.30475259318561987</v>
      </c>
      <c r="V205" s="200">
        <f t="shared" si="180"/>
        <v>0.34351419777992981</v>
      </c>
      <c r="W205" s="200">
        <f t="shared" si="180"/>
        <v>0.38227580237423975</v>
      </c>
      <c r="X205" s="200">
        <f t="shared" si="180"/>
        <v>0.42103740696854969</v>
      </c>
      <c r="Y205" s="200">
        <f t="shared" si="180"/>
        <v>0.45979901156285963</v>
      </c>
      <c r="Z205" s="200">
        <f t="shared" si="180"/>
        <v>0.49856061615716957</v>
      </c>
      <c r="AA205" s="200">
        <f t="shared" si="180"/>
        <v>0.53732222075147951</v>
      </c>
      <c r="AB205" s="200">
        <f t="shared" si="180"/>
        <v>0.57608382534578939</v>
      </c>
      <c r="AC205" s="200">
        <f t="shared" si="180"/>
        <v>0.61484542994009928</v>
      </c>
      <c r="AD205" s="200">
        <f t="shared" si="180"/>
        <v>0.67260062497200301</v>
      </c>
      <c r="AE205" s="200">
        <f t="shared" si="180"/>
        <v>0.73035582000390675</v>
      </c>
      <c r="AF205" s="200">
        <f t="shared" si="180"/>
        <v>0.78811101503581049</v>
      </c>
      <c r="AG205" s="200">
        <f t="shared" si="180"/>
        <v>0.84586621006771423</v>
      </c>
      <c r="AH205" s="200">
        <f t="shared" si="180"/>
        <v>0.90362140509961797</v>
      </c>
      <c r="AI205" s="200">
        <f t="shared" si="180"/>
        <v>0.96137660013152171</v>
      </c>
      <c r="AJ205" s="200">
        <f t="shared" si="180"/>
        <v>1.0191317951634253</v>
      </c>
      <c r="AK205" s="200">
        <f t="shared" si="180"/>
        <v>1.0768869901953291</v>
      </c>
      <c r="AL205" s="200">
        <f t="shared" si="180"/>
        <v>1.1346421852272328</v>
      </c>
      <c r="AM205" s="200">
        <f t="shared" si="180"/>
        <v>1.1923973802591366</v>
      </c>
      <c r="AN205" s="200">
        <f t="shared" si="180"/>
        <v>1.2501332959305473</v>
      </c>
      <c r="AO205" s="200">
        <f t="shared" si="180"/>
        <v>1.7697565369732444</v>
      </c>
      <c r="AP205" s="200">
        <f t="shared" si="180"/>
        <v>1.7697565369732444</v>
      </c>
      <c r="AQ205" s="200">
        <f t="shared" si="181"/>
        <v>1.7697565369732444</v>
      </c>
      <c r="AS205" s="200"/>
      <c r="AT205" s="200"/>
      <c r="AW205" s="200"/>
      <c r="AX205" s="200"/>
      <c r="BH205" s="200">
        <f t="shared" si="182"/>
        <v>2.1250110068687458E-2</v>
      </c>
      <c r="BI205" s="118" t="e">
        <f t="shared" si="183"/>
        <v>#DIV/0!</v>
      </c>
    </row>
    <row r="206" spans="1:61">
      <c r="A206" s="199" t="s">
        <v>16</v>
      </c>
      <c r="B206" s="22" t="str">
        <f t="shared" si="175"/>
        <v/>
      </c>
      <c r="C206" s="23" t="str">
        <f t="shared" si="176"/>
        <v/>
      </c>
      <c r="D206" s="61" t="str">
        <f t="shared" si="177"/>
        <v>TPPUMER</v>
      </c>
      <c r="E206" s="23" t="str">
        <f t="shared" si="178"/>
        <v/>
      </c>
      <c r="F206" s="23"/>
      <c r="G206" s="23" t="str">
        <f t="shared" si="178"/>
        <v/>
      </c>
      <c r="H206" s="23" t="str">
        <f t="shared" si="178"/>
        <v/>
      </c>
      <c r="I206" s="23" t="str">
        <f t="shared" si="178"/>
        <v/>
      </c>
      <c r="J206" s="22" t="str">
        <f t="shared" si="179"/>
        <v/>
      </c>
      <c r="K206" s="200">
        <f>INDEX('[2]TS BYDem'!J$10:J$59,MATCH($D206,'[2]TS BYDem'!D$10:D$59,0))</f>
        <v>15.8</v>
      </c>
      <c r="L206" s="200">
        <f t="shared" si="180"/>
        <v>15.048775813628447</v>
      </c>
      <c r="M206" s="200">
        <f t="shared" si="180"/>
        <v>14.297551627256894</v>
      </c>
      <c r="N206" s="200">
        <f t="shared" si="180"/>
        <v>12.148269090185179</v>
      </c>
      <c r="O206" s="200">
        <f t="shared" si="180"/>
        <v>10.936267314541286</v>
      </c>
      <c r="P206" s="200">
        <f t="shared" si="180"/>
        <v>9.7242655388973933</v>
      </c>
      <c r="Q206" s="200">
        <f t="shared" si="180"/>
        <v>9.7939286471549849</v>
      </c>
      <c r="R206" s="200">
        <f t="shared" si="180"/>
        <v>9.8635917554125765</v>
      </c>
      <c r="S206" s="200">
        <f t="shared" si="180"/>
        <v>9.9332548636701663</v>
      </c>
      <c r="T206" s="200">
        <f t="shared" si="180"/>
        <v>9.9762530762578621</v>
      </c>
      <c r="U206" s="200">
        <f t="shared" si="180"/>
        <v>10.019251288845558</v>
      </c>
      <c r="V206" s="200">
        <f t="shared" si="180"/>
        <v>10.062249501433254</v>
      </c>
      <c r="W206" s="200">
        <f t="shared" si="180"/>
        <v>10.105247714020949</v>
      </c>
      <c r="X206" s="200">
        <f t="shared" si="180"/>
        <v>10.148245926608645</v>
      </c>
      <c r="Y206" s="200">
        <f t="shared" si="180"/>
        <v>10.191244139196341</v>
      </c>
      <c r="Z206" s="200">
        <f t="shared" si="180"/>
        <v>10.234242351784037</v>
      </c>
      <c r="AA206" s="200">
        <f t="shared" si="180"/>
        <v>10.277240564371732</v>
      </c>
      <c r="AB206" s="200">
        <f t="shared" si="180"/>
        <v>10.320238776959428</v>
      </c>
      <c r="AC206" s="200">
        <f t="shared" si="180"/>
        <v>10.363236989547131</v>
      </c>
      <c r="AD206" s="200">
        <f t="shared" si="180"/>
        <v>10.403777126614493</v>
      </c>
      <c r="AE206" s="200">
        <f t="shared" si="180"/>
        <v>10.444317263681853</v>
      </c>
      <c r="AF206" s="200">
        <f t="shared" si="180"/>
        <v>10.484857400749213</v>
      </c>
      <c r="AG206" s="200">
        <f t="shared" si="180"/>
        <v>10.525397537816573</v>
      </c>
      <c r="AH206" s="200">
        <f t="shared" si="180"/>
        <v>10.565937674883934</v>
      </c>
      <c r="AI206" s="200">
        <f t="shared" si="180"/>
        <v>10.606477811951294</v>
      </c>
      <c r="AJ206" s="200">
        <f t="shared" si="180"/>
        <v>10.647017949018654</v>
      </c>
      <c r="AK206" s="200">
        <f t="shared" si="180"/>
        <v>10.687558086086014</v>
      </c>
      <c r="AL206" s="200">
        <f t="shared" si="180"/>
        <v>10.728098223153374</v>
      </c>
      <c r="AM206" s="200">
        <f t="shared" si="180"/>
        <v>10.768638360220741</v>
      </c>
      <c r="AN206" s="200">
        <f t="shared" si="180"/>
        <v>10.869372244952974</v>
      </c>
      <c r="AO206" s="200">
        <f t="shared" si="180"/>
        <v>11.775977207543068</v>
      </c>
      <c r="AP206" s="200">
        <f t="shared" si="180"/>
        <v>11.775977207543068</v>
      </c>
      <c r="AQ206" s="200">
        <f t="shared" si="181"/>
        <v>11.775977207543068</v>
      </c>
      <c r="AS206" s="200"/>
      <c r="AT206" s="200"/>
      <c r="AW206" s="200"/>
      <c r="AX206" s="200"/>
      <c r="BH206" s="200">
        <f t="shared" si="182"/>
        <v>14.401941649299841</v>
      </c>
      <c r="BI206" s="118">
        <f t="shared" si="183"/>
        <v>8.8484705740516409E-2</v>
      </c>
    </row>
    <row r="207" spans="1:61">
      <c r="A207" s="199" t="s">
        <v>16</v>
      </c>
      <c r="B207" s="22" t="str">
        <f t="shared" si="175"/>
        <v/>
      </c>
      <c r="C207" s="23" t="str">
        <f t="shared" si="176"/>
        <v/>
      </c>
      <c r="D207" s="61" t="str">
        <f t="shared" si="177"/>
        <v>TPPUGAT</v>
      </c>
      <c r="E207" s="23" t="str">
        <f t="shared" si="178"/>
        <v/>
      </c>
      <c r="F207" s="23"/>
      <c r="G207" s="23" t="str">
        <f t="shared" si="178"/>
        <v/>
      </c>
      <c r="H207" s="23" t="str">
        <f t="shared" si="178"/>
        <v/>
      </c>
      <c r="I207" s="23" t="str">
        <f t="shared" si="178"/>
        <v/>
      </c>
      <c r="J207" s="22" t="str">
        <f t="shared" si="179"/>
        <v/>
      </c>
      <c r="K207" s="200">
        <f>INDEX('[2]TS BYDem'!J$10:J$59,MATCH($D207,'[2]TS BYDem'!D$10:D$59,0))</f>
        <v>0</v>
      </c>
      <c r="L207" s="200">
        <f t="shared" si="180"/>
        <v>1.7959861551550455E-2</v>
      </c>
      <c r="M207" s="200">
        <f t="shared" si="180"/>
        <v>3.591972310310091E-2</v>
      </c>
      <c r="N207" s="200">
        <f t="shared" si="180"/>
        <v>0.58840536503250629</v>
      </c>
      <c r="O207" s="200">
        <f t="shared" si="180"/>
        <v>0.60651580293507878</v>
      </c>
      <c r="P207" s="200">
        <f t="shared" si="180"/>
        <v>0.62462624083765128</v>
      </c>
      <c r="Q207" s="200">
        <f t="shared" si="180"/>
        <v>0.62582282996645056</v>
      </c>
      <c r="R207" s="200">
        <f t="shared" si="180"/>
        <v>0.62701941909524983</v>
      </c>
      <c r="S207" s="200">
        <f t="shared" si="180"/>
        <v>0.62821600822404911</v>
      </c>
      <c r="T207" s="200">
        <f t="shared" si="180"/>
        <v>0.6660006019130148</v>
      </c>
      <c r="U207" s="200">
        <f t="shared" si="180"/>
        <v>0.7037851956019805</v>
      </c>
      <c r="V207" s="200">
        <f t="shared" si="180"/>
        <v>0.74156978929094619</v>
      </c>
      <c r="W207" s="200">
        <f t="shared" si="180"/>
        <v>0.77935438297991189</v>
      </c>
      <c r="X207" s="200">
        <f t="shared" si="180"/>
        <v>0.81713897666887758</v>
      </c>
      <c r="Y207" s="200">
        <f t="shared" si="180"/>
        <v>0.85492357035784328</v>
      </c>
      <c r="Z207" s="200">
        <f t="shared" si="180"/>
        <v>0.89270816404680897</v>
      </c>
      <c r="AA207" s="200">
        <f t="shared" si="180"/>
        <v>0.93049275773577467</v>
      </c>
      <c r="AB207" s="200">
        <f t="shared" si="180"/>
        <v>0.96827735142474036</v>
      </c>
      <c r="AC207" s="200">
        <f t="shared" si="180"/>
        <v>1.0060619451137058</v>
      </c>
      <c r="AD207" s="200">
        <f t="shared" si="180"/>
        <v>1.0531236518525384</v>
      </c>
      <c r="AE207" s="200">
        <f t="shared" si="180"/>
        <v>1.100185358591371</v>
      </c>
      <c r="AF207" s="200">
        <f t="shared" si="180"/>
        <v>1.1472470653302036</v>
      </c>
      <c r="AG207" s="200">
        <f t="shared" si="180"/>
        <v>1.1943087720690362</v>
      </c>
      <c r="AH207" s="200">
        <f t="shared" si="180"/>
        <v>1.2413704788078688</v>
      </c>
      <c r="AI207" s="200">
        <f t="shared" si="180"/>
        <v>1.2884321855467014</v>
      </c>
      <c r="AJ207" s="200">
        <f t="shared" si="180"/>
        <v>1.3354938922855339</v>
      </c>
      <c r="AK207" s="200">
        <f t="shared" si="180"/>
        <v>1.3825555990243665</v>
      </c>
      <c r="AL207" s="200">
        <f t="shared" si="180"/>
        <v>1.4296173057631991</v>
      </c>
      <c r="AM207" s="200">
        <f t="shared" si="180"/>
        <v>1.4766790125020326</v>
      </c>
      <c r="AN207" s="200">
        <f t="shared" si="180"/>
        <v>1.5269075251516764</v>
      </c>
      <c r="AO207" s="200">
        <f t="shared" si="180"/>
        <v>1.9789641389984713</v>
      </c>
      <c r="AP207" s="200">
        <f t="shared" si="180"/>
        <v>1.9789641389984713</v>
      </c>
      <c r="AQ207" s="200">
        <f t="shared" si="181"/>
        <v>1.9789641389984713</v>
      </c>
      <c r="AS207" s="200"/>
      <c r="AT207" s="200"/>
      <c r="AW207" s="200"/>
      <c r="AX207" s="200"/>
      <c r="BH207" s="200">
        <f t="shared" si="182"/>
        <v>0.53452578037785492</v>
      </c>
      <c r="BI207" s="118" t="e">
        <f t="shared" si="183"/>
        <v>#DIV/0!</v>
      </c>
    </row>
    <row r="208" spans="1:61">
      <c r="A208" s="199" t="s">
        <v>16</v>
      </c>
      <c r="G208" s="200"/>
      <c r="H208" s="200"/>
      <c r="I208" s="200"/>
      <c r="L208" s="200"/>
      <c r="M208" s="41"/>
      <c r="N208" s="250"/>
    </row>
    <row r="209" spans="1:60" ht="23.25">
      <c r="A209" s="199" t="s">
        <v>16</v>
      </c>
      <c r="B209" s="16" t="s">
        <v>19</v>
      </c>
      <c r="C209" s="16" t="s">
        <v>20</v>
      </c>
      <c r="D209" s="16" t="s">
        <v>21</v>
      </c>
      <c r="E209" s="16"/>
      <c r="F209" s="16" t="s">
        <v>22</v>
      </c>
      <c r="G209" s="16" t="s">
        <v>23</v>
      </c>
      <c r="H209" s="16" t="s">
        <v>24</v>
      </c>
      <c r="I209" s="17" t="s">
        <v>25</v>
      </c>
      <c r="J209" s="18">
        <v>2012</v>
      </c>
      <c r="K209" s="18">
        <f>1+J209</f>
        <v>2013</v>
      </c>
      <c r="L209" s="18">
        <f t="shared" ref="L209:AL209" si="184">1+K209</f>
        <v>2014</v>
      </c>
      <c r="M209" s="18">
        <f>1+L209</f>
        <v>2015</v>
      </c>
      <c r="N209" s="18">
        <f t="shared" si="184"/>
        <v>2016</v>
      </c>
      <c r="O209" s="18">
        <f t="shared" si="184"/>
        <v>2017</v>
      </c>
      <c r="P209" s="18">
        <f t="shared" si="184"/>
        <v>2018</v>
      </c>
      <c r="Q209" s="18">
        <f t="shared" si="184"/>
        <v>2019</v>
      </c>
      <c r="R209" s="18">
        <f t="shared" si="184"/>
        <v>2020</v>
      </c>
      <c r="S209" s="18">
        <f t="shared" si="184"/>
        <v>2021</v>
      </c>
      <c r="T209" s="18">
        <f t="shared" si="184"/>
        <v>2022</v>
      </c>
      <c r="U209" s="18">
        <f t="shared" si="184"/>
        <v>2023</v>
      </c>
      <c r="V209" s="18">
        <f t="shared" si="184"/>
        <v>2024</v>
      </c>
      <c r="W209" s="18">
        <f t="shared" si="184"/>
        <v>2025</v>
      </c>
      <c r="X209" s="18">
        <f t="shared" si="184"/>
        <v>2026</v>
      </c>
      <c r="Y209" s="18">
        <f t="shared" si="184"/>
        <v>2027</v>
      </c>
      <c r="Z209" s="18">
        <f t="shared" si="184"/>
        <v>2028</v>
      </c>
      <c r="AA209" s="18">
        <f t="shared" si="184"/>
        <v>2029</v>
      </c>
      <c r="AB209" s="18">
        <f t="shared" si="184"/>
        <v>2030</v>
      </c>
      <c r="AC209" s="18">
        <f t="shared" si="184"/>
        <v>2031</v>
      </c>
      <c r="AD209" s="18">
        <f t="shared" si="184"/>
        <v>2032</v>
      </c>
      <c r="AE209" s="18">
        <f t="shared" si="184"/>
        <v>2033</v>
      </c>
      <c r="AF209" s="18">
        <f t="shared" si="184"/>
        <v>2034</v>
      </c>
      <c r="AG209" s="18">
        <f t="shared" si="184"/>
        <v>2035</v>
      </c>
      <c r="AH209" s="18">
        <f t="shared" si="184"/>
        <v>2036</v>
      </c>
      <c r="AI209" s="18">
        <f t="shared" si="184"/>
        <v>2037</v>
      </c>
      <c r="AJ209" s="18">
        <f t="shared" si="184"/>
        <v>2038</v>
      </c>
      <c r="AK209" s="18">
        <f t="shared" si="184"/>
        <v>2039</v>
      </c>
      <c r="AL209" s="18">
        <f t="shared" si="184"/>
        <v>2040</v>
      </c>
      <c r="AM209" s="18">
        <v>2045</v>
      </c>
      <c r="AN209" s="18">
        <v>2050</v>
      </c>
      <c r="AO209" s="18">
        <v>2060</v>
      </c>
      <c r="AP209" s="18">
        <v>2070</v>
      </c>
      <c r="AR209" s="18"/>
      <c r="AS209" s="18"/>
      <c r="AV209" s="18"/>
      <c r="AW209" s="18"/>
      <c r="BG209" s="18">
        <v>2012</v>
      </c>
      <c r="BH209" s="18"/>
    </row>
    <row r="210" spans="1:60" s="205" customFormat="1">
      <c r="A210" s="124" t="s">
        <v>16</v>
      </c>
      <c r="B210" s="205">
        <v>1</v>
      </c>
      <c r="C210" s="205">
        <v>2012</v>
      </c>
      <c r="D210" s="205">
        <f>F4</f>
        <v>2015</v>
      </c>
      <c r="E210" s="205">
        <v>2017</v>
      </c>
      <c r="F210" s="205">
        <v>2020</v>
      </c>
      <c r="G210" s="205">
        <v>2030</v>
      </c>
      <c r="H210" s="205">
        <v>2040</v>
      </c>
      <c r="I210" s="254">
        <v>2050</v>
      </c>
      <c r="J210" s="124">
        <f t="shared" ref="J210:S211" si="185">MATCH(J$209,$C$210:$I$210,$B210)</f>
        <v>1</v>
      </c>
      <c r="K210" s="205">
        <f t="shared" si="185"/>
        <v>1</v>
      </c>
      <c r="L210" s="205">
        <f t="shared" si="185"/>
        <v>1</v>
      </c>
      <c r="M210" s="205">
        <f t="shared" si="185"/>
        <v>2</v>
      </c>
      <c r="N210" s="205">
        <f t="shared" si="185"/>
        <v>2</v>
      </c>
      <c r="O210" s="205">
        <f t="shared" si="185"/>
        <v>3</v>
      </c>
      <c r="P210" s="205">
        <f t="shared" si="185"/>
        <v>3</v>
      </c>
      <c r="Q210" s="205">
        <f t="shared" si="185"/>
        <v>3</v>
      </c>
      <c r="R210" s="205">
        <f t="shared" si="185"/>
        <v>4</v>
      </c>
      <c r="S210" s="205">
        <f t="shared" si="185"/>
        <v>4</v>
      </c>
      <c r="T210" s="205">
        <f t="shared" ref="T210:AC211" si="186">MATCH(T$209,$C$210:$I$210,$B210)</f>
        <v>4</v>
      </c>
      <c r="U210" s="205">
        <f t="shared" si="186"/>
        <v>4</v>
      </c>
      <c r="V210" s="205">
        <f t="shared" si="186"/>
        <v>4</v>
      </c>
      <c r="W210" s="205">
        <f t="shared" si="186"/>
        <v>4</v>
      </c>
      <c r="X210" s="205">
        <f t="shared" si="186"/>
        <v>4</v>
      </c>
      <c r="Y210" s="205">
        <f t="shared" si="186"/>
        <v>4</v>
      </c>
      <c r="Z210" s="205">
        <f t="shared" si="186"/>
        <v>4</v>
      </c>
      <c r="AA210" s="205">
        <f t="shared" si="186"/>
        <v>4</v>
      </c>
      <c r="AB210" s="205">
        <f t="shared" si="186"/>
        <v>5</v>
      </c>
      <c r="AC210" s="205">
        <f t="shared" si="186"/>
        <v>5</v>
      </c>
      <c r="AD210" s="205">
        <f t="shared" ref="AD210:AP211" si="187">MATCH(AD$209,$C$210:$I$210,$B210)</f>
        <v>5</v>
      </c>
      <c r="AE210" s="205">
        <f t="shared" si="187"/>
        <v>5</v>
      </c>
      <c r="AF210" s="205">
        <f t="shared" si="187"/>
        <v>5</v>
      </c>
      <c r="AG210" s="205">
        <f t="shared" si="187"/>
        <v>5</v>
      </c>
      <c r="AH210" s="205">
        <f t="shared" si="187"/>
        <v>5</v>
      </c>
      <c r="AI210" s="205">
        <f t="shared" si="187"/>
        <v>5</v>
      </c>
      <c r="AJ210" s="205">
        <f t="shared" si="187"/>
        <v>5</v>
      </c>
      <c r="AK210" s="205">
        <f t="shared" si="187"/>
        <v>5</v>
      </c>
      <c r="AL210" s="205">
        <f t="shared" si="187"/>
        <v>6</v>
      </c>
      <c r="AM210" s="205">
        <f t="shared" si="187"/>
        <v>6</v>
      </c>
      <c r="AN210" s="205">
        <f t="shared" si="187"/>
        <v>7</v>
      </c>
      <c r="AO210" s="205">
        <f t="shared" si="187"/>
        <v>7</v>
      </c>
      <c r="AP210" s="205">
        <f t="shared" si="187"/>
        <v>7</v>
      </c>
      <c r="BG210" s="124">
        <f>MATCH(BG$209,$C$210:$I$210,$B210)</f>
        <v>1</v>
      </c>
    </row>
    <row r="211" spans="1:60">
      <c r="A211" s="41" t="s">
        <v>16</v>
      </c>
      <c r="B211" s="199">
        <v>0</v>
      </c>
      <c r="C211" s="199">
        <f t="shared" ref="C211:I211" si="188">INDEX($C210:$I210,0,COUNT($C210:$I210)-C212)</f>
        <v>2050</v>
      </c>
      <c r="D211" s="199">
        <f t="shared" si="188"/>
        <v>2040</v>
      </c>
      <c r="E211" s="199">
        <f t="shared" si="188"/>
        <v>2030</v>
      </c>
      <c r="F211" s="199">
        <f t="shared" si="188"/>
        <v>2020</v>
      </c>
      <c r="G211" s="199">
        <f t="shared" si="188"/>
        <v>2017</v>
      </c>
      <c r="H211" s="199">
        <f t="shared" si="188"/>
        <v>2015</v>
      </c>
      <c r="I211" s="131">
        <f t="shared" si="188"/>
        <v>2012</v>
      </c>
      <c r="J211" s="41">
        <f t="shared" si="185"/>
        <v>1</v>
      </c>
      <c r="K211" s="199" t="e">
        <f t="shared" si="185"/>
        <v>#N/A</v>
      </c>
      <c r="L211" s="199" t="e">
        <f t="shared" si="185"/>
        <v>#N/A</v>
      </c>
      <c r="M211" s="199">
        <f t="shared" si="185"/>
        <v>2</v>
      </c>
      <c r="N211" s="199" t="e">
        <f t="shared" si="185"/>
        <v>#N/A</v>
      </c>
      <c r="O211" s="199">
        <f t="shared" si="185"/>
        <v>3</v>
      </c>
      <c r="P211" s="199" t="e">
        <f t="shared" si="185"/>
        <v>#N/A</v>
      </c>
      <c r="Q211" s="199" t="e">
        <f t="shared" si="185"/>
        <v>#N/A</v>
      </c>
      <c r="R211" s="199">
        <f t="shared" si="185"/>
        <v>4</v>
      </c>
      <c r="S211" s="199" t="e">
        <f t="shared" si="185"/>
        <v>#N/A</v>
      </c>
      <c r="T211" s="199" t="e">
        <f t="shared" si="186"/>
        <v>#N/A</v>
      </c>
      <c r="U211" s="199" t="e">
        <f t="shared" si="186"/>
        <v>#N/A</v>
      </c>
      <c r="V211" s="199" t="e">
        <f t="shared" si="186"/>
        <v>#N/A</v>
      </c>
      <c r="W211" s="199" t="e">
        <f t="shared" si="186"/>
        <v>#N/A</v>
      </c>
      <c r="X211" s="199" t="e">
        <f t="shared" si="186"/>
        <v>#N/A</v>
      </c>
      <c r="Y211" s="199" t="e">
        <f t="shared" si="186"/>
        <v>#N/A</v>
      </c>
      <c r="Z211" s="199" t="e">
        <f t="shared" si="186"/>
        <v>#N/A</v>
      </c>
      <c r="AA211" s="199" t="e">
        <f t="shared" si="186"/>
        <v>#N/A</v>
      </c>
      <c r="AB211" s="199">
        <f t="shared" si="186"/>
        <v>5</v>
      </c>
      <c r="AC211" s="199" t="e">
        <f t="shared" si="186"/>
        <v>#N/A</v>
      </c>
      <c r="AD211" s="199" t="e">
        <f t="shared" si="187"/>
        <v>#N/A</v>
      </c>
      <c r="AE211" s="199" t="e">
        <f t="shared" si="187"/>
        <v>#N/A</v>
      </c>
      <c r="AF211" s="199" t="e">
        <f t="shared" si="187"/>
        <v>#N/A</v>
      </c>
      <c r="AG211" s="199" t="e">
        <f t="shared" si="187"/>
        <v>#N/A</v>
      </c>
      <c r="AH211" s="199" t="e">
        <f t="shared" si="187"/>
        <v>#N/A</v>
      </c>
      <c r="AI211" s="199" t="e">
        <f t="shared" si="187"/>
        <v>#N/A</v>
      </c>
      <c r="AJ211" s="199" t="e">
        <f t="shared" si="187"/>
        <v>#N/A</v>
      </c>
      <c r="AK211" s="199" t="e">
        <f t="shared" si="187"/>
        <v>#N/A</v>
      </c>
      <c r="AL211" s="199">
        <f t="shared" si="187"/>
        <v>6</v>
      </c>
      <c r="AM211" s="199" t="e">
        <f t="shared" si="187"/>
        <v>#N/A</v>
      </c>
      <c r="AN211" s="199">
        <f t="shared" si="187"/>
        <v>7</v>
      </c>
      <c r="AO211" s="199" t="e">
        <f t="shared" si="187"/>
        <v>#N/A</v>
      </c>
      <c r="AP211" s="199" t="e">
        <f t="shared" si="187"/>
        <v>#N/A</v>
      </c>
      <c r="BG211" s="41">
        <f>MATCH(BG$209,$C$210:$I$210,$B211)</f>
        <v>1</v>
      </c>
    </row>
    <row r="212" spans="1:60">
      <c r="A212" s="41" t="s">
        <v>16</v>
      </c>
      <c r="B212" s="199">
        <v>-1</v>
      </c>
      <c r="C212" s="199">
        <v>0</v>
      </c>
      <c r="D212" s="199">
        <v>1</v>
      </c>
      <c r="E212" s="202">
        <v>2</v>
      </c>
      <c r="F212" s="199">
        <v>3</v>
      </c>
      <c r="G212" s="199">
        <v>4</v>
      </c>
      <c r="H212" s="199">
        <v>5</v>
      </c>
      <c r="I212" s="199">
        <v>6</v>
      </c>
      <c r="J212" s="199">
        <f t="shared" ref="J212:AP212" si="189">MATCH(J$209,$C$211:$I$211,$B212)</f>
        <v>7</v>
      </c>
      <c r="K212" s="199">
        <f t="shared" si="189"/>
        <v>6</v>
      </c>
      <c r="L212" s="199">
        <f t="shared" si="189"/>
        <v>6</v>
      </c>
      <c r="M212" s="199">
        <f t="shared" si="189"/>
        <v>6</v>
      </c>
      <c r="N212" s="199">
        <f t="shared" si="189"/>
        <v>5</v>
      </c>
      <c r="O212" s="199">
        <f t="shared" si="189"/>
        <v>5</v>
      </c>
      <c r="P212" s="199">
        <f t="shared" si="189"/>
        <v>4</v>
      </c>
      <c r="Q212" s="199">
        <f t="shared" si="189"/>
        <v>4</v>
      </c>
      <c r="R212" s="199">
        <f t="shared" si="189"/>
        <v>4</v>
      </c>
      <c r="S212" s="199">
        <f t="shared" si="189"/>
        <v>3</v>
      </c>
      <c r="T212" s="199">
        <f t="shared" si="189"/>
        <v>3</v>
      </c>
      <c r="U212" s="199">
        <f t="shared" si="189"/>
        <v>3</v>
      </c>
      <c r="V212" s="199">
        <f t="shared" si="189"/>
        <v>3</v>
      </c>
      <c r="W212" s="199">
        <f t="shared" si="189"/>
        <v>3</v>
      </c>
      <c r="X212" s="199">
        <f t="shared" si="189"/>
        <v>3</v>
      </c>
      <c r="Y212" s="199">
        <f t="shared" si="189"/>
        <v>3</v>
      </c>
      <c r="Z212" s="199">
        <f t="shared" si="189"/>
        <v>3</v>
      </c>
      <c r="AA212" s="199">
        <f t="shared" si="189"/>
        <v>3</v>
      </c>
      <c r="AB212" s="199">
        <f t="shared" si="189"/>
        <v>3</v>
      </c>
      <c r="AC212" s="199">
        <f t="shared" si="189"/>
        <v>2</v>
      </c>
      <c r="AD212" s="199">
        <f t="shared" si="189"/>
        <v>2</v>
      </c>
      <c r="AE212" s="199">
        <f t="shared" si="189"/>
        <v>2</v>
      </c>
      <c r="AF212" s="199">
        <f t="shared" si="189"/>
        <v>2</v>
      </c>
      <c r="AG212" s="199">
        <f t="shared" si="189"/>
        <v>2</v>
      </c>
      <c r="AH212" s="199">
        <f t="shared" si="189"/>
        <v>2</v>
      </c>
      <c r="AI212" s="199">
        <f t="shared" si="189"/>
        <v>2</v>
      </c>
      <c r="AJ212" s="199">
        <f t="shared" si="189"/>
        <v>2</v>
      </c>
      <c r="AK212" s="199">
        <f t="shared" si="189"/>
        <v>2</v>
      </c>
      <c r="AL212" s="199">
        <f t="shared" si="189"/>
        <v>2</v>
      </c>
      <c r="AM212" s="199">
        <f t="shared" si="189"/>
        <v>1</v>
      </c>
      <c r="AN212" s="199">
        <f t="shared" si="189"/>
        <v>1</v>
      </c>
      <c r="AO212" s="199" t="e">
        <f t="shared" si="189"/>
        <v>#N/A</v>
      </c>
      <c r="AP212" s="199" t="e">
        <f t="shared" si="189"/>
        <v>#N/A</v>
      </c>
      <c r="BG212" s="199">
        <f>MATCH(BG$209,$C$211:$I$211,$B212)</f>
        <v>7</v>
      </c>
    </row>
    <row r="213" spans="1:60" s="127" customFormat="1">
      <c r="A213" s="126" t="s">
        <v>16</v>
      </c>
      <c r="I213" s="132"/>
      <c r="J213" s="203">
        <f>IF(ISNA(J210),-1,IF(ISNA(J212),99,IF(ISNA(J211),J210,0)))</f>
        <v>0</v>
      </c>
      <c r="K213" s="203">
        <f t="shared" ref="K213:AP213" si="190">IF(ISNA(K210),-1,IF(ISNA(K212),99,IF(ISNA(K211),K210,0)))</f>
        <v>1</v>
      </c>
      <c r="L213" s="203">
        <f t="shared" si="190"/>
        <v>1</v>
      </c>
      <c r="M213" s="203">
        <f t="shared" si="190"/>
        <v>0</v>
      </c>
      <c r="N213" s="203">
        <f t="shared" si="190"/>
        <v>2</v>
      </c>
      <c r="O213" s="203">
        <f t="shared" si="190"/>
        <v>0</v>
      </c>
      <c r="P213" s="203">
        <f t="shared" si="190"/>
        <v>3</v>
      </c>
      <c r="Q213" s="203">
        <f t="shared" si="190"/>
        <v>3</v>
      </c>
      <c r="R213" s="203">
        <f t="shared" si="190"/>
        <v>0</v>
      </c>
      <c r="S213" s="203">
        <f t="shared" si="190"/>
        <v>4</v>
      </c>
      <c r="T213" s="203">
        <f t="shared" si="190"/>
        <v>4</v>
      </c>
      <c r="U213" s="203">
        <f t="shared" si="190"/>
        <v>4</v>
      </c>
      <c r="V213" s="203">
        <f t="shared" si="190"/>
        <v>4</v>
      </c>
      <c r="W213" s="203">
        <f t="shared" si="190"/>
        <v>4</v>
      </c>
      <c r="X213" s="203">
        <f t="shared" si="190"/>
        <v>4</v>
      </c>
      <c r="Y213" s="203">
        <f t="shared" si="190"/>
        <v>4</v>
      </c>
      <c r="Z213" s="203">
        <f t="shared" si="190"/>
        <v>4</v>
      </c>
      <c r="AA213" s="203">
        <f t="shared" si="190"/>
        <v>4</v>
      </c>
      <c r="AB213" s="203">
        <f t="shared" si="190"/>
        <v>0</v>
      </c>
      <c r="AC213" s="203">
        <f t="shared" si="190"/>
        <v>5</v>
      </c>
      <c r="AD213" s="203">
        <f t="shared" si="190"/>
        <v>5</v>
      </c>
      <c r="AE213" s="203">
        <f t="shared" si="190"/>
        <v>5</v>
      </c>
      <c r="AF213" s="203">
        <f t="shared" si="190"/>
        <v>5</v>
      </c>
      <c r="AG213" s="203">
        <f t="shared" si="190"/>
        <v>5</v>
      </c>
      <c r="AH213" s="203">
        <f t="shared" si="190"/>
        <v>5</v>
      </c>
      <c r="AI213" s="203">
        <f t="shared" si="190"/>
        <v>5</v>
      </c>
      <c r="AJ213" s="203">
        <f t="shared" si="190"/>
        <v>5</v>
      </c>
      <c r="AK213" s="203">
        <f t="shared" si="190"/>
        <v>5</v>
      </c>
      <c r="AL213" s="203">
        <f t="shared" si="190"/>
        <v>0</v>
      </c>
      <c r="AM213" s="203">
        <f t="shared" si="190"/>
        <v>6</v>
      </c>
      <c r="AN213" s="203">
        <f t="shared" si="190"/>
        <v>0</v>
      </c>
      <c r="AO213" s="203">
        <f t="shared" si="190"/>
        <v>99</v>
      </c>
      <c r="AP213" s="203">
        <f t="shared" si="190"/>
        <v>99</v>
      </c>
      <c r="AR213" s="203"/>
      <c r="AS213" s="203"/>
      <c r="AV213" s="203"/>
      <c r="AW213" s="203"/>
      <c r="BG213" s="203">
        <f>IF(ISNA(BG210),-1,IF(ISNA(BG212),99,IF(ISNA(BG211),BG210,0)))</f>
        <v>0</v>
      </c>
      <c r="BH213" s="203"/>
    </row>
    <row r="214" spans="1:60">
      <c r="B214" s="22" t="str">
        <f t="shared" ref="B214:B221" si="191">IF(A214="*","","COM_PROJ")</f>
        <v>COM_PROJ</v>
      </c>
      <c r="C214" s="23" t="str">
        <f t="shared" ref="C214:C221" si="192">IF($A214="*","","-")</f>
        <v>-</v>
      </c>
      <c r="D214" s="61" t="str">
        <f t="shared" ref="D214:D221" si="193">B186</f>
        <v>TPPRCAR</v>
      </c>
      <c r="E214" s="23" t="str">
        <f t="shared" ref="E214:H221" si="194">IF($A214="*","","-")</f>
        <v>-</v>
      </c>
      <c r="F214" s="23" t="str">
        <f t="shared" si="194"/>
        <v>-</v>
      </c>
      <c r="G214" s="23" t="str">
        <f t="shared" si="194"/>
        <v>-</v>
      </c>
      <c r="H214" s="23" t="str">
        <f t="shared" si="194"/>
        <v>-</v>
      </c>
      <c r="I214" s="22">
        <f t="shared" ref="I214:I221" si="195">IF(A214="*","",0)</f>
        <v>0</v>
      </c>
      <c r="J214" s="200">
        <f t="shared" ref="J214:K216" si="196">IF(J$213=-1,K214,IF(J$213=99,BF214,IF(J$213=0,INDEX($E186:$K186,0,J$211),(INDEX($E186:$K186,0,J$213+1)-INDEX($E186:$K186,0,J$213))/(INDEX($E$185:$K$185,0,J$213+1)-INDEX($E$185:$K$185,0,J$213))+BF214)))</f>
        <v>81.009438001127293</v>
      </c>
      <c r="K214" s="200">
        <f t="shared" si="196"/>
        <v>83.52813729379011</v>
      </c>
      <c r="L214" s="200">
        <f t="shared" ref="L214:AL214" si="197">IF(L$213=-1,M214,IF(L$213=99,K214,IF(L$213=0,INDEX($E186:$K186,0,L$211),(INDEX($E186:$K186,0,L$213+1)-INDEX($E186:$K186,0,L$213))/(INDEX($E$185:$K$185,0,L$213+1)-INDEX($E$185:$K$185,0,L$213))+K214)))</f>
        <v>86.046836586452926</v>
      </c>
      <c r="M214" s="200">
        <f t="shared" si="197"/>
        <v>88.565535879115743</v>
      </c>
      <c r="N214" s="200">
        <f t="shared" si="197"/>
        <v>90.686795310603856</v>
      </c>
      <c r="O214" s="200">
        <f t="shared" si="197"/>
        <v>92.808054742091983</v>
      </c>
      <c r="P214" s="200">
        <f t="shared" si="197"/>
        <v>93.443648036302946</v>
      </c>
      <c r="Q214" s="200">
        <f t="shared" si="197"/>
        <v>94.079241330513909</v>
      </c>
      <c r="R214" s="200">
        <f t="shared" si="197"/>
        <v>94.714834624724887</v>
      </c>
      <c r="S214" s="200">
        <f t="shared" si="197"/>
        <v>98.857872371786286</v>
      </c>
      <c r="T214" s="200">
        <f t="shared" si="197"/>
        <v>103.00091011884768</v>
      </c>
      <c r="U214" s="200">
        <f t="shared" si="197"/>
        <v>107.14394786590908</v>
      </c>
      <c r="V214" s="200">
        <f t="shared" si="197"/>
        <v>111.28698561297048</v>
      </c>
      <c r="W214" s="200">
        <f t="shared" si="197"/>
        <v>115.43002336003188</v>
      </c>
      <c r="X214" s="200">
        <f t="shared" si="197"/>
        <v>119.57306110709328</v>
      </c>
      <c r="Y214" s="200">
        <f t="shared" si="197"/>
        <v>123.71609885415468</v>
      </c>
      <c r="Z214" s="200">
        <f t="shared" si="197"/>
        <v>127.85913660121608</v>
      </c>
      <c r="AA214" s="200">
        <f t="shared" si="197"/>
        <v>132.00217434827749</v>
      </c>
      <c r="AB214" s="200">
        <f t="shared" si="197"/>
        <v>136.14521209533891</v>
      </c>
      <c r="AC214" s="200">
        <f t="shared" si="197"/>
        <v>140.79346919249522</v>
      </c>
      <c r="AD214" s="200">
        <f t="shared" si="197"/>
        <v>145.44172628965154</v>
      </c>
      <c r="AE214" s="200">
        <f t="shared" si="197"/>
        <v>150.08998338680786</v>
      </c>
      <c r="AF214" s="200">
        <f t="shared" si="197"/>
        <v>154.73824048396418</v>
      </c>
      <c r="AG214" s="200">
        <f t="shared" si="197"/>
        <v>159.38649758112049</v>
      </c>
      <c r="AH214" s="200">
        <f t="shared" si="197"/>
        <v>164.03475467827681</v>
      </c>
      <c r="AI214" s="200">
        <f t="shared" si="197"/>
        <v>168.68301177543313</v>
      </c>
      <c r="AJ214" s="200">
        <f t="shared" si="197"/>
        <v>173.33126887258945</v>
      </c>
      <c r="AK214" s="200">
        <f t="shared" si="197"/>
        <v>177.97952596974577</v>
      </c>
      <c r="AL214" s="200">
        <f t="shared" si="197"/>
        <v>182.62778306690217</v>
      </c>
      <c r="AM214" s="230">
        <f>(AL214+AN214)/2</f>
        <v>202.1515280550031</v>
      </c>
      <c r="AN214" s="200">
        <f t="shared" ref="AN214:AO221" si="198">IF(AN$213=-1,AO214,IF(AN$213=99,AM214,IF(AN$213=0,INDEX($E186:$K186,0,AN$211),(INDEX($E186:$K186,0,AN$213+1)-INDEX($E186:$K186,0,AN$213))/(INDEX($E$185:$K$185,0,AN$213+1)-INDEX($E$185:$K$185,0,AN$213))+AM214)))</f>
        <v>221.67527304310403</v>
      </c>
      <c r="AO214" s="200">
        <f t="shared" si="198"/>
        <v>221.67527304310403</v>
      </c>
      <c r="AP214" s="200">
        <f t="shared" ref="AP214:AP221" si="199">IF(AP$213=-1,AR214,IF(AP$213=99,AO214,IF(AP$213=0,INDEX($E186:$K186,0,AP$211),(INDEX($E186:$K186,0,AP$213+1)-INDEX($E186:$K186,0,AP$213))/(INDEX($E$185:$K$185,0,AP$213+1)-INDEX($E$185:$K$185,0,AP$213))+AO214)))</f>
        <v>221.67527304310403</v>
      </c>
      <c r="AR214" s="200"/>
      <c r="AS214" s="200"/>
      <c r="AV214" s="200"/>
      <c r="AW214" s="200"/>
      <c r="BG214" s="200">
        <f t="shared" ref="BG214:BG221" si="200">E186</f>
        <v>81.009438001127293</v>
      </c>
      <c r="BH214" s="118">
        <f t="shared" ref="BH214:BH221" si="201">(J214-BG214)/J214</f>
        <v>0</v>
      </c>
    </row>
    <row r="215" spans="1:60">
      <c r="B215" s="22" t="str">
        <f t="shared" si="191"/>
        <v>COM_PROJ</v>
      </c>
      <c r="C215" s="23" t="str">
        <f t="shared" si="192"/>
        <v>-</v>
      </c>
      <c r="D215" s="61" t="str">
        <f t="shared" si="193"/>
        <v>TPPRSUV</v>
      </c>
      <c r="E215" s="23" t="str">
        <f t="shared" si="194"/>
        <v>-</v>
      </c>
      <c r="F215" s="23" t="str">
        <f t="shared" si="194"/>
        <v>-</v>
      </c>
      <c r="G215" s="23" t="str">
        <f t="shared" si="194"/>
        <v>-</v>
      </c>
      <c r="H215" s="23" t="str">
        <f t="shared" si="194"/>
        <v>-</v>
      </c>
      <c r="I215" s="22">
        <f t="shared" si="195"/>
        <v>0</v>
      </c>
      <c r="J215" s="200">
        <f t="shared" si="196"/>
        <v>9.3016229013555076</v>
      </c>
      <c r="K215" s="200">
        <f t="shared" si="196"/>
        <v>9.5908236611723368</v>
      </c>
      <c r="L215" s="200">
        <f t="shared" ref="L215:AL215" si="202">IF(L$213=-1,M215,IF(L$213=99,K215,IF(L$213=0,INDEX($E187:$K187,0,L$211),(INDEX($E187:$K187,0,L$213+1)-INDEX($E187:$K187,0,L$213))/(INDEX($E$185:$K$185,0,L$213+1)-INDEX($E$185:$K$185,0,L$213))+K215)))</f>
        <v>9.8800244209891659</v>
      </c>
      <c r="M215" s="200">
        <f t="shared" si="202"/>
        <v>10.169225180805997</v>
      </c>
      <c r="N215" s="200">
        <f t="shared" si="202"/>
        <v>10.41279131080892</v>
      </c>
      <c r="O215" s="200">
        <f t="shared" si="202"/>
        <v>10.656357440811842</v>
      </c>
      <c r="P215" s="200">
        <f t="shared" si="202"/>
        <v>10.712422470054557</v>
      </c>
      <c r="Q215" s="200">
        <f t="shared" si="202"/>
        <v>10.768487499297272</v>
      </c>
      <c r="R215" s="200">
        <f t="shared" si="202"/>
        <v>10.824552528539989</v>
      </c>
      <c r="S215" s="200">
        <f t="shared" si="202"/>
        <v>11.289411944464236</v>
      </c>
      <c r="T215" s="200">
        <f t="shared" si="202"/>
        <v>11.754271360388483</v>
      </c>
      <c r="U215" s="200">
        <f t="shared" si="202"/>
        <v>12.219130776312729</v>
      </c>
      <c r="V215" s="200">
        <f t="shared" si="202"/>
        <v>12.683990192236976</v>
      </c>
      <c r="W215" s="200">
        <f t="shared" si="202"/>
        <v>13.148849608161223</v>
      </c>
      <c r="X215" s="200">
        <f t="shared" si="202"/>
        <v>13.61370902408547</v>
      </c>
      <c r="Y215" s="200">
        <f t="shared" si="202"/>
        <v>14.078568440009716</v>
      </c>
      <c r="Z215" s="200">
        <f t="shared" si="202"/>
        <v>14.543427855933963</v>
      </c>
      <c r="AA215" s="200">
        <f t="shared" si="202"/>
        <v>15.00828727185821</v>
      </c>
      <c r="AB215" s="200">
        <f t="shared" si="202"/>
        <v>15.47314668778245</v>
      </c>
      <c r="AC215" s="200">
        <f t="shared" si="202"/>
        <v>16.001429414731817</v>
      </c>
      <c r="AD215" s="200">
        <f t="shared" si="202"/>
        <v>16.529712141681184</v>
      </c>
      <c r="AE215" s="200">
        <f t="shared" si="202"/>
        <v>17.057994868630551</v>
      </c>
      <c r="AF215" s="200">
        <f t="shared" si="202"/>
        <v>17.586277595579919</v>
      </c>
      <c r="AG215" s="200">
        <f t="shared" si="202"/>
        <v>18.114560322529286</v>
      </c>
      <c r="AH215" s="200">
        <f t="shared" si="202"/>
        <v>18.642843049478653</v>
      </c>
      <c r="AI215" s="200">
        <f t="shared" si="202"/>
        <v>19.171125776428021</v>
      </c>
      <c r="AJ215" s="200">
        <f t="shared" si="202"/>
        <v>19.699408503377388</v>
      </c>
      <c r="AK215" s="200">
        <f t="shared" si="202"/>
        <v>20.227691230326755</v>
      </c>
      <c r="AL215" s="200">
        <f t="shared" si="202"/>
        <v>20.755973957276126</v>
      </c>
      <c r="AM215" s="230">
        <f t="shared" ref="AM215:AM221" si="203">(AL215+AN215)/2</f>
        <v>22.974882470079315</v>
      </c>
      <c r="AN215" s="200">
        <f t="shared" si="198"/>
        <v>25.193790982882504</v>
      </c>
      <c r="AO215" s="200">
        <f t="shared" si="198"/>
        <v>25.193790982882504</v>
      </c>
      <c r="AP215" s="200">
        <f t="shared" si="199"/>
        <v>25.193790982882504</v>
      </c>
      <c r="AR215" s="200"/>
      <c r="AS215" s="200"/>
      <c r="AV215" s="200"/>
      <c r="AW215" s="200"/>
      <c r="BG215" s="200">
        <f t="shared" si="200"/>
        <v>9.3016229013555076</v>
      </c>
      <c r="BH215" s="118">
        <f t="shared" si="201"/>
        <v>0</v>
      </c>
    </row>
    <row r="216" spans="1:60">
      <c r="B216" s="22" t="str">
        <f t="shared" si="191"/>
        <v>COM_PROJ</v>
      </c>
      <c r="C216" s="23" t="str">
        <f t="shared" si="192"/>
        <v>-</v>
      </c>
      <c r="D216" s="61" t="str">
        <f t="shared" si="193"/>
        <v>TPPRMOT</v>
      </c>
      <c r="E216" s="23" t="str">
        <f t="shared" si="194"/>
        <v>-</v>
      </c>
      <c r="F216" s="23" t="str">
        <f t="shared" si="194"/>
        <v>-</v>
      </c>
      <c r="G216" s="23" t="str">
        <f t="shared" si="194"/>
        <v>-</v>
      </c>
      <c r="H216" s="23" t="str">
        <f t="shared" si="194"/>
        <v>-</v>
      </c>
      <c r="I216" s="22">
        <f t="shared" si="195"/>
        <v>0</v>
      </c>
      <c r="J216" s="200">
        <f t="shared" si="196"/>
        <v>3.1707811479382442</v>
      </c>
      <c r="K216" s="200">
        <f t="shared" si="196"/>
        <v>2.9655315533815689</v>
      </c>
      <c r="L216" s="200">
        <f t="shared" ref="L216:AL216" si="204">IF(L$213=-1,M216,IF(L$213=99,K216,IF(L$213=0,INDEX($E188:$K188,0,L$211),(INDEX($E188:$K188,0,L$213+1)-INDEX($E188:$K188,0,L$213))/(INDEX($E$185:$K$185,0,L$213+1)-INDEX($E$185:$K$185,0,L$213))+K216)))</f>
        <v>2.7602819588248937</v>
      </c>
      <c r="M216" s="200">
        <f t="shared" si="204"/>
        <v>2.555032364268218</v>
      </c>
      <c r="N216" s="200">
        <f t="shared" si="204"/>
        <v>2.6162287026256017</v>
      </c>
      <c r="O216" s="200">
        <f t="shared" si="204"/>
        <v>2.6774250409829849</v>
      </c>
      <c r="P216" s="200">
        <f t="shared" si="204"/>
        <v>2.6869960713669889</v>
      </c>
      <c r="Q216" s="200">
        <f t="shared" si="204"/>
        <v>2.6965671017509929</v>
      </c>
      <c r="R216" s="200">
        <f t="shared" si="204"/>
        <v>2.7061381321349973</v>
      </c>
      <c r="S216" s="200">
        <f t="shared" si="204"/>
        <v>2.8520582716223806</v>
      </c>
      <c r="T216" s="200">
        <f t="shared" si="204"/>
        <v>2.9979784111097638</v>
      </c>
      <c r="U216" s="200">
        <f t="shared" si="204"/>
        <v>3.1438985505971471</v>
      </c>
      <c r="V216" s="200">
        <f t="shared" si="204"/>
        <v>3.2898186900845303</v>
      </c>
      <c r="W216" s="200">
        <f t="shared" si="204"/>
        <v>3.4357388295719136</v>
      </c>
      <c r="X216" s="200">
        <f t="shared" si="204"/>
        <v>3.5816589690592968</v>
      </c>
      <c r="Y216" s="200">
        <f t="shared" si="204"/>
        <v>3.7275791085466801</v>
      </c>
      <c r="Z216" s="200">
        <f t="shared" si="204"/>
        <v>3.8734992480340633</v>
      </c>
      <c r="AA216" s="200">
        <f t="shared" si="204"/>
        <v>4.0194193875214461</v>
      </c>
      <c r="AB216" s="200">
        <f t="shared" si="204"/>
        <v>4.1653395270088289</v>
      </c>
      <c r="AC216" s="200">
        <f t="shared" si="204"/>
        <v>4.3505326660954555</v>
      </c>
      <c r="AD216" s="200">
        <f t="shared" si="204"/>
        <v>4.5357258051820821</v>
      </c>
      <c r="AE216" s="200">
        <f t="shared" si="204"/>
        <v>4.7209189442687087</v>
      </c>
      <c r="AF216" s="200">
        <f t="shared" si="204"/>
        <v>4.9061120833553353</v>
      </c>
      <c r="AG216" s="200">
        <f t="shared" si="204"/>
        <v>5.0913052224419619</v>
      </c>
      <c r="AH216" s="200">
        <f t="shared" si="204"/>
        <v>5.2764983615285885</v>
      </c>
      <c r="AI216" s="200">
        <f t="shared" si="204"/>
        <v>5.4616915006152151</v>
      </c>
      <c r="AJ216" s="200">
        <f t="shared" si="204"/>
        <v>5.6468846397018417</v>
      </c>
      <c r="AK216" s="200">
        <f t="shared" si="204"/>
        <v>5.8320777787884683</v>
      </c>
      <c r="AL216" s="200">
        <f t="shared" si="204"/>
        <v>6.0172709178750976</v>
      </c>
      <c r="AM216" s="230">
        <f t="shared" si="203"/>
        <v>6.9648704593539996</v>
      </c>
      <c r="AN216" s="200">
        <f t="shared" si="198"/>
        <v>7.9124700008329016</v>
      </c>
      <c r="AO216" s="200">
        <f t="shared" si="198"/>
        <v>7.9124700008329016</v>
      </c>
      <c r="AP216" s="200">
        <f t="shared" si="199"/>
        <v>7.9124700008329016</v>
      </c>
      <c r="AR216" s="200"/>
      <c r="AS216" s="200"/>
      <c r="AV216" s="200"/>
      <c r="AW216" s="200"/>
      <c r="BG216" s="200">
        <f t="shared" si="200"/>
        <v>3.1707811479382442</v>
      </c>
      <c r="BH216" s="118">
        <f t="shared" si="201"/>
        <v>0</v>
      </c>
    </row>
    <row r="217" spans="1:60">
      <c r="B217" s="22" t="str">
        <f t="shared" si="191"/>
        <v>COM_PROJ</v>
      </c>
      <c r="C217" s="23" t="str">
        <f t="shared" si="192"/>
        <v>-</v>
      </c>
      <c r="D217" s="61" t="str">
        <f t="shared" si="193"/>
        <v>TPPUBUS</v>
      </c>
      <c r="E217" s="23" t="str">
        <f t="shared" si="194"/>
        <v>-</v>
      </c>
      <c r="F217" s="23" t="str">
        <f t="shared" si="194"/>
        <v>-</v>
      </c>
      <c r="G217" s="23" t="str">
        <f t="shared" si="194"/>
        <v>-</v>
      </c>
      <c r="H217" s="23" t="str">
        <f t="shared" si="194"/>
        <v>-</v>
      </c>
      <c r="I217" s="22">
        <f t="shared" si="195"/>
        <v>0</v>
      </c>
      <c r="J217" s="200">
        <f>INDEX('[2]TS BYDem'!J$10:J$59,MATCH($D217,'[2]TS BYDem'!D$10:D$59,0))</f>
        <v>1.4990333520535337</v>
      </c>
      <c r="K217" s="200">
        <f>IF(K$213=-1,L217,IF(K$213=99,BG217,IF(K$213=0,INDEX($E189:$K189,0,K$211),(INDEX($E189:$K189,0,K$213+1)-INDEX($E189:$K189,0,K$213))/(INDEX($E$185:$K$185,0,K$213+1)-INDEX($E$185:$K$185,0,K$213))+BG217)))</f>
        <v>0.6286609931450593</v>
      </c>
      <c r="L217" s="200">
        <f t="shared" ref="L217:AL217" si="205">IF(L$213=-1,M217,IF(L$213=99,K217,IF(L$213=0,INDEX($E189:$K189,0,L$211),(INDEX($E189:$K189,0,L$213+1)-INDEX($E189:$K189,0,L$213))/(INDEX($E$185:$K$185,0,L$213+1)-INDEX($E$185:$K$185,0,L$213))+K217)))</f>
        <v>0.63933049657252961</v>
      </c>
      <c r="M217" s="200">
        <f t="shared" si="205"/>
        <v>0.65</v>
      </c>
      <c r="N217" s="200">
        <f t="shared" si="205"/>
        <v>0.66077214814486951</v>
      </c>
      <c r="O217" s="200">
        <f t="shared" si="205"/>
        <v>0.671544296289739</v>
      </c>
      <c r="P217" s="200">
        <f t="shared" si="205"/>
        <v>0.87798396883399099</v>
      </c>
      <c r="Q217" s="200">
        <f t="shared" si="205"/>
        <v>1.0844236413782431</v>
      </c>
      <c r="R217" s="200">
        <f t="shared" si="205"/>
        <v>1.290863313922495</v>
      </c>
      <c r="S217" s="200">
        <f t="shared" si="205"/>
        <v>1.2506905520637515</v>
      </c>
      <c r="T217" s="200">
        <f t="shared" si="205"/>
        <v>1.2105177902050079</v>
      </c>
      <c r="U217" s="200">
        <f t="shared" si="205"/>
        <v>1.1703450283462644</v>
      </c>
      <c r="V217" s="200">
        <f t="shared" si="205"/>
        <v>1.1301722664875209</v>
      </c>
      <c r="W217" s="200">
        <f t="shared" si="205"/>
        <v>1.0899995046287774</v>
      </c>
      <c r="X217" s="200">
        <f t="shared" si="205"/>
        <v>1.0498267427700338</v>
      </c>
      <c r="Y217" s="200">
        <f t="shared" si="205"/>
        <v>1.0096539809112903</v>
      </c>
      <c r="Z217" s="200">
        <f t="shared" si="205"/>
        <v>0.96948121905254669</v>
      </c>
      <c r="AA217" s="200">
        <f t="shared" si="205"/>
        <v>0.92930845719380306</v>
      </c>
      <c r="AB217" s="200">
        <f t="shared" si="205"/>
        <v>0.88913569533505887</v>
      </c>
      <c r="AC217" s="200">
        <f t="shared" si="205"/>
        <v>0.89261392158779485</v>
      </c>
      <c r="AD217" s="200">
        <f t="shared" si="205"/>
        <v>0.89609214784053082</v>
      </c>
      <c r="AE217" s="200">
        <f t="shared" si="205"/>
        <v>0.89957037409326679</v>
      </c>
      <c r="AF217" s="200">
        <f t="shared" si="205"/>
        <v>0.90304860034600276</v>
      </c>
      <c r="AG217" s="200">
        <f t="shared" si="205"/>
        <v>0.90652682659873873</v>
      </c>
      <c r="AH217" s="200">
        <f t="shared" si="205"/>
        <v>0.91000505285147471</v>
      </c>
      <c r="AI217" s="200">
        <f t="shared" si="205"/>
        <v>0.91348327910421068</v>
      </c>
      <c r="AJ217" s="200">
        <f t="shared" si="205"/>
        <v>0.91696150535694665</v>
      </c>
      <c r="AK217" s="200">
        <f t="shared" si="205"/>
        <v>0.92043973160968262</v>
      </c>
      <c r="AL217" s="200">
        <f t="shared" si="205"/>
        <v>0.92391795786241804</v>
      </c>
      <c r="AM217" s="230">
        <f t="shared" si="203"/>
        <v>0.96713133450117295</v>
      </c>
      <c r="AN217" s="200">
        <f t="shared" si="198"/>
        <v>1.0103447111399277</v>
      </c>
      <c r="AO217" s="200">
        <f t="shared" si="198"/>
        <v>1.0103447111399277</v>
      </c>
      <c r="AP217" s="200">
        <f t="shared" si="199"/>
        <v>1.0103447111399277</v>
      </c>
      <c r="AR217" s="200"/>
      <c r="AS217" s="200"/>
      <c r="AV217" s="200"/>
      <c r="AW217" s="200"/>
      <c r="BG217" s="200">
        <f t="shared" si="200"/>
        <v>0.61799148971758899</v>
      </c>
      <c r="BH217" s="118">
        <f t="shared" si="201"/>
        <v>0.5877400000000006</v>
      </c>
    </row>
    <row r="218" spans="1:60">
      <c r="B218" s="22" t="str">
        <f t="shared" si="191"/>
        <v>COM_PROJ</v>
      </c>
      <c r="C218" s="23" t="str">
        <f t="shared" si="192"/>
        <v>-</v>
      </c>
      <c r="D218" s="61" t="str">
        <f t="shared" si="193"/>
        <v>TPPUMBT</v>
      </c>
      <c r="E218" s="23" t="str">
        <f t="shared" si="194"/>
        <v>-</v>
      </c>
      <c r="F218" s="23" t="str">
        <f t="shared" si="194"/>
        <v>-</v>
      </c>
      <c r="G218" s="23" t="str">
        <f t="shared" si="194"/>
        <v>-</v>
      </c>
      <c r="H218" s="23" t="str">
        <f t="shared" si="194"/>
        <v>-</v>
      </c>
      <c r="I218" s="22">
        <f t="shared" si="195"/>
        <v>0</v>
      </c>
      <c r="J218" s="200">
        <f>INDEX('[2]TS BYDem'!J$10:J$59,MATCH($D218,'[2]TS BYDem'!D$10:D$59,0))</f>
        <v>6.4978638621089795</v>
      </c>
      <c r="K218" s="200">
        <f>IF(K$213=-1,L218,IF(K$213=99,BG218,IF(K$213=0,INDEX($E190:$K190,0,K$211),(INDEX($E190:$K190,0,K$213+1)-INDEX($E190:$K190,0,K$213))/(INDEX($E$185:$K$185,0,K$213+1)-INDEX($E$185:$K$185,0,K$213))+BG218)))</f>
        <v>6.2486015268855555</v>
      </c>
      <c r="L218" s="200">
        <f t="shared" ref="L218:AL218" si="206">IF(L$213=-1,M218,IF(L$213=99,K218,IF(L$213=0,INDEX($E190:$K190,0,L$211),(INDEX($E190:$K190,0,L$213+1)-INDEX($E190:$K190,0,L$213))/(INDEX($E$185:$K$185,0,L$213+1)-INDEX($E$185:$K$185,0,L$213))+K218)))</f>
        <v>6.5743007634427784</v>
      </c>
      <c r="M218" s="200">
        <f t="shared" si="206"/>
        <v>6.9</v>
      </c>
      <c r="N218" s="200">
        <f t="shared" si="206"/>
        <v>7.0212765000000008</v>
      </c>
      <c r="O218" s="200">
        <f t="shared" si="206"/>
        <v>7.1425530000000004</v>
      </c>
      <c r="P218" s="200">
        <f t="shared" si="206"/>
        <v>7.1844490881851719</v>
      </c>
      <c r="Q218" s="200">
        <f t="shared" si="206"/>
        <v>7.2263451763703435</v>
      </c>
      <c r="R218" s="200">
        <f t="shared" si="206"/>
        <v>7.2682412645555159</v>
      </c>
      <c r="S218" s="200">
        <f t="shared" si="206"/>
        <v>7.3814186456377913</v>
      </c>
      <c r="T218" s="200">
        <f t="shared" si="206"/>
        <v>7.4945960267200666</v>
      </c>
      <c r="U218" s="200">
        <f t="shared" si="206"/>
        <v>7.607773407802342</v>
      </c>
      <c r="V218" s="200">
        <f t="shared" si="206"/>
        <v>7.7209507888846174</v>
      </c>
      <c r="W218" s="200">
        <f t="shared" si="206"/>
        <v>7.8341281699668928</v>
      </c>
      <c r="X218" s="200">
        <f t="shared" si="206"/>
        <v>7.9473055510491681</v>
      </c>
      <c r="Y218" s="200">
        <f t="shared" si="206"/>
        <v>8.0604829321314444</v>
      </c>
      <c r="Z218" s="200">
        <f t="shared" si="206"/>
        <v>8.1736603132137198</v>
      </c>
      <c r="AA218" s="200">
        <f t="shared" si="206"/>
        <v>8.2868376942959951</v>
      </c>
      <c r="AB218" s="200">
        <f t="shared" si="206"/>
        <v>8.4000150753782723</v>
      </c>
      <c r="AC218" s="200">
        <f t="shared" si="206"/>
        <v>8.432875248591257</v>
      </c>
      <c r="AD218" s="200">
        <f t="shared" si="206"/>
        <v>8.4657354218042418</v>
      </c>
      <c r="AE218" s="200">
        <f t="shared" si="206"/>
        <v>8.4985955950172265</v>
      </c>
      <c r="AF218" s="200">
        <f t="shared" si="206"/>
        <v>8.5314557682302112</v>
      </c>
      <c r="AG218" s="200">
        <f t="shared" si="206"/>
        <v>8.564315941443196</v>
      </c>
      <c r="AH218" s="200">
        <f t="shared" si="206"/>
        <v>8.5971761146561807</v>
      </c>
      <c r="AI218" s="200">
        <f t="shared" si="206"/>
        <v>8.6300362878691654</v>
      </c>
      <c r="AJ218" s="200">
        <f t="shared" si="206"/>
        <v>8.6628964610821502</v>
      </c>
      <c r="AK218" s="200">
        <f t="shared" si="206"/>
        <v>8.6957566342951349</v>
      </c>
      <c r="AL218" s="200">
        <f t="shared" si="206"/>
        <v>8.7286168075081232</v>
      </c>
      <c r="AM218" s="230">
        <f t="shared" si="203"/>
        <v>9.1368705950098743</v>
      </c>
      <c r="AN218" s="200">
        <f t="shared" si="198"/>
        <v>9.5451243825116254</v>
      </c>
      <c r="AO218" s="200">
        <f t="shared" si="198"/>
        <v>9.5451243825116254</v>
      </c>
      <c r="AP218" s="200">
        <f t="shared" si="199"/>
        <v>9.5451243825116254</v>
      </c>
      <c r="AR218" s="200"/>
      <c r="AS218" s="200"/>
      <c r="AV218" s="200"/>
      <c r="AW218" s="200"/>
      <c r="BG218" s="200">
        <f t="shared" si="200"/>
        <v>5.9229022903283326</v>
      </c>
      <c r="BH218" s="118">
        <f t="shared" si="201"/>
        <v>8.8484705740516159E-2</v>
      </c>
    </row>
    <row r="219" spans="1:60">
      <c r="B219" s="22" t="str">
        <f t="shared" si="191"/>
        <v>COM_PROJ</v>
      </c>
      <c r="C219" s="23" t="str">
        <f t="shared" si="192"/>
        <v>-</v>
      </c>
      <c r="D219" s="61" t="str">
        <f t="shared" si="193"/>
        <v>TPPUBRT</v>
      </c>
      <c r="E219" s="23" t="str">
        <f t="shared" si="194"/>
        <v>-</v>
      </c>
      <c r="F219" s="23" t="str">
        <f t="shared" si="194"/>
        <v>-</v>
      </c>
      <c r="G219" s="23" t="str">
        <f t="shared" si="194"/>
        <v>-</v>
      </c>
      <c r="H219" s="23" t="str">
        <f t="shared" si="194"/>
        <v>-</v>
      </c>
      <c r="I219" s="22">
        <f t="shared" si="195"/>
        <v>0</v>
      </c>
      <c r="J219" s="200">
        <f>INDEX('[2]TS BYDem'!J$10:J$59,MATCH($D219,'[2]TS BYDem'!D$10:D$59,0))</f>
        <v>0</v>
      </c>
      <c r="K219" s="200">
        <f>IF(K$213=-1,L219,IF(K$213=99,BG219,IF(K$213=0,INDEX($E191:$K191,0,K$211),(INDEX($E191:$K191,0,K$213+1)-INDEX($E191:$K191,0,K$213))/(INDEX($E$185:$K$185,0,K$213+1)-INDEX($E$185:$K$185,0,K$213))+BG219)))</f>
        <v>2.1759818838773513E-2</v>
      </c>
      <c r="L219" s="200">
        <f t="shared" ref="L219:AL219" si="207">IF(L$213=-1,M219,IF(L$213=99,K219,IF(L$213=0,INDEX($E191:$K191,0,L$211),(INDEX($E191:$K191,0,L$213+1)-INDEX($E191:$K191,0,L$213))/(INDEX($E$185:$K$185,0,L$213+1)-INDEX($E$185:$K$185,0,L$213))+K219)))</f>
        <v>2.2269527608859568E-2</v>
      </c>
      <c r="M219" s="200">
        <f t="shared" si="207"/>
        <v>2.2779236378945623E-2</v>
      </c>
      <c r="N219" s="200">
        <f t="shared" si="207"/>
        <v>2.3332554130568846E-2</v>
      </c>
      <c r="O219" s="200">
        <f t="shared" si="207"/>
        <v>2.3885871882192072E-2</v>
      </c>
      <c r="P219" s="200">
        <f t="shared" si="207"/>
        <v>9.1667042587128045E-2</v>
      </c>
      <c r="Q219" s="200">
        <f t="shared" si="207"/>
        <v>0.15944821329206402</v>
      </c>
      <c r="R219" s="200">
        <f t="shared" si="207"/>
        <v>0.22722938399699999</v>
      </c>
      <c r="S219" s="200">
        <f t="shared" si="207"/>
        <v>0.26599098859130993</v>
      </c>
      <c r="T219" s="200">
        <f t="shared" si="207"/>
        <v>0.30475259318561987</v>
      </c>
      <c r="U219" s="200">
        <f t="shared" si="207"/>
        <v>0.34351419777992981</v>
      </c>
      <c r="V219" s="200">
        <f t="shared" si="207"/>
        <v>0.38227580237423975</v>
      </c>
      <c r="W219" s="200">
        <f t="shared" si="207"/>
        <v>0.42103740696854969</v>
      </c>
      <c r="X219" s="200">
        <f t="shared" si="207"/>
        <v>0.45979901156285963</v>
      </c>
      <c r="Y219" s="200">
        <f t="shared" si="207"/>
        <v>0.49856061615716957</v>
      </c>
      <c r="Z219" s="200">
        <f t="shared" si="207"/>
        <v>0.53732222075147951</v>
      </c>
      <c r="AA219" s="200">
        <f t="shared" si="207"/>
        <v>0.57608382534578939</v>
      </c>
      <c r="AB219" s="200">
        <f t="shared" si="207"/>
        <v>0.61484542994009928</v>
      </c>
      <c r="AC219" s="200">
        <f t="shared" si="207"/>
        <v>0.67260062497200301</v>
      </c>
      <c r="AD219" s="200">
        <f t="shared" si="207"/>
        <v>0.73035582000390675</v>
      </c>
      <c r="AE219" s="200">
        <f t="shared" si="207"/>
        <v>0.78811101503581049</v>
      </c>
      <c r="AF219" s="200">
        <f t="shared" si="207"/>
        <v>0.84586621006771423</v>
      </c>
      <c r="AG219" s="200">
        <f t="shared" si="207"/>
        <v>0.90362140509961797</v>
      </c>
      <c r="AH219" s="200">
        <f t="shared" si="207"/>
        <v>0.96137660013152171</v>
      </c>
      <c r="AI219" s="200">
        <f t="shared" si="207"/>
        <v>1.0191317951634253</v>
      </c>
      <c r="AJ219" s="200">
        <f t="shared" si="207"/>
        <v>1.0768869901953291</v>
      </c>
      <c r="AK219" s="200">
        <f t="shared" si="207"/>
        <v>1.1346421852272328</v>
      </c>
      <c r="AL219" s="200">
        <f t="shared" si="207"/>
        <v>1.1923973802591366</v>
      </c>
      <c r="AM219" s="230">
        <f t="shared" si="203"/>
        <v>1.4810769586161905</v>
      </c>
      <c r="AN219" s="200">
        <f t="shared" si="198"/>
        <v>1.7697565369732444</v>
      </c>
      <c r="AO219" s="200">
        <f t="shared" si="198"/>
        <v>1.7697565369732444</v>
      </c>
      <c r="AP219" s="200">
        <f t="shared" si="199"/>
        <v>1.7697565369732444</v>
      </c>
      <c r="AR219" s="200"/>
      <c r="AS219" s="200"/>
      <c r="AV219" s="200"/>
      <c r="AW219" s="200"/>
      <c r="BG219" s="200">
        <f t="shared" si="200"/>
        <v>2.1250110068687458E-2</v>
      </c>
      <c r="BH219" s="118" t="e">
        <f t="shared" si="201"/>
        <v>#DIV/0!</v>
      </c>
    </row>
    <row r="220" spans="1:60">
      <c r="B220" s="22" t="str">
        <f t="shared" si="191"/>
        <v>COM_PROJ</v>
      </c>
      <c r="C220" s="23" t="str">
        <f t="shared" si="192"/>
        <v>-</v>
      </c>
      <c r="D220" s="61" t="str">
        <f t="shared" si="193"/>
        <v>TPPUMER</v>
      </c>
      <c r="E220" s="23" t="str">
        <f t="shared" si="194"/>
        <v>-</v>
      </c>
      <c r="F220" s="23" t="str">
        <f t="shared" si="194"/>
        <v>-</v>
      </c>
      <c r="G220" s="23" t="str">
        <f t="shared" si="194"/>
        <v>-</v>
      </c>
      <c r="H220" s="23" t="str">
        <f t="shared" si="194"/>
        <v>-</v>
      </c>
      <c r="I220" s="22">
        <f t="shared" si="195"/>
        <v>0</v>
      </c>
      <c r="J220" s="200">
        <f>INDEX('[2]TS BYDem'!J$10:J$59,MATCH($D220,'[2]TS BYDem'!D$10:D$59,0))</f>
        <v>15.8</v>
      </c>
      <c r="K220" s="200">
        <f>IF(K$213=-1,L220,IF(K$213=99,BG220,IF(K$213=0,INDEX($E192:$K192,0,K$211),(INDEX($E192:$K192,0,K$213+1)-INDEX($E192:$K192,0,K$213))/(INDEX($E$185:$K$185,0,K$213+1)-INDEX($E$185:$K$185,0,K$213))+BG220)))</f>
        <v>13.650717462928288</v>
      </c>
      <c r="L220" s="200">
        <f t="shared" ref="L220:AL220" si="208">IF(L$213=-1,M220,IF(L$213=99,K220,IF(L$213=0,INDEX($E192:$K192,0,L$211),(INDEX($E192:$K192,0,L$213+1)-INDEX($E192:$K192,0,L$213))/(INDEX($E$185:$K$185,0,L$213+1)-INDEX($E$185:$K$185,0,L$213))+K220)))</f>
        <v>12.899493276556735</v>
      </c>
      <c r="M220" s="200">
        <f t="shared" si="208"/>
        <v>12.148269090185179</v>
      </c>
      <c r="N220" s="200">
        <f t="shared" si="208"/>
        <v>10.936267314541286</v>
      </c>
      <c r="O220" s="200">
        <f t="shared" si="208"/>
        <v>9.7242655388973933</v>
      </c>
      <c r="P220" s="200">
        <f t="shared" si="208"/>
        <v>9.7939286471549849</v>
      </c>
      <c r="Q220" s="200">
        <f t="shared" si="208"/>
        <v>9.8635917554125765</v>
      </c>
      <c r="R220" s="200">
        <f t="shared" si="208"/>
        <v>9.9332548636701663</v>
      </c>
      <c r="S220" s="200">
        <f t="shared" si="208"/>
        <v>9.9762530762578621</v>
      </c>
      <c r="T220" s="200">
        <f t="shared" si="208"/>
        <v>10.019251288845558</v>
      </c>
      <c r="U220" s="200">
        <f t="shared" si="208"/>
        <v>10.062249501433254</v>
      </c>
      <c r="V220" s="200">
        <f t="shared" si="208"/>
        <v>10.105247714020949</v>
      </c>
      <c r="W220" s="200">
        <f t="shared" si="208"/>
        <v>10.148245926608645</v>
      </c>
      <c r="X220" s="200">
        <f t="shared" si="208"/>
        <v>10.191244139196341</v>
      </c>
      <c r="Y220" s="200">
        <f t="shared" si="208"/>
        <v>10.234242351784037</v>
      </c>
      <c r="Z220" s="200">
        <f t="shared" si="208"/>
        <v>10.277240564371732</v>
      </c>
      <c r="AA220" s="200">
        <f t="shared" si="208"/>
        <v>10.320238776959428</v>
      </c>
      <c r="AB220" s="200">
        <f t="shared" si="208"/>
        <v>10.363236989547131</v>
      </c>
      <c r="AC220" s="200">
        <f t="shared" si="208"/>
        <v>10.403777126614493</v>
      </c>
      <c r="AD220" s="200">
        <f t="shared" si="208"/>
        <v>10.444317263681853</v>
      </c>
      <c r="AE220" s="200">
        <f t="shared" si="208"/>
        <v>10.484857400749213</v>
      </c>
      <c r="AF220" s="200">
        <f t="shared" si="208"/>
        <v>10.525397537816573</v>
      </c>
      <c r="AG220" s="200">
        <f t="shared" si="208"/>
        <v>10.565937674883934</v>
      </c>
      <c r="AH220" s="200">
        <f t="shared" si="208"/>
        <v>10.606477811951294</v>
      </c>
      <c r="AI220" s="200">
        <f t="shared" si="208"/>
        <v>10.647017949018654</v>
      </c>
      <c r="AJ220" s="200">
        <f t="shared" si="208"/>
        <v>10.687558086086014</v>
      </c>
      <c r="AK220" s="200">
        <f t="shared" si="208"/>
        <v>10.728098223153374</v>
      </c>
      <c r="AL220" s="200">
        <f t="shared" si="208"/>
        <v>10.768638360220741</v>
      </c>
      <c r="AM220" s="230">
        <f t="shared" si="203"/>
        <v>11.272307783881905</v>
      </c>
      <c r="AN220" s="200">
        <f t="shared" si="198"/>
        <v>11.775977207543068</v>
      </c>
      <c r="AO220" s="200">
        <f t="shared" si="198"/>
        <v>11.775977207543068</v>
      </c>
      <c r="AP220" s="200">
        <f t="shared" si="199"/>
        <v>11.775977207543068</v>
      </c>
      <c r="AR220" s="200"/>
      <c r="AS220" s="200"/>
      <c r="AV220" s="200"/>
      <c r="AW220" s="200"/>
      <c r="BG220" s="200">
        <f t="shared" si="200"/>
        <v>14.401941649299841</v>
      </c>
      <c r="BH220" s="118">
        <f t="shared" si="201"/>
        <v>8.8484705740516409E-2</v>
      </c>
    </row>
    <row r="221" spans="1:60">
      <c r="B221" s="22" t="str">
        <f t="shared" si="191"/>
        <v>COM_PROJ</v>
      </c>
      <c r="C221" s="23" t="str">
        <f t="shared" si="192"/>
        <v>-</v>
      </c>
      <c r="D221" s="61" t="str">
        <f t="shared" si="193"/>
        <v>TPPUGAT</v>
      </c>
      <c r="E221" s="23" t="str">
        <f t="shared" si="194"/>
        <v>-</v>
      </c>
      <c r="F221" s="23" t="str">
        <f t="shared" si="194"/>
        <v>-</v>
      </c>
      <c r="G221" s="23" t="str">
        <f t="shared" si="194"/>
        <v>-</v>
      </c>
      <c r="H221" s="23" t="str">
        <f t="shared" si="194"/>
        <v>-</v>
      </c>
      <c r="I221" s="22">
        <f t="shared" si="195"/>
        <v>0</v>
      </c>
      <c r="J221" s="200">
        <f>INDEX('[2]TS BYDem'!J$10:J$59,MATCH($D221,'[2]TS BYDem'!D$10:D$59,0))</f>
        <v>0</v>
      </c>
      <c r="K221" s="200">
        <f>IF(K$213=-1,L221,IF(K$213=99,BG221,IF(K$213=0,INDEX($E193:$K193,0,K$211),(INDEX($E193:$K193,0,K$213+1)-INDEX($E193:$K193,0,K$213))/(INDEX($E$185:$K$185,0,K$213+1)-INDEX($E$185:$K$185,0,K$213))+BG221)))</f>
        <v>0.55248564192940541</v>
      </c>
      <c r="L221" s="200">
        <f t="shared" ref="L221:AL221" si="209">IF(L$213=-1,M221,IF(L$213=99,K221,IF(L$213=0,INDEX($E193:$K193,0,L$211),(INDEX($E193:$K193,0,L$213+1)-INDEX($E193:$K193,0,L$213))/(INDEX($E$185:$K$185,0,L$213+1)-INDEX($E$185:$K$185,0,L$213))+K221)))</f>
        <v>0.57044550348095591</v>
      </c>
      <c r="M221" s="200">
        <f t="shared" si="209"/>
        <v>0.58840536503250629</v>
      </c>
      <c r="N221" s="200">
        <f t="shared" si="209"/>
        <v>0.60651580293507878</v>
      </c>
      <c r="O221" s="200">
        <f t="shared" si="209"/>
        <v>0.62462624083765128</v>
      </c>
      <c r="P221" s="200">
        <f t="shared" si="209"/>
        <v>0.62582282996645056</v>
      </c>
      <c r="Q221" s="200">
        <f t="shared" si="209"/>
        <v>0.62701941909524983</v>
      </c>
      <c r="R221" s="200">
        <f t="shared" si="209"/>
        <v>0.62821600822404911</v>
      </c>
      <c r="S221" s="200">
        <f t="shared" si="209"/>
        <v>0.6660006019130148</v>
      </c>
      <c r="T221" s="200">
        <f t="shared" si="209"/>
        <v>0.7037851956019805</v>
      </c>
      <c r="U221" s="200">
        <f t="shared" si="209"/>
        <v>0.74156978929094619</v>
      </c>
      <c r="V221" s="200">
        <f t="shared" si="209"/>
        <v>0.77935438297991189</v>
      </c>
      <c r="W221" s="200">
        <f t="shared" si="209"/>
        <v>0.81713897666887758</v>
      </c>
      <c r="X221" s="200">
        <f t="shared" si="209"/>
        <v>0.85492357035784328</v>
      </c>
      <c r="Y221" s="200">
        <f t="shared" si="209"/>
        <v>0.89270816404680897</v>
      </c>
      <c r="Z221" s="200">
        <f t="shared" si="209"/>
        <v>0.93049275773577467</v>
      </c>
      <c r="AA221" s="200">
        <f t="shared" si="209"/>
        <v>0.96827735142474036</v>
      </c>
      <c r="AB221" s="200">
        <f t="shared" si="209"/>
        <v>1.0060619451137058</v>
      </c>
      <c r="AC221" s="200">
        <f t="shared" si="209"/>
        <v>1.0531236518525384</v>
      </c>
      <c r="AD221" s="200">
        <f t="shared" si="209"/>
        <v>1.100185358591371</v>
      </c>
      <c r="AE221" s="200">
        <f t="shared" si="209"/>
        <v>1.1472470653302036</v>
      </c>
      <c r="AF221" s="200">
        <f t="shared" si="209"/>
        <v>1.1943087720690362</v>
      </c>
      <c r="AG221" s="200">
        <f t="shared" si="209"/>
        <v>1.2413704788078688</v>
      </c>
      <c r="AH221" s="200">
        <f t="shared" si="209"/>
        <v>1.2884321855467014</v>
      </c>
      <c r="AI221" s="200">
        <f t="shared" si="209"/>
        <v>1.3354938922855339</v>
      </c>
      <c r="AJ221" s="200">
        <f t="shared" si="209"/>
        <v>1.3825555990243665</v>
      </c>
      <c r="AK221" s="200">
        <f t="shared" si="209"/>
        <v>1.4296173057631991</v>
      </c>
      <c r="AL221" s="200">
        <f t="shared" si="209"/>
        <v>1.4766790125020326</v>
      </c>
      <c r="AM221" s="230">
        <f t="shared" si="203"/>
        <v>1.727821575750252</v>
      </c>
      <c r="AN221" s="200">
        <f t="shared" si="198"/>
        <v>1.9789641389984713</v>
      </c>
      <c r="AO221" s="200">
        <f t="shared" si="198"/>
        <v>1.9789641389984713</v>
      </c>
      <c r="AP221" s="200">
        <f t="shared" si="199"/>
        <v>1.9789641389984713</v>
      </c>
      <c r="AR221" s="200"/>
      <c r="AS221" s="200"/>
      <c r="AV221" s="200"/>
      <c r="AW221" s="200"/>
      <c r="BG221" s="200">
        <f t="shared" si="200"/>
        <v>0.53452578037785492</v>
      </c>
      <c r="BH221" s="118" t="e">
        <f t="shared" si="201"/>
        <v>#DIV/0!</v>
      </c>
    </row>
    <row r="222" spans="1:60">
      <c r="A222" s="199" t="s">
        <v>16</v>
      </c>
      <c r="L222" s="199"/>
      <c r="M222" s="41"/>
    </row>
    <row r="223" spans="1:60" s="205" customFormat="1">
      <c r="A223" s="124" t="s">
        <v>16</v>
      </c>
      <c r="B223" s="205" t="s">
        <v>392</v>
      </c>
      <c r="C223" s="205">
        <v>1</v>
      </c>
      <c r="D223" s="205">
        <v>2006</v>
      </c>
      <c r="E223" s="205">
        <f>F4</f>
        <v>2015</v>
      </c>
      <c r="F223" s="205">
        <v>2017</v>
      </c>
      <c r="G223" s="205">
        <v>2020</v>
      </c>
      <c r="H223" s="205">
        <v>2030</v>
      </c>
      <c r="I223" s="205">
        <v>2040</v>
      </c>
      <c r="J223" s="254">
        <v>2050</v>
      </c>
      <c r="K223" s="124">
        <f>MATCH(J$209,$C$210:$I$210,$C223)</f>
        <v>1</v>
      </c>
      <c r="L223" s="205">
        <f t="shared" ref="L223:AY223" si="210">MATCH(K$227,$D$223:$J$223,$C223)</f>
        <v>1</v>
      </c>
      <c r="M223" s="205">
        <f t="shared" si="210"/>
        <v>1</v>
      </c>
      <c r="N223" s="205">
        <f t="shared" si="210"/>
        <v>2</v>
      </c>
      <c r="O223" s="205">
        <f t="shared" si="210"/>
        <v>2</v>
      </c>
      <c r="P223" s="205">
        <f t="shared" si="210"/>
        <v>3</v>
      </c>
      <c r="Q223" s="205">
        <f t="shared" si="210"/>
        <v>3</v>
      </c>
      <c r="R223" s="205">
        <f t="shared" si="210"/>
        <v>3</v>
      </c>
      <c r="S223" s="205">
        <f t="shared" si="210"/>
        <v>4</v>
      </c>
      <c r="T223" s="205">
        <f t="shared" si="210"/>
        <v>4</v>
      </c>
      <c r="U223" s="205">
        <f t="shared" si="210"/>
        <v>4</v>
      </c>
      <c r="V223" s="205">
        <f t="shared" si="210"/>
        <v>4</v>
      </c>
      <c r="W223" s="205">
        <f t="shared" si="210"/>
        <v>4</v>
      </c>
      <c r="X223" s="205">
        <f t="shared" si="210"/>
        <v>4</v>
      </c>
      <c r="Y223" s="205">
        <f t="shared" si="210"/>
        <v>4</v>
      </c>
      <c r="Z223" s="205">
        <f t="shared" si="210"/>
        <v>4</v>
      </c>
      <c r="AA223" s="205">
        <f t="shared" si="210"/>
        <v>4</v>
      </c>
      <c r="AB223" s="205">
        <f t="shared" si="210"/>
        <v>4</v>
      </c>
      <c r="AC223" s="205">
        <f t="shared" si="210"/>
        <v>5</v>
      </c>
      <c r="AD223" s="205">
        <f t="shared" si="210"/>
        <v>5</v>
      </c>
      <c r="AE223" s="205">
        <f t="shared" si="210"/>
        <v>5</v>
      </c>
      <c r="AF223" s="205">
        <f t="shared" si="210"/>
        <v>5</v>
      </c>
      <c r="AG223" s="205">
        <f t="shared" si="210"/>
        <v>5</v>
      </c>
      <c r="AH223" s="205">
        <f t="shared" si="210"/>
        <v>5</v>
      </c>
      <c r="AI223" s="205">
        <f t="shared" si="210"/>
        <v>5</v>
      </c>
      <c r="AJ223" s="205">
        <f t="shared" si="210"/>
        <v>5</v>
      </c>
      <c r="AK223" s="205">
        <f t="shared" si="210"/>
        <v>5</v>
      </c>
      <c r="AL223" s="205">
        <f t="shared" si="210"/>
        <v>5</v>
      </c>
      <c r="AM223" s="205">
        <f t="shared" si="210"/>
        <v>6</v>
      </c>
      <c r="AN223" s="205">
        <f t="shared" si="210"/>
        <v>6</v>
      </c>
      <c r="AO223" s="205">
        <f t="shared" si="210"/>
        <v>6</v>
      </c>
      <c r="AP223" s="205">
        <f t="shared" si="210"/>
        <v>6</v>
      </c>
      <c r="AQ223" s="205">
        <f t="shared" si="210"/>
        <v>6</v>
      </c>
      <c r="AR223" s="205">
        <f t="shared" si="210"/>
        <v>6</v>
      </c>
      <c r="AS223" s="205">
        <f t="shared" si="210"/>
        <v>6</v>
      </c>
      <c r="AT223" s="205">
        <f t="shared" si="210"/>
        <v>6</v>
      </c>
      <c r="AU223" s="205">
        <f t="shared" si="210"/>
        <v>6</v>
      </c>
      <c r="AV223" s="205">
        <f t="shared" si="210"/>
        <v>6</v>
      </c>
      <c r="AW223" s="205">
        <f t="shared" si="210"/>
        <v>7</v>
      </c>
      <c r="AX223" s="205">
        <f t="shared" si="210"/>
        <v>7</v>
      </c>
      <c r="AY223" s="205">
        <f t="shared" si="210"/>
        <v>7</v>
      </c>
    </row>
    <row r="224" spans="1:60">
      <c r="A224" s="41" t="s">
        <v>16</v>
      </c>
      <c r="B224" s="199" t="s">
        <v>393</v>
      </c>
      <c r="C224" s="199">
        <v>0</v>
      </c>
      <c r="D224" s="199">
        <f t="shared" ref="D224:J224" si="211">INDEX($D223:$J223,0,COUNT($D223:$J223)-D225)</f>
        <v>2050</v>
      </c>
      <c r="E224" s="199">
        <f t="shared" si="211"/>
        <v>2040</v>
      </c>
      <c r="F224" s="199">
        <f t="shared" si="211"/>
        <v>2030</v>
      </c>
      <c r="G224" s="199">
        <f t="shared" si="211"/>
        <v>2020</v>
      </c>
      <c r="H224" s="199">
        <f t="shared" si="211"/>
        <v>2017</v>
      </c>
      <c r="I224" s="199">
        <f t="shared" si="211"/>
        <v>2015</v>
      </c>
      <c r="J224" s="131">
        <f t="shared" si="211"/>
        <v>2006</v>
      </c>
      <c r="K224" s="41">
        <f>MATCH(J$209,$C$210:$I$210,$C224)</f>
        <v>1</v>
      </c>
      <c r="L224" s="199" t="e">
        <f t="shared" ref="L224:AY224" si="212">MATCH(K$227,$D$223:$J$223,$C224)</f>
        <v>#N/A</v>
      </c>
      <c r="M224" s="199" t="e">
        <f t="shared" si="212"/>
        <v>#N/A</v>
      </c>
      <c r="N224" s="199">
        <f t="shared" si="212"/>
        <v>2</v>
      </c>
      <c r="O224" s="199" t="e">
        <f t="shared" si="212"/>
        <v>#N/A</v>
      </c>
      <c r="P224" s="199">
        <f t="shared" si="212"/>
        <v>3</v>
      </c>
      <c r="Q224" s="199" t="e">
        <f t="shared" si="212"/>
        <v>#N/A</v>
      </c>
      <c r="R224" s="199" t="e">
        <f t="shared" si="212"/>
        <v>#N/A</v>
      </c>
      <c r="S224" s="199">
        <f t="shared" si="212"/>
        <v>4</v>
      </c>
      <c r="T224" s="199" t="e">
        <f t="shared" si="212"/>
        <v>#N/A</v>
      </c>
      <c r="U224" s="199" t="e">
        <f t="shared" si="212"/>
        <v>#N/A</v>
      </c>
      <c r="V224" s="199" t="e">
        <f t="shared" si="212"/>
        <v>#N/A</v>
      </c>
      <c r="W224" s="199" t="e">
        <f t="shared" si="212"/>
        <v>#N/A</v>
      </c>
      <c r="X224" s="199" t="e">
        <f t="shared" si="212"/>
        <v>#N/A</v>
      </c>
      <c r="Y224" s="199" t="e">
        <f t="shared" si="212"/>
        <v>#N/A</v>
      </c>
      <c r="Z224" s="199" t="e">
        <f t="shared" si="212"/>
        <v>#N/A</v>
      </c>
      <c r="AA224" s="199" t="e">
        <f t="shared" si="212"/>
        <v>#N/A</v>
      </c>
      <c r="AB224" s="199" t="e">
        <f t="shared" si="212"/>
        <v>#N/A</v>
      </c>
      <c r="AC224" s="199">
        <f t="shared" si="212"/>
        <v>5</v>
      </c>
      <c r="AD224" s="199" t="e">
        <f t="shared" si="212"/>
        <v>#N/A</v>
      </c>
      <c r="AE224" s="199" t="e">
        <f t="shared" si="212"/>
        <v>#N/A</v>
      </c>
      <c r="AF224" s="199" t="e">
        <f t="shared" si="212"/>
        <v>#N/A</v>
      </c>
      <c r="AG224" s="199" t="e">
        <f t="shared" si="212"/>
        <v>#N/A</v>
      </c>
      <c r="AH224" s="199" t="e">
        <f t="shared" si="212"/>
        <v>#N/A</v>
      </c>
      <c r="AI224" s="199" t="e">
        <f t="shared" si="212"/>
        <v>#N/A</v>
      </c>
      <c r="AJ224" s="199" t="e">
        <f t="shared" si="212"/>
        <v>#N/A</v>
      </c>
      <c r="AK224" s="199" t="e">
        <f t="shared" si="212"/>
        <v>#N/A</v>
      </c>
      <c r="AL224" s="199" t="e">
        <f t="shared" si="212"/>
        <v>#N/A</v>
      </c>
      <c r="AM224" s="199">
        <f t="shared" si="212"/>
        <v>6</v>
      </c>
      <c r="AN224" s="199" t="e">
        <f t="shared" si="212"/>
        <v>#N/A</v>
      </c>
      <c r="AO224" s="199" t="e">
        <f t="shared" si="212"/>
        <v>#N/A</v>
      </c>
      <c r="AP224" s="199" t="e">
        <f t="shared" si="212"/>
        <v>#N/A</v>
      </c>
      <c r="AQ224" s="199" t="e">
        <f t="shared" si="212"/>
        <v>#N/A</v>
      </c>
      <c r="AR224" s="199" t="e">
        <f t="shared" si="212"/>
        <v>#N/A</v>
      </c>
      <c r="AS224" s="199" t="e">
        <f t="shared" si="212"/>
        <v>#N/A</v>
      </c>
      <c r="AT224" s="199" t="e">
        <f t="shared" si="212"/>
        <v>#N/A</v>
      </c>
      <c r="AU224" s="199" t="e">
        <f t="shared" si="212"/>
        <v>#N/A</v>
      </c>
      <c r="AV224" s="199" t="e">
        <f t="shared" si="212"/>
        <v>#N/A</v>
      </c>
      <c r="AW224" s="199">
        <f t="shared" si="212"/>
        <v>7</v>
      </c>
      <c r="AX224" s="199" t="e">
        <f t="shared" si="212"/>
        <v>#N/A</v>
      </c>
      <c r="AY224" s="199" t="e">
        <f t="shared" si="212"/>
        <v>#N/A</v>
      </c>
    </row>
    <row r="225" spans="1:58">
      <c r="A225" s="41" t="s">
        <v>16</v>
      </c>
      <c r="B225" s="199" t="s">
        <v>391</v>
      </c>
      <c r="C225" s="199">
        <v>-1</v>
      </c>
      <c r="D225" s="199">
        <v>0</v>
      </c>
      <c r="E225" s="199">
        <v>1</v>
      </c>
      <c r="F225" s="202">
        <v>2</v>
      </c>
      <c r="G225" s="199">
        <v>3</v>
      </c>
      <c r="H225" s="199">
        <v>4</v>
      </c>
      <c r="I225" s="199">
        <v>5</v>
      </c>
      <c r="J225" s="199">
        <v>6</v>
      </c>
      <c r="K225" s="199">
        <f>MATCH(J$209,$C$211:$I$211,$C225)</f>
        <v>7</v>
      </c>
      <c r="L225" s="199">
        <f t="shared" ref="L225:AY225" si="213">MATCH(K$227,$D$224:$J$224,$C225)</f>
        <v>6</v>
      </c>
      <c r="M225" s="199">
        <f t="shared" si="213"/>
        <v>6</v>
      </c>
      <c r="N225" s="199">
        <f t="shared" si="213"/>
        <v>6</v>
      </c>
      <c r="O225" s="199">
        <f t="shared" si="213"/>
        <v>5</v>
      </c>
      <c r="P225" s="199">
        <f t="shared" si="213"/>
        <v>5</v>
      </c>
      <c r="Q225" s="199">
        <f t="shared" si="213"/>
        <v>4</v>
      </c>
      <c r="R225" s="199">
        <f t="shared" si="213"/>
        <v>4</v>
      </c>
      <c r="S225" s="199">
        <f t="shared" si="213"/>
        <v>4</v>
      </c>
      <c r="T225" s="199">
        <f t="shared" si="213"/>
        <v>3</v>
      </c>
      <c r="U225" s="199">
        <f t="shared" si="213"/>
        <v>3</v>
      </c>
      <c r="V225" s="199">
        <f t="shared" si="213"/>
        <v>3</v>
      </c>
      <c r="W225" s="199">
        <f t="shared" si="213"/>
        <v>3</v>
      </c>
      <c r="X225" s="199">
        <f t="shared" si="213"/>
        <v>3</v>
      </c>
      <c r="Y225" s="199">
        <f t="shared" si="213"/>
        <v>3</v>
      </c>
      <c r="Z225" s="199">
        <f t="shared" si="213"/>
        <v>3</v>
      </c>
      <c r="AA225" s="199">
        <f t="shared" si="213"/>
        <v>3</v>
      </c>
      <c r="AB225" s="199">
        <f t="shared" si="213"/>
        <v>3</v>
      </c>
      <c r="AC225" s="199">
        <f t="shared" si="213"/>
        <v>3</v>
      </c>
      <c r="AD225" s="199">
        <f t="shared" si="213"/>
        <v>2</v>
      </c>
      <c r="AE225" s="199">
        <f t="shared" si="213"/>
        <v>2</v>
      </c>
      <c r="AF225" s="199">
        <f t="shared" si="213"/>
        <v>2</v>
      </c>
      <c r="AG225" s="199">
        <f t="shared" si="213"/>
        <v>2</v>
      </c>
      <c r="AH225" s="199">
        <f t="shared" si="213"/>
        <v>2</v>
      </c>
      <c r="AI225" s="199">
        <f t="shared" si="213"/>
        <v>2</v>
      </c>
      <c r="AJ225" s="199">
        <f t="shared" si="213"/>
        <v>2</v>
      </c>
      <c r="AK225" s="199">
        <f t="shared" si="213"/>
        <v>2</v>
      </c>
      <c r="AL225" s="199">
        <f t="shared" si="213"/>
        <v>2</v>
      </c>
      <c r="AM225" s="199">
        <f t="shared" si="213"/>
        <v>2</v>
      </c>
      <c r="AN225" s="199">
        <f t="shared" si="213"/>
        <v>1</v>
      </c>
      <c r="AO225" s="199">
        <f t="shared" si="213"/>
        <v>1</v>
      </c>
      <c r="AP225" s="199">
        <f t="shared" si="213"/>
        <v>1</v>
      </c>
      <c r="AQ225" s="199">
        <f t="shared" si="213"/>
        <v>1</v>
      </c>
      <c r="AR225" s="199">
        <f t="shared" si="213"/>
        <v>1</v>
      </c>
      <c r="AS225" s="199">
        <f t="shared" si="213"/>
        <v>1</v>
      </c>
      <c r="AT225" s="199">
        <f t="shared" si="213"/>
        <v>1</v>
      </c>
      <c r="AU225" s="199">
        <f t="shared" si="213"/>
        <v>1</v>
      </c>
      <c r="AV225" s="199">
        <f t="shared" si="213"/>
        <v>1</v>
      </c>
      <c r="AW225" s="199">
        <f t="shared" si="213"/>
        <v>1</v>
      </c>
      <c r="AX225" s="199" t="e">
        <f t="shared" si="213"/>
        <v>#N/A</v>
      </c>
      <c r="AY225" s="199" t="e">
        <f t="shared" si="213"/>
        <v>#N/A</v>
      </c>
    </row>
    <row r="226" spans="1:58" s="127" customFormat="1">
      <c r="A226" s="126" t="s">
        <v>16</v>
      </c>
      <c r="B226" s="127" t="s">
        <v>394</v>
      </c>
      <c r="K226" s="203">
        <f>IF(ISNA(K223),-1,IF(ISNA(K225),99,IF(ISNA(K224),K223,0)))</f>
        <v>0</v>
      </c>
      <c r="L226" s="203">
        <f>IF(ISNA(L223),-1,IF(ISNA(L225),99,IF(ISNA(L224),L223,0)))</f>
        <v>1</v>
      </c>
      <c r="M226" s="203">
        <f t="shared" ref="M226:AY226" si="214">IF(ISNA(M223),-1,IF(ISNA(M225),99,IF(ISNA(M224),M223,0)))</f>
        <v>1</v>
      </c>
      <c r="N226" s="203">
        <f t="shared" si="214"/>
        <v>0</v>
      </c>
      <c r="O226" s="203">
        <f t="shared" si="214"/>
        <v>2</v>
      </c>
      <c r="P226" s="203">
        <f t="shared" si="214"/>
        <v>0</v>
      </c>
      <c r="Q226" s="203">
        <f t="shared" si="214"/>
        <v>3</v>
      </c>
      <c r="R226" s="203">
        <f t="shared" si="214"/>
        <v>3</v>
      </c>
      <c r="S226" s="203">
        <f t="shared" si="214"/>
        <v>0</v>
      </c>
      <c r="T226" s="203">
        <f t="shared" si="214"/>
        <v>4</v>
      </c>
      <c r="U226" s="203">
        <f t="shared" si="214"/>
        <v>4</v>
      </c>
      <c r="V226" s="203">
        <f t="shared" si="214"/>
        <v>4</v>
      </c>
      <c r="W226" s="203">
        <f t="shared" si="214"/>
        <v>4</v>
      </c>
      <c r="X226" s="203">
        <f t="shared" si="214"/>
        <v>4</v>
      </c>
      <c r="Y226" s="203">
        <f t="shared" si="214"/>
        <v>4</v>
      </c>
      <c r="Z226" s="203">
        <f t="shared" si="214"/>
        <v>4</v>
      </c>
      <c r="AA226" s="203">
        <f t="shared" si="214"/>
        <v>4</v>
      </c>
      <c r="AB226" s="203">
        <f t="shared" si="214"/>
        <v>4</v>
      </c>
      <c r="AC226" s="203">
        <f t="shared" si="214"/>
        <v>0</v>
      </c>
      <c r="AD226" s="203">
        <f t="shared" si="214"/>
        <v>5</v>
      </c>
      <c r="AE226" s="203">
        <f t="shared" si="214"/>
        <v>5</v>
      </c>
      <c r="AF226" s="203">
        <f t="shared" si="214"/>
        <v>5</v>
      </c>
      <c r="AG226" s="203">
        <f t="shared" si="214"/>
        <v>5</v>
      </c>
      <c r="AH226" s="203">
        <f t="shared" si="214"/>
        <v>5</v>
      </c>
      <c r="AI226" s="203">
        <f t="shared" si="214"/>
        <v>5</v>
      </c>
      <c r="AJ226" s="203">
        <f t="shared" si="214"/>
        <v>5</v>
      </c>
      <c r="AK226" s="203">
        <f t="shared" si="214"/>
        <v>5</v>
      </c>
      <c r="AL226" s="203">
        <f t="shared" si="214"/>
        <v>5</v>
      </c>
      <c r="AM226" s="203">
        <f t="shared" si="214"/>
        <v>0</v>
      </c>
      <c r="AN226" s="203">
        <f t="shared" si="214"/>
        <v>6</v>
      </c>
      <c r="AO226" s="203">
        <f t="shared" si="214"/>
        <v>6</v>
      </c>
      <c r="AP226" s="203">
        <f t="shared" si="214"/>
        <v>6</v>
      </c>
      <c r="AQ226" s="203">
        <f t="shared" si="214"/>
        <v>6</v>
      </c>
      <c r="AR226" s="203">
        <f t="shared" si="214"/>
        <v>6</v>
      </c>
      <c r="AS226" s="203">
        <f t="shared" si="214"/>
        <v>6</v>
      </c>
      <c r="AT226" s="203">
        <f t="shared" si="214"/>
        <v>6</v>
      </c>
      <c r="AU226" s="203">
        <f t="shared" si="214"/>
        <v>6</v>
      </c>
      <c r="AV226" s="203">
        <f t="shared" si="214"/>
        <v>6</v>
      </c>
      <c r="AW226" s="203">
        <f t="shared" si="214"/>
        <v>0</v>
      </c>
      <c r="AX226" s="203">
        <f t="shared" si="214"/>
        <v>99</v>
      </c>
      <c r="AY226" s="203">
        <f t="shared" si="214"/>
        <v>99</v>
      </c>
      <c r="BA226" s="203"/>
      <c r="BB226" s="203"/>
      <c r="BC226" s="203"/>
      <c r="BD226" s="203"/>
      <c r="BE226" s="203"/>
      <c r="BF226" s="203"/>
    </row>
    <row r="227" spans="1:58">
      <c r="A227" s="199" t="s">
        <v>16</v>
      </c>
      <c r="C227" s="16"/>
      <c r="D227" s="16"/>
      <c r="E227" s="16"/>
      <c r="F227" s="16"/>
      <c r="G227" s="16"/>
      <c r="H227" s="16" t="s">
        <v>434</v>
      </c>
      <c r="I227" s="16"/>
      <c r="J227" s="18">
        <v>2012</v>
      </c>
      <c r="K227" s="18">
        <f>1+J227</f>
        <v>2013</v>
      </c>
      <c r="L227" s="18">
        <f t="shared" ref="L227:AV227" si="215">1+K227</f>
        <v>2014</v>
      </c>
      <c r="M227" s="18">
        <f>1+L227</f>
        <v>2015</v>
      </c>
      <c r="N227" s="18">
        <f t="shared" si="215"/>
        <v>2016</v>
      </c>
      <c r="O227" s="18">
        <f t="shared" si="215"/>
        <v>2017</v>
      </c>
      <c r="P227" s="18">
        <f t="shared" si="215"/>
        <v>2018</v>
      </c>
      <c r="Q227" s="18">
        <f t="shared" si="215"/>
        <v>2019</v>
      </c>
      <c r="R227" s="18">
        <f t="shared" si="215"/>
        <v>2020</v>
      </c>
      <c r="S227" s="18">
        <f t="shared" si="215"/>
        <v>2021</v>
      </c>
      <c r="T227" s="18">
        <f t="shared" si="215"/>
        <v>2022</v>
      </c>
      <c r="U227" s="18">
        <f t="shared" si="215"/>
        <v>2023</v>
      </c>
      <c r="V227" s="18">
        <f t="shared" si="215"/>
        <v>2024</v>
      </c>
      <c r="W227" s="18">
        <f t="shared" si="215"/>
        <v>2025</v>
      </c>
      <c r="X227" s="18">
        <f t="shared" si="215"/>
        <v>2026</v>
      </c>
      <c r="Y227" s="18">
        <f t="shared" si="215"/>
        <v>2027</v>
      </c>
      <c r="Z227" s="18">
        <f t="shared" si="215"/>
        <v>2028</v>
      </c>
      <c r="AA227" s="18">
        <f t="shared" si="215"/>
        <v>2029</v>
      </c>
      <c r="AB227" s="18">
        <f t="shared" si="215"/>
        <v>2030</v>
      </c>
      <c r="AC227" s="18">
        <f t="shared" si="215"/>
        <v>2031</v>
      </c>
      <c r="AD227" s="18">
        <f t="shared" si="215"/>
        <v>2032</v>
      </c>
      <c r="AE227" s="18">
        <f t="shared" si="215"/>
        <v>2033</v>
      </c>
      <c r="AF227" s="18">
        <f t="shared" si="215"/>
        <v>2034</v>
      </c>
      <c r="AG227" s="18">
        <f t="shared" si="215"/>
        <v>2035</v>
      </c>
      <c r="AH227" s="18">
        <f t="shared" si="215"/>
        <v>2036</v>
      </c>
      <c r="AI227" s="18">
        <f t="shared" si="215"/>
        <v>2037</v>
      </c>
      <c r="AJ227" s="18">
        <f t="shared" si="215"/>
        <v>2038</v>
      </c>
      <c r="AK227" s="18">
        <f t="shared" si="215"/>
        <v>2039</v>
      </c>
      <c r="AL227" s="18">
        <f t="shared" si="215"/>
        <v>2040</v>
      </c>
      <c r="AM227" s="18">
        <f t="shared" si="215"/>
        <v>2041</v>
      </c>
      <c r="AN227" s="18">
        <f t="shared" si="215"/>
        <v>2042</v>
      </c>
      <c r="AO227" s="18">
        <f t="shared" si="215"/>
        <v>2043</v>
      </c>
      <c r="AP227" s="18">
        <f t="shared" si="215"/>
        <v>2044</v>
      </c>
      <c r="AQ227" s="18">
        <f t="shared" si="215"/>
        <v>2045</v>
      </c>
      <c r="AR227" s="18">
        <f t="shared" si="215"/>
        <v>2046</v>
      </c>
      <c r="AS227" s="18">
        <f t="shared" si="215"/>
        <v>2047</v>
      </c>
      <c r="AT227" s="18">
        <f t="shared" si="215"/>
        <v>2048</v>
      </c>
      <c r="AU227" s="18">
        <f t="shared" si="215"/>
        <v>2049</v>
      </c>
      <c r="AV227" s="18">
        <f t="shared" si="215"/>
        <v>2050</v>
      </c>
      <c r="AW227" s="18">
        <v>2060</v>
      </c>
      <c r="AX227" s="18">
        <v>2070</v>
      </c>
      <c r="AZ227" s="18"/>
      <c r="BA227" s="18"/>
      <c r="BB227" s="18"/>
      <c r="BC227" s="18"/>
      <c r="BD227" s="18"/>
      <c r="BE227" s="18"/>
    </row>
    <row r="228" spans="1:58">
      <c r="A228" s="199" t="s">
        <v>16</v>
      </c>
      <c r="B228" s="22" t="str">
        <f t="shared" ref="B228:B233" si="216">IF(A228="*","","COM_PROJ")</f>
        <v/>
      </c>
      <c r="C228" s="23" t="str">
        <f t="shared" ref="C228:C233" si="217">IF($A228="*","","-")</f>
        <v/>
      </c>
      <c r="E228" s="23" t="str">
        <f t="shared" ref="E228:H233" si="218">IF($A228="*","","-")</f>
        <v/>
      </c>
      <c r="F228" s="23"/>
      <c r="G228" s="23" t="str">
        <f t="shared" si="218"/>
        <v/>
      </c>
      <c r="H228" s="23" t="str">
        <f t="shared" si="218"/>
        <v/>
      </c>
      <c r="I228" s="61" t="str">
        <f t="shared" ref="I228:I235" si="219">B161</f>
        <v>TPPRCAR</v>
      </c>
      <c r="J228" s="200">
        <f t="shared" ref="J228:J235" si="220">E161</f>
        <v>113.41321320157822</v>
      </c>
      <c r="K228" s="200">
        <f t="shared" ref="K228:AW228" si="221">IF(L$226=-1,L228,IF(L$226=99,J228,IF(L$226=0,INDEX($E161:$K161,0,L$224),(INDEX($E161:$K161,0,L$226+1)-INDEX($E161:$K161,0,L$226))/(INDEX($E$160:$K$160,0,L$226+1)-INDEX($E$160:$K$160,0,L$226))+J228)))</f>
        <v>113.48706447132398</v>
      </c>
      <c r="L228" s="200">
        <f t="shared" si="221"/>
        <v>113.56091574106973</v>
      </c>
      <c r="M228" s="200">
        <f t="shared" si="221"/>
        <v>113.63476701081551</v>
      </c>
      <c r="N228" s="200">
        <f t="shared" si="221"/>
        <v>122.47972267223949</v>
      </c>
      <c r="O228" s="200">
        <f t="shared" si="221"/>
        <v>131.32467833366348</v>
      </c>
      <c r="P228" s="200">
        <f t="shared" si="221"/>
        <v>131.75004171398061</v>
      </c>
      <c r="Q228" s="200">
        <f t="shared" si="221"/>
        <v>132.17540509429773</v>
      </c>
      <c r="R228" s="200">
        <f t="shared" si="221"/>
        <v>132.60076847461482</v>
      </c>
      <c r="S228" s="200">
        <f t="shared" si="221"/>
        <v>138.40102132050077</v>
      </c>
      <c r="T228" s="200">
        <f t="shared" si="221"/>
        <v>144.20127416638672</v>
      </c>
      <c r="U228" s="200">
        <f t="shared" si="221"/>
        <v>150.00152701227267</v>
      </c>
      <c r="V228" s="200">
        <f t="shared" si="221"/>
        <v>155.80177985815862</v>
      </c>
      <c r="W228" s="200">
        <f t="shared" si="221"/>
        <v>161.60203270404457</v>
      </c>
      <c r="X228" s="200">
        <f t="shared" si="221"/>
        <v>167.40228554993053</v>
      </c>
      <c r="Y228" s="200">
        <f t="shared" si="221"/>
        <v>173.20253839581648</v>
      </c>
      <c r="Z228" s="200">
        <f t="shared" si="221"/>
        <v>179.00279124170243</v>
      </c>
      <c r="AA228" s="200">
        <f t="shared" si="221"/>
        <v>184.80304408758838</v>
      </c>
      <c r="AB228" s="200">
        <f t="shared" si="221"/>
        <v>190.60329693347444</v>
      </c>
      <c r="AC228" s="200">
        <f t="shared" si="221"/>
        <v>197.11085686949329</v>
      </c>
      <c r="AD228" s="200">
        <f t="shared" si="221"/>
        <v>203.61841680551214</v>
      </c>
      <c r="AE228" s="200">
        <f t="shared" si="221"/>
        <v>210.12597674153099</v>
      </c>
      <c r="AF228" s="200">
        <f t="shared" si="221"/>
        <v>216.63353667754984</v>
      </c>
      <c r="AG228" s="200">
        <f t="shared" si="221"/>
        <v>223.14109661356869</v>
      </c>
      <c r="AH228" s="200">
        <f t="shared" si="221"/>
        <v>229.64865654958754</v>
      </c>
      <c r="AI228" s="200">
        <f t="shared" si="221"/>
        <v>236.15621648560639</v>
      </c>
      <c r="AJ228" s="200">
        <f t="shared" si="221"/>
        <v>242.66377642162524</v>
      </c>
      <c r="AK228" s="200">
        <f t="shared" si="221"/>
        <v>249.17133635764409</v>
      </c>
      <c r="AL228" s="200">
        <f t="shared" si="221"/>
        <v>255.67889629366303</v>
      </c>
      <c r="AM228" s="200">
        <f t="shared" si="221"/>
        <v>261.14554489033128</v>
      </c>
      <c r="AN228" s="200">
        <f t="shared" si="221"/>
        <v>266.61219348699956</v>
      </c>
      <c r="AO228" s="200">
        <f t="shared" si="221"/>
        <v>272.07884208366784</v>
      </c>
      <c r="AP228" s="200">
        <f t="shared" si="221"/>
        <v>277.54549068033612</v>
      </c>
      <c r="AQ228" s="200">
        <f t="shared" si="221"/>
        <v>283.01213927700439</v>
      </c>
      <c r="AR228" s="200">
        <f t="shared" si="221"/>
        <v>288.47878787367267</v>
      </c>
      <c r="AS228" s="200">
        <f t="shared" si="221"/>
        <v>293.94543647034095</v>
      </c>
      <c r="AT228" s="200">
        <f t="shared" si="221"/>
        <v>299.41208506700923</v>
      </c>
      <c r="AU228" s="200">
        <f t="shared" si="221"/>
        <v>304.87873366367751</v>
      </c>
      <c r="AV228" s="200">
        <f t="shared" si="221"/>
        <v>310.34538226034562</v>
      </c>
      <c r="AW228" s="200">
        <f t="shared" si="221"/>
        <v>310.34538226034562</v>
      </c>
      <c r="AX228" s="200">
        <f t="shared" ref="AX228:AX235" si="222">IF(AY$226=-1,AZ228,IF(AY$226=99,AW228,IF(AY$226=0,INDEX($E161:$K161,0,AY$224),(INDEX($E161:$K161,0,AY$226+1)-INDEX($E161:$K161,0,AY$226))/(INDEX($E$160:$K$160,0,AY$226+1)-INDEX($E$160:$K$160,0,AY$226))+AW228)))</f>
        <v>310.34538226034562</v>
      </c>
      <c r="AZ228" s="200"/>
      <c r="BA228" s="200"/>
      <c r="BB228" s="200"/>
      <c r="BC228" s="200"/>
      <c r="BD228" s="200"/>
      <c r="BE228" s="200"/>
    </row>
    <row r="229" spans="1:58">
      <c r="A229" s="199" t="s">
        <v>16</v>
      </c>
      <c r="B229" s="22" t="str">
        <f t="shared" si="216"/>
        <v/>
      </c>
      <c r="C229" s="23" t="str">
        <f t="shared" si="217"/>
        <v/>
      </c>
      <c r="E229" s="23" t="str">
        <f t="shared" si="218"/>
        <v/>
      </c>
      <c r="F229" s="23"/>
      <c r="G229" s="23" t="str">
        <f t="shared" si="218"/>
        <v/>
      </c>
      <c r="H229" s="23" t="str">
        <f t="shared" si="218"/>
        <v/>
      </c>
      <c r="I229" s="61" t="str">
        <f t="shared" si="219"/>
        <v>TPPRSUV</v>
      </c>
      <c r="J229" s="200">
        <f t="shared" si="220"/>
        <v>13.022272061897711</v>
      </c>
      <c r="K229" s="200">
        <f t="shared" ref="K229:AW229" si="223">IF(L$226=-1,L229,IF(L$226=99,J229,IF(L$226=0,INDEX($E162:$K162,0,L$224),(INDEX($E162:$K162,0,L$226+1)-INDEX($E162:$K162,0,L$226))/(INDEX($E$160:$K$160,0,L$226+1)-INDEX($E$160:$K$160,0,L$226))+J229)))</f>
        <v>13.03075177338456</v>
      </c>
      <c r="L229" s="200">
        <f t="shared" si="223"/>
        <v>13.03923148487141</v>
      </c>
      <c r="M229" s="200">
        <f t="shared" si="223"/>
        <v>13.047711196358261</v>
      </c>
      <c r="N229" s="200">
        <f t="shared" si="223"/>
        <v>14.063302023449673</v>
      </c>
      <c r="O229" s="200">
        <f t="shared" si="223"/>
        <v>15.078892850541084</v>
      </c>
      <c r="P229" s="200">
        <f t="shared" si="223"/>
        <v>15.10405308034605</v>
      </c>
      <c r="Q229" s="200">
        <f t="shared" si="223"/>
        <v>15.129213310151016</v>
      </c>
      <c r="R229" s="200">
        <f t="shared" si="223"/>
        <v>15.154373539955982</v>
      </c>
      <c r="S229" s="200">
        <f t="shared" si="223"/>
        <v>15.805176722249927</v>
      </c>
      <c r="T229" s="200">
        <f t="shared" si="223"/>
        <v>16.45597990454387</v>
      </c>
      <c r="U229" s="200">
        <f t="shared" si="223"/>
        <v>17.106783086837815</v>
      </c>
      <c r="V229" s="200">
        <f t="shared" si="223"/>
        <v>17.75758626913176</v>
      </c>
      <c r="W229" s="200">
        <f t="shared" si="223"/>
        <v>18.408389451425705</v>
      </c>
      <c r="X229" s="200">
        <f t="shared" si="223"/>
        <v>19.05919263371965</v>
      </c>
      <c r="Y229" s="200">
        <f t="shared" si="223"/>
        <v>19.709995816013596</v>
      </c>
      <c r="Z229" s="200">
        <f t="shared" si="223"/>
        <v>20.360798998307541</v>
      </c>
      <c r="AA229" s="200">
        <f t="shared" si="223"/>
        <v>21.011602180601486</v>
      </c>
      <c r="AB229" s="200">
        <f t="shared" si="223"/>
        <v>21.662405362895427</v>
      </c>
      <c r="AC229" s="200">
        <f t="shared" si="223"/>
        <v>22.402001180624541</v>
      </c>
      <c r="AD229" s="200">
        <f t="shared" si="223"/>
        <v>23.141596998353656</v>
      </c>
      <c r="AE229" s="200">
        <f t="shared" si="223"/>
        <v>23.88119281608277</v>
      </c>
      <c r="AF229" s="200">
        <f t="shared" si="223"/>
        <v>24.620788633811884</v>
      </c>
      <c r="AG229" s="200">
        <f t="shared" si="223"/>
        <v>25.360384451540998</v>
      </c>
      <c r="AH229" s="200">
        <f t="shared" si="223"/>
        <v>26.099980269270112</v>
      </c>
      <c r="AI229" s="200">
        <f t="shared" si="223"/>
        <v>26.839576086999227</v>
      </c>
      <c r="AJ229" s="200">
        <f t="shared" si="223"/>
        <v>27.579171904728341</v>
      </c>
      <c r="AK229" s="200">
        <f t="shared" si="223"/>
        <v>28.318767722457455</v>
      </c>
      <c r="AL229" s="200">
        <f t="shared" si="223"/>
        <v>29.058363540186576</v>
      </c>
      <c r="AM229" s="200">
        <f t="shared" si="223"/>
        <v>29.679657923771469</v>
      </c>
      <c r="AN229" s="200">
        <f t="shared" si="223"/>
        <v>30.300952307356361</v>
      </c>
      <c r="AO229" s="200">
        <f t="shared" si="223"/>
        <v>30.922246690941254</v>
      </c>
      <c r="AP229" s="200">
        <f t="shared" si="223"/>
        <v>31.543541074526146</v>
      </c>
      <c r="AQ229" s="200">
        <f t="shared" si="223"/>
        <v>32.164835458111042</v>
      </c>
      <c r="AR229" s="200">
        <f t="shared" si="223"/>
        <v>32.786129841695939</v>
      </c>
      <c r="AS229" s="200">
        <f t="shared" si="223"/>
        <v>33.407424225280835</v>
      </c>
      <c r="AT229" s="200">
        <f t="shared" si="223"/>
        <v>34.028718608865731</v>
      </c>
      <c r="AU229" s="200">
        <f t="shared" si="223"/>
        <v>34.650012992450627</v>
      </c>
      <c r="AV229" s="200">
        <f t="shared" si="223"/>
        <v>35.271307376035502</v>
      </c>
      <c r="AW229" s="200">
        <f t="shared" si="223"/>
        <v>35.271307376035502</v>
      </c>
      <c r="AX229" s="200">
        <f t="shared" si="222"/>
        <v>35.271307376035502</v>
      </c>
      <c r="AZ229" s="200"/>
      <c r="BA229" s="200"/>
      <c r="BB229" s="200"/>
      <c r="BC229" s="200"/>
      <c r="BD229" s="200"/>
      <c r="BE229" s="200"/>
    </row>
    <row r="230" spans="1:58">
      <c r="A230" s="199" t="s">
        <v>16</v>
      </c>
      <c r="B230" s="22" t="str">
        <f t="shared" si="216"/>
        <v/>
      </c>
      <c r="C230" s="23" t="str">
        <f t="shared" si="217"/>
        <v/>
      </c>
      <c r="E230" s="23" t="str">
        <f t="shared" si="218"/>
        <v/>
      </c>
      <c r="F230" s="23"/>
      <c r="G230" s="23" t="str">
        <f t="shared" si="218"/>
        <v/>
      </c>
      <c r="H230" s="23" t="str">
        <f t="shared" si="218"/>
        <v/>
      </c>
      <c r="I230" s="61" t="str">
        <f t="shared" si="219"/>
        <v>TPPRMOT</v>
      </c>
      <c r="J230" s="200">
        <f t="shared" si="220"/>
        <v>4.4390936071135423</v>
      </c>
      <c r="K230" s="200">
        <f t="shared" ref="K230:AW230" si="224">IF(L$226=-1,L230,IF(L$226=99,J230,IF(L$226=0,INDEX($E163:$K163,0,L$224),(INDEX($E163:$K163,0,L$226+1)-INDEX($E163:$K163,0,L$226))/(INDEX($E$160:$K$160,0,L$226+1)-INDEX($E$160:$K$160,0,L$226))+J230)))</f>
        <v>4.0521477682973286</v>
      </c>
      <c r="L230" s="200">
        <f t="shared" si="224"/>
        <v>3.6652019294811153</v>
      </c>
      <c r="M230" s="200">
        <f t="shared" si="224"/>
        <v>3.2782560906649021</v>
      </c>
      <c r="N230" s="200">
        <f t="shared" si="224"/>
        <v>3.533424737826949</v>
      </c>
      <c r="O230" s="200">
        <f t="shared" si="224"/>
        <v>3.7885933849889954</v>
      </c>
      <c r="P230" s="200">
        <f t="shared" si="224"/>
        <v>3.7885933849889954</v>
      </c>
      <c r="Q230" s="200">
        <f t="shared" si="224"/>
        <v>3.7885933849889954</v>
      </c>
      <c r="R230" s="200">
        <f t="shared" si="224"/>
        <v>3.7885933849889954</v>
      </c>
      <c r="S230" s="200">
        <f t="shared" si="224"/>
        <v>3.992881580271332</v>
      </c>
      <c r="T230" s="200">
        <f t="shared" si="224"/>
        <v>4.1971697755536681</v>
      </c>
      <c r="U230" s="200">
        <f t="shared" si="224"/>
        <v>4.4014579708360042</v>
      </c>
      <c r="V230" s="200">
        <f t="shared" si="224"/>
        <v>4.6057461661183403</v>
      </c>
      <c r="W230" s="200">
        <f t="shared" si="224"/>
        <v>4.8100343614006764</v>
      </c>
      <c r="X230" s="200">
        <f t="shared" si="224"/>
        <v>5.0143225566830125</v>
      </c>
      <c r="Y230" s="200">
        <f t="shared" si="224"/>
        <v>5.2186107519653486</v>
      </c>
      <c r="Z230" s="200">
        <f t="shared" si="224"/>
        <v>5.4228989472476847</v>
      </c>
      <c r="AA230" s="200">
        <f t="shared" si="224"/>
        <v>5.6271871425300208</v>
      </c>
      <c r="AB230" s="200">
        <f t="shared" si="224"/>
        <v>5.8314753378123605</v>
      </c>
      <c r="AC230" s="200">
        <f t="shared" si="224"/>
        <v>6.0907457325336383</v>
      </c>
      <c r="AD230" s="200">
        <f t="shared" si="224"/>
        <v>6.350016127254916</v>
      </c>
      <c r="AE230" s="200">
        <f t="shared" si="224"/>
        <v>6.6092865219761938</v>
      </c>
      <c r="AF230" s="200">
        <f t="shared" si="224"/>
        <v>6.8685569166974716</v>
      </c>
      <c r="AG230" s="200">
        <f t="shared" si="224"/>
        <v>7.1278273114187494</v>
      </c>
      <c r="AH230" s="200">
        <f t="shared" si="224"/>
        <v>7.3870977061400271</v>
      </c>
      <c r="AI230" s="200">
        <f t="shared" si="224"/>
        <v>7.6463681008613049</v>
      </c>
      <c r="AJ230" s="200">
        <f t="shared" si="224"/>
        <v>7.9056384955825827</v>
      </c>
      <c r="AK230" s="200">
        <f t="shared" si="224"/>
        <v>8.1649088903038596</v>
      </c>
      <c r="AL230" s="200">
        <f t="shared" si="224"/>
        <v>8.4241792850251365</v>
      </c>
      <c r="AM230" s="200">
        <f t="shared" si="224"/>
        <v>8.6895071566392286</v>
      </c>
      <c r="AN230" s="200">
        <f t="shared" si="224"/>
        <v>8.9548350282533207</v>
      </c>
      <c r="AO230" s="200">
        <f t="shared" si="224"/>
        <v>9.2201628998674128</v>
      </c>
      <c r="AP230" s="200">
        <f t="shared" si="224"/>
        <v>9.4854907714815049</v>
      </c>
      <c r="AQ230" s="200">
        <f t="shared" si="224"/>
        <v>9.750818643095597</v>
      </c>
      <c r="AR230" s="200">
        <f t="shared" si="224"/>
        <v>10.016146514709689</v>
      </c>
      <c r="AS230" s="200">
        <f t="shared" si="224"/>
        <v>10.281474386323781</v>
      </c>
      <c r="AT230" s="200">
        <f t="shared" si="224"/>
        <v>10.546802257937873</v>
      </c>
      <c r="AU230" s="200">
        <f t="shared" si="224"/>
        <v>10.812130129551965</v>
      </c>
      <c r="AV230" s="200">
        <f t="shared" si="224"/>
        <v>11.077458001166061</v>
      </c>
      <c r="AW230" s="200">
        <f t="shared" si="224"/>
        <v>11.077458001166061</v>
      </c>
      <c r="AX230" s="200">
        <f t="shared" si="222"/>
        <v>11.077458001166061</v>
      </c>
      <c r="AZ230" s="200"/>
      <c r="BA230" s="200"/>
      <c r="BB230" s="200"/>
      <c r="BC230" s="200"/>
      <c r="BD230" s="200"/>
      <c r="BE230" s="200"/>
    </row>
    <row r="231" spans="1:58">
      <c r="A231" s="199" t="s">
        <v>16</v>
      </c>
      <c r="B231" s="22" t="str">
        <f t="shared" si="216"/>
        <v/>
      </c>
      <c r="C231" s="23" t="str">
        <f t="shared" si="217"/>
        <v/>
      </c>
      <c r="E231" s="23" t="str">
        <f t="shared" si="218"/>
        <v/>
      </c>
      <c r="F231" s="23"/>
      <c r="G231" s="23" t="str">
        <f t="shared" si="218"/>
        <v/>
      </c>
      <c r="H231" s="23" t="str">
        <f t="shared" si="218"/>
        <v/>
      </c>
      <c r="I231" s="61" t="str">
        <f t="shared" si="219"/>
        <v>TPPUBUS</v>
      </c>
      <c r="J231" s="200">
        <f t="shared" si="220"/>
        <v>15.449787242939724</v>
      </c>
      <c r="K231" s="200">
        <f t="shared" ref="K231:AW231" si="225">IF(L$226=-1,L231,IF(L$226=99,J231,IF(L$226=0,INDEX($E164:$K164,0,L$224),(INDEX($E164:$K164,0,L$226+1)-INDEX($E164:$K164,0,L$226))/(INDEX($E$160:$K$160,0,L$226+1)-INDEX($E$160:$K$160,0,L$226))+J231)))</f>
        <v>15.716524828626483</v>
      </c>
      <c r="L231" s="200">
        <f t="shared" si="225"/>
        <v>15.983262414313241</v>
      </c>
      <c r="M231" s="200">
        <f t="shared" si="225"/>
        <v>16.25</v>
      </c>
      <c r="N231" s="200">
        <f t="shared" si="225"/>
        <v>16.519303703621738</v>
      </c>
      <c r="O231" s="200">
        <f t="shared" si="225"/>
        <v>16.788607407243475</v>
      </c>
      <c r="P231" s="200">
        <f t="shared" si="225"/>
        <v>21.949599220849773</v>
      </c>
      <c r="Q231" s="200">
        <f t="shared" si="225"/>
        <v>27.110591034456071</v>
      </c>
      <c r="R231" s="200">
        <f t="shared" si="225"/>
        <v>32.271582848062373</v>
      </c>
      <c r="S231" s="200">
        <f t="shared" si="225"/>
        <v>31.267263801593781</v>
      </c>
      <c r="T231" s="200">
        <f t="shared" si="225"/>
        <v>30.26294475512519</v>
      </c>
      <c r="U231" s="200">
        <f t="shared" si="225"/>
        <v>29.258625708656599</v>
      </c>
      <c r="V231" s="200">
        <f t="shared" si="225"/>
        <v>28.254306662188007</v>
      </c>
      <c r="W231" s="200">
        <f t="shared" si="225"/>
        <v>27.249987615719416</v>
      </c>
      <c r="X231" s="200">
        <f t="shared" si="225"/>
        <v>26.245668569250824</v>
      </c>
      <c r="Y231" s="200">
        <f t="shared" si="225"/>
        <v>25.241349522782233</v>
      </c>
      <c r="Z231" s="200">
        <f t="shared" si="225"/>
        <v>24.237030476313642</v>
      </c>
      <c r="AA231" s="200">
        <f t="shared" si="225"/>
        <v>23.23271142984505</v>
      </c>
      <c r="AB231" s="200">
        <f t="shared" si="225"/>
        <v>22.228392383376473</v>
      </c>
      <c r="AC231" s="200">
        <f t="shared" si="225"/>
        <v>22.315348039694872</v>
      </c>
      <c r="AD231" s="200">
        <f t="shared" si="225"/>
        <v>22.40230369601327</v>
      </c>
      <c r="AE231" s="200">
        <f t="shared" si="225"/>
        <v>22.489259352331668</v>
      </c>
      <c r="AF231" s="200">
        <f t="shared" si="225"/>
        <v>22.576215008650067</v>
      </c>
      <c r="AG231" s="200">
        <f t="shared" si="225"/>
        <v>22.663170664968465</v>
      </c>
      <c r="AH231" s="200">
        <f t="shared" si="225"/>
        <v>22.750126321286864</v>
      </c>
      <c r="AI231" s="200">
        <f t="shared" si="225"/>
        <v>22.837081977605262</v>
      </c>
      <c r="AJ231" s="200">
        <f t="shared" si="225"/>
        <v>22.92403763392366</v>
      </c>
      <c r="AK231" s="200">
        <f t="shared" si="225"/>
        <v>23.010993290242059</v>
      </c>
      <c r="AL231" s="200">
        <f t="shared" si="225"/>
        <v>23.09794894656045</v>
      </c>
      <c r="AM231" s="200">
        <f t="shared" si="225"/>
        <v>23.314015829754226</v>
      </c>
      <c r="AN231" s="200">
        <f t="shared" si="225"/>
        <v>23.530082712948001</v>
      </c>
      <c r="AO231" s="200">
        <f t="shared" si="225"/>
        <v>23.746149596141777</v>
      </c>
      <c r="AP231" s="200">
        <f t="shared" si="225"/>
        <v>23.962216479335552</v>
      </c>
      <c r="AQ231" s="200">
        <f t="shared" si="225"/>
        <v>24.178283362529328</v>
      </c>
      <c r="AR231" s="200">
        <f t="shared" si="225"/>
        <v>24.394350245723103</v>
      </c>
      <c r="AS231" s="200">
        <f t="shared" si="225"/>
        <v>24.610417128916879</v>
      </c>
      <c r="AT231" s="200">
        <f t="shared" si="225"/>
        <v>24.826484012110654</v>
      </c>
      <c r="AU231" s="200">
        <f t="shared" si="225"/>
        <v>25.04255089530443</v>
      </c>
      <c r="AV231" s="200">
        <f t="shared" si="225"/>
        <v>25.258617778498191</v>
      </c>
      <c r="AW231" s="200">
        <f t="shared" si="225"/>
        <v>25.258617778498191</v>
      </c>
      <c r="AX231" s="200">
        <f t="shared" si="222"/>
        <v>25.258617778498191</v>
      </c>
      <c r="AZ231" s="200"/>
      <c r="BA231" s="200"/>
      <c r="BB231" s="200"/>
      <c r="BC231" s="200"/>
      <c r="BD231" s="200"/>
      <c r="BE231" s="200"/>
    </row>
    <row r="232" spans="1:58">
      <c r="A232" s="199" t="s">
        <v>16</v>
      </c>
      <c r="B232" s="22" t="str">
        <f t="shared" si="216"/>
        <v/>
      </c>
      <c r="C232" s="23" t="str">
        <f t="shared" si="217"/>
        <v/>
      </c>
      <c r="E232" s="23" t="str">
        <f t="shared" si="218"/>
        <v/>
      </c>
      <c r="F232" s="23"/>
      <c r="G232" s="23" t="str">
        <f t="shared" si="218"/>
        <v/>
      </c>
      <c r="H232" s="23" t="str">
        <f t="shared" si="218"/>
        <v/>
      </c>
      <c r="I232" s="61" t="str">
        <f t="shared" si="219"/>
        <v>TPPUMBT</v>
      </c>
      <c r="J232" s="200">
        <f t="shared" si="220"/>
        <v>82.92063206459666</v>
      </c>
      <c r="K232" s="200">
        <f t="shared" ref="K232:AW232" si="226">IF(L$226=-1,L232,IF(L$226=99,J232,IF(L$226=0,INDEX($E165:$K165,0,L$224),(INDEX($E165:$K165,0,L$226+1)-INDEX($E165:$K165,0,L$226))/(INDEX($E$160:$K$160,0,L$226+1)-INDEX($E$160:$K$160,0,L$226))+J232)))</f>
        <v>87.480421376397771</v>
      </c>
      <c r="L232" s="200">
        <f t="shared" si="226"/>
        <v>92.040210688198883</v>
      </c>
      <c r="M232" s="200">
        <f t="shared" si="226"/>
        <v>96.600000000000009</v>
      </c>
      <c r="N232" s="200">
        <f t="shared" si="226"/>
        <v>98.297871000000015</v>
      </c>
      <c r="O232" s="200">
        <f t="shared" si="226"/>
        <v>99.995742000000007</v>
      </c>
      <c r="P232" s="200">
        <f t="shared" si="226"/>
        <v>100.58228723459241</v>
      </c>
      <c r="Q232" s="200">
        <f t="shared" si="226"/>
        <v>101.16883246918482</v>
      </c>
      <c r="R232" s="200">
        <f t="shared" si="226"/>
        <v>101.75537770377723</v>
      </c>
      <c r="S232" s="200">
        <f t="shared" si="226"/>
        <v>103.33986103892909</v>
      </c>
      <c r="T232" s="200">
        <f t="shared" si="226"/>
        <v>104.92434437408095</v>
      </c>
      <c r="U232" s="200">
        <f t="shared" si="226"/>
        <v>106.5088277092328</v>
      </c>
      <c r="V232" s="200">
        <f t="shared" si="226"/>
        <v>108.09331104438466</v>
      </c>
      <c r="W232" s="200">
        <f t="shared" si="226"/>
        <v>109.67779437953652</v>
      </c>
      <c r="X232" s="200">
        <f t="shared" si="226"/>
        <v>111.26227771468838</v>
      </c>
      <c r="Y232" s="200">
        <f t="shared" si="226"/>
        <v>112.84676104984024</v>
      </c>
      <c r="Z232" s="200">
        <f t="shared" si="226"/>
        <v>114.4312443849921</v>
      </c>
      <c r="AA232" s="200">
        <f t="shared" si="226"/>
        <v>116.01572772014396</v>
      </c>
      <c r="AB232" s="200">
        <f t="shared" si="226"/>
        <v>117.6002110552958</v>
      </c>
      <c r="AC232" s="200">
        <f t="shared" si="226"/>
        <v>118.06025348027759</v>
      </c>
      <c r="AD232" s="200">
        <f t="shared" si="226"/>
        <v>118.52029590525939</v>
      </c>
      <c r="AE232" s="200">
        <f t="shared" si="226"/>
        <v>118.98033833024118</v>
      </c>
      <c r="AF232" s="200">
        <f t="shared" si="226"/>
        <v>119.44038075522298</v>
      </c>
      <c r="AG232" s="200">
        <f t="shared" si="226"/>
        <v>119.90042318020477</v>
      </c>
      <c r="AH232" s="200">
        <f t="shared" si="226"/>
        <v>120.36046560518656</v>
      </c>
      <c r="AI232" s="200">
        <f t="shared" si="226"/>
        <v>120.82050803016836</v>
      </c>
      <c r="AJ232" s="200">
        <f t="shared" si="226"/>
        <v>121.28055045515015</v>
      </c>
      <c r="AK232" s="200">
        <f t="shared" si="226"/>
        <v>121.74059288013194</v>
      </c>
      <c r="AL232" s="200">
        <f t="shared" si="226"/>
        <v>122.20063530511372</v>
      </c>
      <c r="AM232" s="200">
        <f t="shared" si="226"/>
        <v>123.34374591011863</v>
      </c>
      <c r="AN232" s="200">
        <f t="shared" si="226"/>
        <v>124.48685651512353</v>
      </c>
      <c r="AO232" s="200">
        <f t="shared" si="226"/>
        <v>125.62996712012844</v>
      </c>
      <c r="AP232" s="200">
        <f t="shared" si="226"/>
        <v>126.77307772513335</v>
      </c>
      <c r="AQ232" s="200">
        <f t="shared" si="226"/>
        <v>127.91618833013825</v>
      </c>
      <c r="AR232" s="200">
        <f t="shared" si="226"/>
        <v>129.05929893514315</v>
      </c>
      <c r="AS232" s="200">
        <f t="shared" si="226"/>
        <v>130.20240954014804</v>
      </c>
      <c r="AT232" s="200">
        <f t="shared" si="226"/>
        <v>131.34552014515293</v>
      </c>
      <c r="AU232" s="200">
        <f t="shared" si="226"/>
        <v>132.48863075015782</v>
      </c>
      <c r="AV232" s="200">
        <f t="shared" si="226"/>
        <v>133.63174135516275</v>
      </c>
      <c r="AW232" s="200">
        <f t="shared" si="226"/>
        <v>133.63174135516275</v>
      </c>
      <c r="AX232" s="200">
        <f t="shared" si="222"/>
        <v>133.63174135516275</v>
      </c>
      <c r="AZ232" s="200"/>
      <c r="BA232" s="200"/>
      <c r="BB232" s="200"/>
      <c r="BC232" s="200"/>
      <c r="BD232" s="200"/>
      <c r="BE232" s="200"/>
    </row>
    <row r="233" spans="1:58">
      <c r="A233" s="199" t="s">
        <v>16</v>
      </c>
      <c r="B233" s="22" t="str">
        <f t="shared" si="216"/>
        <v/>
      </c>
      <c r="C233" s="23" t="str">
        <f t="shared" si="217"/>
        <v/>
      </c>
      <c r="E233" s="23" t="str">
        <f t="shared" si="218"/>
        <v/>
      </c>
      <c r="F233" s="23"/>
      <c r="G233" s="23" t="str">
        <f t="shared" si="218"/>
        <v/>
      </c>
      <c r="H233" s="23" t="str">
        <f t="shared" si="218"/>
        <v/>
      </c>
      <c r="I233" s="61" t="str">
        <f t="shared" si="219"/>
        <v>TPPUBRT</v>
      </c>
      <c r="J233" s="200">
        <f t="shared" si="220"/>
        <v>0.53125275171718644</v>
      </c>
      <c r="K233" s="200">
        <f t="shared" ref="K233:AW233" si="227">IF(L$226=-1,L233,IF(L$226=99,J233,IF(L$226=0,INDEX($E166:$K166,0,L$224),(INDEX($E166:$K166,0,L$226+1)-INDEX($E166:$K166,0,L$226))/(INDEX($E$160:$K$160,0,L$226+1)-INDEX($E$160:$K$160,0,L$226))+J233)))</f>
        <v>0.54399547096933787</v>
      </c>
      <c r="L233" s="200">
        <f t="shared" si="227"/>
        <v>0.55673819022148929</v>
      </c>
      <c r="M233" s="200">
        <f t="shared" si="227"/>
        <v>0.56948090947364061</v>
      </c>
      <c r="N233" s="200">
        <f t="shared" si="227"/>
        <v>0.58331385326422125</v>
      </c>
      <c r="O233" s="200">
        <f t="shared" si="227"/>
        <v>0.59714679705480178</v>
      </c>
      <c r="P233" s="200">
        <f t="shared" si="227"/>
        <v>2.2916760646782008</v>
      </c>
      <c r="Q233" s="200">
        <f t="shared" si="227"/>
        <v>3.9862053323016</v>
      </c>
      <c r="R233" s="200">
        <f t="shared" si="227"/>
        <v>5.6807345999249996</v>
      </c>
      <c r="S233" s="200">
        <f t="shared" si="227"/>
        <v>6.6497747147827475</v>
      </c>
      <c r="T233" s="200">
        <f t="shared" si="227"/>
        <v>7.6188148296404954</v>
      </c>
      <c r="U233" s="200">
        <f t="shared" si="227"/>
        <v>8.5878549444982433</v>
      </c>
      <c r="V233" s="200">
        <f t="shared" si="227"/>
        <v>9.5568950593559912</v>
      </c>
      <c r="W233" s="200">
        <f t="shared" si="227"/>
        <v>10.525935174213739</v>
      </c>
      <c r="X233" s="200">
        <f t="shared" si="227"/>
        <v>11.494975289071487</v>
      </c>
      <c r="Y233" s="200">
        <f t="shared" si="227"/>
        <v>12.464015403929235</v>
      </c>
      <c r="Z233" s="200">
        <f t="shared" si="227"/>
        <v>13.433055518786983</v>
      </c>
      <c r="AA233" s="200">
        <f t="shared" si="227"/>
        <v>14.402095633644731</v>
      </c>
      <c r="AB233" s="200">
        <f t="shared" si="227"/>
        <v>15.371135748502482</v>
      </c>
      <c r="AC233" s="200">
        <f t="shared" si="227"/>
        <v>16.815015624300074</v>
      </c>
      <c r="AD233" s="200">
        <f t="shared" si="227"/>
        <v>18.258895500097665</v>
      </c>
      <c r="AE233" s="200">
        <f t="shared" si="227"/>
        <v>19.702775375895257</v>
      </c>
      <c r="AF233" s="200">
        <f t="shared" si="227"/>
        <v>21.146655251692849</v>
      </c>
      <c r="AG233" s="200">
        <f t="shared" si="227"/>
        <v>22.59053512749044</v>
      </c>
      <c r="AH233" s="200">
        <f t="shared" si="227"/>
        <v>24.034415003288032</v>
      </c>
      <c r="AI233" s="200">
        <f t="shared" si="227"/>
        <v>25.478294879085624</v>
      </c>
      <c r="AJ233" s="200">
        <f t="shared" si="227"/>
        <v>26.922174754883216</v>
      </c>
      <c r="AK233" s="200">
        <f t="shared" si="227"/>
        <v>28.366054630680807</v>
      </c>
      <c r="AL233" s="200">
        <f t="shared" si="227"/>
        <v>29.809934506478413</v>
      </c>
      <c r="AM233" s="200">
        <f t="shared" si="227"/>
        <v>31.253332398263684</v>
      </c>
      <c r="AN233" s="200">
        <f t="shared" si="227"/>
        <v>32.696730290048954</v>
      </c>
      <c r="AO233" s="200">
        <f t="shared" si="227"/>
        <v>34.140128181834221</v>
      </c>
      <c r="AP233" s="200">
        <f t="shared" si="227"/>
        <v>35.583526073619488</v>
      </c>
      <c r="AQ233" s="200">
        <f t="shared" si="227"/>
        <v>37.026923965404755</v>
      </c>
      <c r="AR233" s="200">
        <f t="shared" si="227"/>
        <v>38.470321857190022</v>
      </c>
      <c r="AS233" s="200">
        <f t="shared" si="227"/>
        <v>39.913719748975289</v>
      </c>
      <c r="AT233" s="200">
        <f t="shared" si="227"/>
        <v>41.357117640760556</v>
      </c>
      <c r="AU233" s="200">
        <f t="shared" si="227"/>
        <v>42.800515532545823</v>
      </c>
      <c r="AV233" s="200">
        <f t="shared" si="227"/>
        <v>44.243913424331112</v>
      </c>
      <c r="AW233" s="200">
        <f t="shared" si="227"/>
        <v>44.243913424331112</v>
      </c>
      <c r="AX233" s="200">
        <f t="shared" si="222"/>
        <v>44.243913424331112</v>
      </c>
      <c r="AZ233" s="200"/>
      <c r="BA233" s="200"/>
      <c r="BB233" s="200"/>
      <c r="BC233" s="200"/>
      <c r="BD233" s="200"/>
      <c r="BE233" s="200"/>
    </row>
    <row r="234" spans="1:58">
      <c r="A234" s="199" t="s">
        <v>16</v>
      </c>
      <c r="B234" s="22"/>
      <c r="C234" s="23"/>
      <c r="E234" s="23"/>
      <c r="F234" s="23"/>
      <c r="G234" s="23"/>
      <c r="H234" s="23"/>
      <c r="I234" s="61" t="str">
        <f t="shared" si="219"/>
        <v>TPPUMER</v>
      </c>
      <c r="J234" s="200">
        <f t="shared" si="220"/>
        <v>14.401941649299841</v>
      </c>
      <c r="K234" s="200">
        <f t="shared" ref="K234:AW234" si="228">IF(L$226=-1,L234,IF(L$226=99,J234,IF(L$226=0,INDEX($E167:$K167,0,L$224),(INDEX($E167:$K167,0,L$226+1)-INDEX($E167:$K167,0,L$226))/(INDEX($E$160:$K$160,0,L$226+1)-INDEX($E$160:$K$160,0,L$226))+J234)))</f>
        <v>13.650717462928288</v>
      </c>
      <c r="L234" s="200">
        <f t="shared" si="228"/>
        <v>12.899493276556735</v>
      </c>
      <c r="M234" s="200">
        <f t="shared" si="228"/>
        <v>12.148269090185179</v>
      </c>
      <c r="N234" s="200">
        <f t="shared" si="228"/>
        <v>10.936267314541286</v>
      </c>
      <c r="O234" s="200">
        <f t="shared" si="228"/>
        <v>9.7242655388973933</v>
      </c>
      <c r="P234" s="200">
        <f t="shared" si="228"/>
        <v>9.7939286471549849</v>
      </c>
      <c r="Q234" s="200">
        <f t="shared" si="228"/>
        <v>9.8635917554125765</v>
      </c>
      <c r="R234" s="200">
        <f t="shared" si="228"/>
        <v>9.9332548636701663</v>
      </c>
      <c r="S234" s="200">
        <f t="shared" si="228"/>
        <v>9.9762530762578621</v>
      </c>
      <c r="T234" s="200">
        <f t="shared" si="228"/>
        <v>10.019251288845558</v>
      </c>
      <c r="U234" s="200">
        <f t="shared" si="228"/>
        <v>10.062249501433254</v>
      </c>
      <c r="V234" s="200">
        <f t="shared" si="228"/>
        <v>10.105247714020949</v>
      </c>
      <c r="W234" s="200">
        <f t="shared" si="228"/>
        <v>10.148245926608645</v>
      </c>
      <c r="X234" s="200">
        <f t="shared" si="228"/>
        <v>10.191244139196341</v>
      </c>
      <c r="Y234" s="200">
        <f t="shared" si="228"/>
        <v>10.234242351784037</v>
      </c>
      <c r="Z234" s="200">
        <f t="shared" si="228"/>
        <v>10.277240564371732</v>
      </c>
      <c r="AA234" s="200">
        <f t="shared" si="228"/>
        <v>10.320238776959428</v>
      </c>
      <c r="AB234" s="200">
        <f t="shared" si="228"/>
        <v>10.363236989547131</v>
      </c>
      <c r="AC234" s="200">
        <f t="shared" si="228"/>
        <v>10.403777126614493</v>
      </c>
      <c r="AD234" s="200">
        <f t="shared" si="228"/>
        <v>10.444317263681853</v>
      </c>
      <c r="AE234" s="200">
        <f t="shared" si="228"/>
        <v>10.484857400749213</v>
      </c>
      <c r="AF234" s="200">
        <f t="shared" si="228"/>
        <v>10.525397537816573</v>
      </c>
      <c r="AG234" s="200">
        <f t="shared" si="228"/>
        <v>10.565937674883934</v>
      </c>
      <c r="AH234" s="200">
        <f t="shared" si="228"/>
        <v>10.606477811951294</v>
      </c>
      <c r="AI234" s="200">
        <f t="shared" si="228"/>
        <v>10.647017949018654</v>
      </c>
      <c r="AJ234" s="200">
        <f t="shared" si="228"/>
        <v>10.687558086086014</v>
      </c>
      <c r="AK234" s="200">
        <f t="shared" si="228"/>
        <v>10.728098223153374</v>
      </c>
      <c r="AL234" s="200">
        <f t="shared" si="228"/>
        <v>10.768638360220741</v>
      </c>
      <c r="AM234" s="200">
        <f t="shared" si="228"/>
        <v>10.869372244952974</v>
      </c>
      <c r="AN234" s="200">
        <f t="shared" si="228"/>
        <v>10.970106129685206</v>
      </c>
      <c r="AO234" s="200">
        <f t="shared" si="228"/>
        <v>11.070840014417438</v>
      </c>
      <c r="AP234" s="200">
        <f t="shared" si="228"/>
        <v>11.171573899149671</v>
      </c>
      <c r="AQ234" s="200">
        <f t="shared" si="228"/>
        <v>11.272307783881903</v>
      </c>
      <c r="AR234" s="200">
        <f t="shared" si="228"/>
        <v>11.373041668614135</v>
      </c>
      <c r="AS234" s="200">
        <f t="shared" si="228"/>
        <v>11.473775553346368</v>
      </c>
      <c r="AT234" s="200">
        <f t="shared" si="228"/>
        <v>11.5745094380786</v>
      </c>
      <c r="AU234" s="200">
        <f t="shared" si="228"/>
        <v>11.675243322810832</v>
      </c>
      <c r="AV234" s="200">
        <f t="shared" si="228"/>
        <v>11.775977207543068</v>
      </c>
      <c r="AW234" s="200">
        <f t="shared" si="228"/>
        <v>11.775977207543068</v>
      </c>
      <c r="AX234" s="200">
        <f t="shared" si="222"/>
        <v>11.775977207543068</v>
      </c>
      <c r="AZ234" s="200"/>
      <c r="BA234" s="200"/>
      <c r="BB234" s="200"/>
      <c r="BC234" s="200"/>
      <c r="BD234" s="200"/>
      <c r="BE234" s="200"/>
    </row>
    <row r="235" spans="1:58">
      <c r="A235" s="199" t="s">
        <v>16</v>
      </c>
      <c r="B235" s="22"/>
      <c r="C235" s="23"/>
      <c r="E235" s="23"/>
      <c r="F235" s="23"/>
      <c r="G235" s="23"/>
      <c r="H235" s="23"/>
      <c r="I235" s="61" t="str">
        <f t="shared" si="219"/>
        <v>TPPUGAT</v>
      </c>
      <c r="J235" s="200">
        <f t="shared" si="220"/>
        <v>0.53452578037785492</v>
      </c>
      <c r="K235" s="200">
        <f t="shared" ref="K235:AW235" si="229">IF(L$226=-1,L235,IF(L$226=99,J235,IF(L$226=0,INDEX($E168:$K168,0,L$224),(INDEX($E168:$K168,0,L$226+1)-INDEX($E168:$K168,0,L$226))/(INDEX($E$160:$K$160,0,L$226+1)-INDEX($E$160:$K$160,0,L$226))+J235)))</f>
        <v>0.55248564192940541</v>
      </c>
      <c r="L235" s="200">
        <f t="shared" si="229"/>
        <v>0.57044550348095591</v>
      </c>
      <c r="M235" s="200">
        <f t="shared" si="229"/>
        <v>0.58840536503250629</v>
      </c>
      <c r="N235" s="200">
        <f t="shared" si="229"/>
        <v>0.60651580293507878</v>
      </c>
      <c r="O235" s="200">
        <f t="shared" si="229"/>
        <v>0.62462624083765128</v>
      </c>
      <c r="P235" s="200">
        <f t="shared" si="229"/>
        <v>0.62582282996645056</v>
      </c>
      <c r="Q235" s="200">
        <f t="shared" si="229"/>
        <v>0.62701941909524983</v>
      </c>
      <c r="R235" s="200">
        <f t="shared" si="229"/>
        <v>0.62821600822404911</v>
      </c>
      <c r="S235" s="200">
        <f t="shared" si="229"/>
        <v>0.6660006019130148</v>
      </c>
      <c r="T235" s="200">
        <f t="shared" si="229"/>
        <v>0.7037851956019805</v>
      </c>
      <c r="U235" s="200">
        <f t="shared" si="229"/>
        <v>0.74156978929094619</v>
      </c>
      <c r="V235" s="200">
        <f t="shared" si="229"/>
        <v>0.77935438297991189</v>
      </c>
      <c r="W235" s="200">
        <f t="shared" si="229"/>
        <v>0.81713897666887758</v>
      </c>
      <c r="X235" s="200">
        <f t="shared" si="229"/>
        <v>0.85492357035784328</v>
      </c>
      <c r="Y235" s="200">
        <f t="shared" si="229"/>
        <v>0.89270816404680897</v>
      </c>
      <c r="Z235" s="200">
        <f t="shared" si="229"/>
        <v>0.93049275773577467</v>
      </c>
      <c r="AA235" s="200">
        <f t="shared" si="229"/>
        <v>0.96827735142474036</v>
      </c>
      <c r="AB235" s="200">
        <f t="shared" si="229"/>
        <v>1.0060619451137058</v>
      </c>
      <c r="AC235" s="200">
        <f t="shared" si="229"/>
        <v>1.0531236518525384</v>
      </c>
      <c r="AD235" s="200">
        <f t="shared" si="229"/>
        <v>1.100185358591371</v>
      </c>
      <c r="AE235" s="200">
        <f t="shared" si="229"/>
        <v>1.1472470653302036</v>
      </c>
      <c r="AF235" s="200">
        <f t="shared" si="229"/>
        <v>1.1943087720690362</v>
      </c>
      <c r="AG235" s="200">
        <f t="shared" si="229"/>
        <v>1.2413704788078688</v>
      </c>
      <c r="AH235" s="200">
        <f t="shared" si="229"/>
        <v>1.2884321855467014</v>
      </c>
      <c r="AI235" s="200">
        <f t="shared" si="229"/>
        <v>1.3354938922855339</v>
      </c>
      <c r="AJ235" s="200">
        <f t="shared" si="229"/>
        <v>1.3825555990243665</v>
      </c>
      <c r="AK235" s="200">
        <f t="shared" si="229"/>
        <v>1.4296173057631991</v>
      </c>
      <c r="AL235" s="200">
        <f t="shared" si="229"/>
        <v>1.4766790125020326</v>
      </c>
      <c r="AM235" s="200">
        <f t="shared" si="229"/>
        <v>1.5269075251516764</v>
      </c>
      <c r="AN235" s="200">
        <f t="shared" si="229"/>
        <v>1.5771360378013202</v>
      </c>
      <c r="AO235" s="200">
        <f t="shared" si="229"/>
        <v>1.627364550450964</v>
      </c>
      <c r="AP235" s="200">
        <f t="shared" si="229"/>
        <v>1.6775930631006077</v>
      </c>
      <c r="AQ235" s="200">
        <f t="shared" si="229"/>
        <v>1.7278215757502515</v>
      </c>
      <c r="AR235" s="200">
        <f t="shared" si="229"/>
        <v>1.7780500883998953</v>
      </c>
      <c r="AS235" s="200">
        <f t="shared" si="229"/>
        <v>1.8282786010495391</v>
      </c>
      <c r="AT235" s="200">
        <f t="shared" si="229"/>
        <v>1.8785071136991829</v>
      </c>
      <c r="AU235" s="200">
        <f t="shared" si="229"/>
        <v>1.9287356263488267</v>
      </c>
      <c r="AV235" s="200">
        <f t="shared" si="229"/>
        <v>1.9789641389984713</v>
      </c>
      <c r="AW235" s="200">
        <f t="shared" si="229"/>
        <v>1.9789641389984713</v>
      </c>
      <c r="AX235" s="200">
        <f t="shared" si="222"/>
        <v>1.9789641389984713</v>
      </c>
      <c r="AZ235" s="200"/>
      <c r="BA235" s="200"/>
      <c r="BB235" s="200"/>
      <c r="BC235" s="200"/>
      <c r="BD235" s="200"/>
      <c r="BE235" s="200"/>
    </row>
    <row r="236" spans="1:58">
      <c r="B236" s="22"/>
      <c r="C236" s="23"/>
      <c r="E236" s="23"/>
      <c r="F236" s="23"/>
      <c r="G236" s="23"/>
      <c r="H236" s="23"/>
      <c r="I236" s="23"/>
      <c r="J236" s="23"/>
      <c r="K236" s="61"/>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200"/>
      <c r="AW236" s="200"/>
      <c r="AX236" s="200"/>
    </row>
    <row r="237" spans="1:58">
      <c r="B237" s="22"/>
      <c r="C237" s="23"/>
      <c r="E237" s="23"/>
      <c r="F237" s="23"/>
      <c r="G237" s="23"/>
      <c r="H237" s="23"/>
      <c r="I237" s="23"/>
      <c r="J237" s="23"/>
      <c r="K237" s="61"/>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row>
    <row r="238" spans="1:58">
      <c r="B238" s="22"/>
      <c r="C238" s="23"/>
      <c r="E238" s="23"/>
      <c r="F238" s="23"/>
      <c r="G238" s="23"/>
      <c r="H238" s="23"/>
      <c r="I238" s="23"/>
      <c r="J238" s="23"/>
      <c r="K238" s="61"/>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c r="AQ238" s="200"/>
      <c r="AR238" s="200"/>
      <c r="AS238" s="200"/>
      <c r="AT238" s="200"/>
      <c r="AU238" s="200"/>
      <c r="AV238" s="200"/>
      <c r="AW238" s="200"/>
      <c r="AX238" s="200"/>
    </row>
    <row r="239" spans="1:58">
      <c r="B239" s="22"/>
      <c r="C239" s="23"/>
      <c r="E239" s="23"/>
      <c r="F239" s="23"/>
      <c r="G239" s="23"/>
      <c r="H239" s="23"/>
      <c r="I239" s="23"/>
      <c r="J239" s="23"/>
      <c r="K239" s="61"/>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c r="AQ239" s="200"/>
      <c r="AR239" s="200"/>
      <c r="AS239" s="200"/>
      <c r="AT239" s="200"/>
      <c r="AU239" s="200"/>
      <c r="AV239" s="200"/>
      <c r="AW239" s="200"/>
      <c r="AX239" s="200"/>
    </row>
    <row r="240" spans="1:58">
      <c r="B240" s="22"/>
      <c r="C240" s="23"/>
      <c r="E240" s="23"/>
      <c r="F240" s="23"/>
      <c r="G240" s="23"/>
      <c r="H240" s="23"/>
      <c r="I240" s="23"/>
      <c r="J240" s="23"/>
      <c r="K240" s="61"/>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c r="AQ240" s="200"/>
      <c r="AR240" s="200"/>
      <c r="AS240" s="200"/>
      <c r="AT240" s="200"/>
      <c r="AU240" s="200"/>
      <c r="AV240" s="200"/>
      <c r="AW240" s="200"/>
      <c r="AX240" s="200"/>
    </row>
    <row r="241" spans="1:58">
      <c r="B241" s="22"/>
      <c r="C241" s="23"/>
      <c r="E241" s="23"/>
      <c r="F241" s="23"/>
      <c r="G241" s="23"/>
      <c r="H241" s="23"/>
      <c r="I241" s="23"/>
      <c r="J241" s="23"/>
      <c r="K241" s="61"/>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c r="AQ241" s="200"/>
      <c r="AR241" s="200"/>
      <c r="AS241" s="200"/>
      <c r="AT241" s="200"/>
      <c r="AU241" s="200"/>
      <c r="AV241" s="200"/>
      <c r="AW241" s="200"/>
      <c r="AX241" s="200"/>
    </row>
    <row r="242" spans="1:58">
      <c r="B242" s="22"/>
      <c r="C242" s="23"/>
      <c r="E242" s="23"/>
      <c r="F242" s="23"/>
      <c r="G242" s="23"/>
      <c r="H242" s="23"/>
      <c r="I242" s="23"/>
      <c r="J242" s="23"/>
      <c r="K242" s="61"/>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c r="AQ242" s="200"/>
      <c r="AR242" s="200"/>
      <c r="AS242" s="200"/>
      <c r="AT242" s="200"/>
      <c r="AU242" s="200"/>
      <c r="AV242" s="200"/>
      <c r="AW242" s="200"/>
      <c r="AX242" s="200"/>
    </row>
    <row r="243" spans="1:58">
      <c r="A243" s="199" t="s">
        <v>16</v>
      </c>
      <c r="L243" s="199"/>
      <c r="M243" s="41"/>
    </row>
    <row r="244" spans="1:58">
      <c r="A244" s="199" t="s">
        <v>16</v>
      </c>
      <c r="C244" s="199">
        <f>C223</f>
        <v>1</v>
      </c>
      <c r="D244" s="199">
        <v>2012</v>
      </c>
      <c r="E244" s="199">
        <f>E223</f>
        <v>2015</v>
      </c>
      <c r="F244" s="199">
        <v>2017</v>
      </c>
      <c r="G244" s="199">
        <f>G223</f>
        <v>2020</v>
      </c>
      <c r="H244" s="199">
        <f>H223</f>
        <v>2030</v>
      </c>
      <c r="I244" s="199">
        <f t="shared" ref="I244:J244" si="230">I223</f>
        <v>2040</v>
      </c>
      <c r="J244" s="199">
        <f t="shared" si="230"/>
        <v>2050</v>
      </c>
      <c r="K244" s="199">
        <f>J223</f>
        <v>2050</v>
      </c>
      <c r="L244" s="124">
        <f>MATCH(J$254,$D$244:$K$244,$C244)</f>
        <v>1</v>
      </c>
      <c r="M244" s="205">
        <f t="shared" ref="M244:V245" si="231">MATCH(K$227,$D$223:$J$223,$C244)</f>
        <v>1</v>
      </c>
      <c r="N244" s="205">
        <f t="shared" si="231"/>
        <v>1</v>
      </c>
      <c r="O244" s="205">
        <f t="shared" si="231"/>
        <v>2</v>
      </c>
      <c r="P244" s="205">
        <f t="shared" si="231"/>
        <v>2</v>
      </c>
      <c r="Q244" s="205">
        <f t="shared" si="231"/>
        <v>3</v>
      </c>
      <c r="R244" s="205">
        <f t="shared" si="231"/>
        <v>3</v>
      </c>
      <c r="S244" s="205">
        <f t="shared" si="231"/>
        <v>3</v>
      </c>
      <c r="T244" s="205">
        <f t="shared" si="231"/>
        <v>4</v>
      </c>
      <c r="U244" s="205">
        <f t="shared" si="231"/>
        <v>4</v>
      </c>
      <c r="V244" s="205">
        <f t="shared" si="231"/>
        <v>4</v>
      </c>
      <c r="W244" s="205">
        <f t="shared" ref="W244:AF245" si="232">MATCH(U$227,$D$223:$J$223,$C244)</f>
        <v>4</v>
      </c>
      <c r="X244" s="205">
        <f t="shared" si="232"/>
        <v>4</v>
      </c>
      <c r="Y244" s="205">
        <f t="shared" si="232"/>
        <v>4</v>
      </c>
      <c r="Z244" s="205">
        <f t="shared" si="232"/>
        <v>4</v>
      </c>
      <c r="AA244" s="205">
        <f t="shared" si="232"/>
        <v>4</v>
      </c>
      <c r="AB244" s="205">
        <f t="shared" si="232"/>
        <v>4</v>
      </c>
      <c r="AC244" s="205">
        <f t="shared" si="232"/>
        <v>4</v>
      </c>
      <c r="AD244" s="205">
        <f t="shared" si="232"/>
        <v>5</v>
      </c>
      <c r="AE244" s="205">
        <f t="shared" si="232"/>
        <v>5</v>
      </c>
      <c r="AF244" s="205">
        <f t="shared" si="232"/>
        <v>5</v>
      </c>
      <c r="AG244" s="205">
        <f t="shared" ref="AG244:AP245" si="233">MATCH(AE$227,$D$223:$J$223,$C244)</f>
        <v>5</v>
      </c>
      <c r="AH244" s="205">
        <f t="shared" si="233"/>
        <v>5</v>
      </c>
      <c r="AI244" s="205">
        <f t="shared" si="233"/>
        <v>5</v>
      </c>
      <c r="AJ244" s="205">
        <f t="shared" si="233"/>
        <v>5</v>
      </c>
      <c r="AK244" s="205">
        <f t="shared" si="233"/>
        <v>5</v>
      </c>
      <c r="AL244" s="205">
        <f t="shared" si="233"/>
        <v>5</v>
      </c>
      <c r="AM244" s="205">
        <f t="shared" si="233"/>
        <v>5</v>
      </c>
      <c r="AN244" s="205">
        <f t="shared" si="233"/>
        <v>6</v>
      </c>
      <c r="AO244" s="205">
        <f t="shared" si="233"/>
        <v>6</v>
      </c>
      <c r="AP244" s="205">
        <f t="shared" si="233"/>
        <v>6</v>
      </c>
      <c r="AQ244" s="205">
        <f t="shared" ref="AQ244:AR245" si="234">MATCH(AO$227,$D$223:$J$223,$C244)</f>
        <v>6</v>
      </c>
      <c r="AR244" s="205">
        <f t="shared" si="234"/>
        <v>6</v>
      </c>
      <c r="AS244" s="205">
        <f t="shared" ref="AS244:BF245" si="235">MATCH(AQ$254,$D$223:$J$223,$C244)</f>
        <v>6</v>
      </c>
      <c r="AT244" s="205">
        <f t="shared" si="235"/>
        <v>6</v>
      </c>
      <c r="AU244" s="205">
        <f t="shared" si="235"/>
        <v>6</v>
      </c>
      <c r="AV244" s="205">
        <f t="shared" si="235"/>
        <v>6</v>
      </c>
      <c r="AW244" s="205">
        <f t="shared" si="235"/>
        <v>6</v>
      </c>
      <c r="AX244" s="205">
        <f t="shared" si="235"/>
        <v>7</v>
      </c>
      <c r="AY244" s="205">
        <f t="shared" si="235"/>
        <v>7</v>
      </c>
      <c r="AZ244" s="205">
        <f t="shared" si="235"/>
        <v>7</v>
      </c>
      <c r="BA244" s="205">
        <f t="shared" si="235"/>
        <v>7</v>
      </c>
      <c r="BB244" s="205">
        <f t="shared" si="235"/>
        <v>7</v>
      </c>
      <c r="BC244" s="205">
        <f t="shared" si="235"/>
        <v>7</v>
      </c>
      <c r="BD244" s="205">
        <f t="shared" si="235"/>
        <v>7</v>
      </c>
      <c r="BE244" s="205">
        <f t="shared" si="235"/>
        <v>7</v>
      </c>
      <c r="BF244" s="205">
        <f t="shared" si="235"/>
        <v>7</v>
      </c>
    </row>
    <row r="245" spans="1:58">
      <c r="A245" s="199" t="s">
        <v>16</v>
      </c>
      <c r="C245" s="199">
        <f>C224</f>
        <v>0</v>
      </c>
      <c r="D245" s="199">
        <f t="shared" ref="D245:J246" si="236">D224</f>
        <v>2050</v>
      </c>
      <c r="E245" s="199">
        <f t="shared" si="236"/>
        <v>2040</v>
      </c>
      <c r="F245" s="199">
        <f t="shared" si="236"/>
        <v>2030</v>
      </c>
      <c r="G245" s="199">
        <f t="shared" si="236"/>
        <v>2020</v>
      </c>
      <c r="H245" s="199">
        <f t="shared" si="236"/>
        <v>2017</v>
      </c>
      <c r="I245" s="199">
        <f t="shared" si="236"/>
        <v>2015</v>
      </c>
      <c r="J245" s="199">
        <f t="shared" si="236"/>
        <v>2006</v>
      </c>
      <c r="K245" s="199">
        <v>2012</v>
      </c>
      <c r="L245" s="41">
        <f>MATCH(J$254,$D$244:$K$244,$C245)</f>
        <v>1</v>
      </c>
      <c r="M245" s="199" t="e">
        <f t="shared" si="231"/>
        <v>#N/A</v>
      </c>
      <c r="N245" s="199" t="e">
        <f t="shared" si="231"/>
        <v>#N/A</v>
      </c>
      <c r="O245" s="199">
        <f t="shared" si="231"/>
        <v>2</v>
      </c>
      <c r="P245" s="199" t="e">
        <f t="shared" si="231"/>
        <v>#N/A</v>
      </c>
      <c r="Q245" s="199">
        <f t="shared" si="231"/>
        <v>3</v>
      </c>
      <c r="R245" s="199" t="e">
        <f t="shared" si="231"/>
        <v>#N/A</v>
      </c>
      <c r="S245" s="199" t="e">
        <f t="shared" si="231"/>
        <v>#N/A</v>
      </c>
      <c r="T245" s="199">
        <f t="shared" si="231"/>
        <v>4</v>
      </c>
      <c r="U245" s="199" t="e">
        <f t="shared" si="231"/>
        <v>#N/A</v>
      </c>
      <c r="V245" s="199" t="e">
        <f t="shared" si="231"/>
        <v>#N/A</v>
      </c>
      <c r="W245" s="199" t="e">
        <f t="shared" si="232"/>
        <v>#N/A</v>
      </c>
      <c r="X245" s="199" t="e">
        <f t="shared" si="232"/>
        <v>#N/A</v>
      </c>
      <c r="Y245" s="199" t="e">
        <f t="shared" si="232"/>
        <v>#N/A</v>
      </c>
      <c r="Z245" s="199" t="e">
        <f t="shared" si="232"/>
        <v>#N/A</v>
      </c>
      <c r="AA245" s="199" t="e">
        <f t="shared" si="232"/>
        <v>#N/A</v>
      </c>
      <c r="AB245" s="199" t="e">
        <f t="shared" si="232"/>
        <v>#N/A</v>
      </c>
      <c r="AC245" s="199" t="e">
        <f t="shared" si="232"/>
        <v>#N/A</v>
      </c>
      <c r="AD245" s="199">
        <f t="shared" si="232"/>
        <v>5</v>
      </c>
      <c r="AE245" s="199" t="e">
        <f t="shared" si="232"/>
        <v>#N/A</v>
      </c>
      <c r="AF245" s="199" t="e">
        <f t="shared" si="232"/>
        <v>#N/A</v>
      </c>
      <c r="AG245" s="199" t="e">
        <f t="shared" si="233"/>
        <v>#N/A</v>
      </c>
      <c r="AH245" s="199" t="e">
        <f t="shared" si="233"/>
        <v>#N/A</v>
      </c>
      <c r="AI245" s="199" t="e">
        <f t="shared" si="233"/>
        <v>#N/A</v>
      </c>
      <c r="AJ245" s="199" t="e">
        <f t="shared" si="233"/>
        <v>#N/A</v>
      </c>
      <c r="AK245" s="199" t="e">
        <f t="shared" si="233"/>
        <v>#N/A</v>
      </c>
      <c r="AL245" s="199" t="e">
        <f t="shared" si="233"/>
        <v>#N/A</v>
      </c>
      <c r="AM245" s="199" t="e">
        <f t="shared" si="233"/>
        <v>#N/A</v>
      </c>
      <c r="AN245" s="199">
        <f t="shared" si="233"/>
        <v>6</v>
      </c>
      <c r="AO245" s="199" t="e">
        <f t="shared" si="233"/>
        <v>#N/A</v>
      </c>
      <c r="AP245" s="199" t="e">
        <f t="shared" si="233"/>
        <v>#N/A</v>
      </c>
      <c r="AQ245" s="199" t="e">
        <f t="shared" si="234"/>
        <v>#N/A</v>
      </c>
      <c r="AR245" s="199" t="e">
        <f t="shared" si="234"/>
        <v>#N/A</v>
      </c>
      <c r="AS245" s="199" t="e">
        <f t="shared" si="235"/>
        <v>#N/A</v>
      </c>
      <c r="AT245" s="199" t="e">
        <f t="shared" si="235"/>
        <v>#N/A</v>
      </c>
      <c r="AU245" s="199" t="e">
        <f t="shared" si="235"/>
        <v>#N/A</v>
      </c>
      <c r="AV245" s="199" t="e">
        <f t="shared" si="235"/>
        <v>#N/A</v>
      </c>
      <c r="AW245" s="199" t="e">
        <f t="shared" si="235"/>
        <v>#N/A</v>
      </c>
      <c r="AX245" s="199">
        <f t="shared" si="235"/>
        <v>7</v>
      </c>
      <c r="AY245" s="199" t="e">
        <f t="shared" si="235"/>
        <v>#N/A</v>
      </c>
      <c r="AZ245" s="199" t="e">
        <f t="shared" si="235"/>
        <v>#N/A</v>
      </c>
      <c r="BA245" s="199" t="e">
        <f t="shared" si="235"/>
        <v>#N/A</v>
      </c>
      <c r="BB245" s="199" t="e">
        <f t="shared" si="235"/>
        <v>#N/A</v>
      </c>
      <c r="BC245" s="199" t="e">
        <f t="shared" si="235"/>
        <v>#N/A</v>
      </c>
      <c r="BD245" s="199" t="e">
        <f t="shared" si="235"/>
        <v>#N/A</v>
      </c>
      <c r="BE245" s="199" t="e">
        <f t="shared" si="235"/>
        <v>#N/A</v>
      </c>
      <c r="BF245" s="199" t="e">
        <f t="shared" si="235"/>
        <v>#N/A</v>
      </c>
    </row>
    <row r="246" spans="1:58">
      <c r="A246" s="199" t="s">
        <v>16</v>
      </c>
      <c r="C246" s="199">
        <f>C225</f>
        <v>-1</v>
      </c>
      <c r="D246" s="199">
        <f t="shared" si="236"/>
        <v>0</v>
      </c>
      <c r="E246" s="199">
        <f t="shared" si="236"/>
        <v>1</v>
      </c>
      <c r="F246" s="199">
        <v>2</v>
      </c>
      <c r="G246" s="199">
        <v>3</v>
      </c>
      <c r="H246" s="199">
        <v>4</v>
      </c>
      <c r="I246" s="199">
        <v>5</v>
      </c>
      <c r="J246" s="199">
        <v>6</v>
      </c>
      <c r="K246" s="199">
        <v>7</v>
      </c>
      <c r="L246" s="199">
        <f>MATCH(J$254,$D$245:$K$245,$C246)</f>
        <v>6</v>
      </c>
      <c r="M246" s="199">
        <f t="shared" ref="M246:AR246" si="237">MATCH(K$227,$D$224:$J$224,$C246)</f>
        <v>6</v>
      </c>
      <c r="N246" s="199">
        <f t="shared" si="237"/>
        <v>6</v>
      </c>
      <c r="O246" s="199">
        <f t="shared" si="237"/>
        <v>6</v>
      </c>
      <c r="P246" s="199">
        <f t="shared" si="237"/>
        <v>5</v>
      </c>
      <c r="Q246" s="199">
        <f t="shared" si="237"/>
        <v>5</v>
      </c>
      <c r="R246" s="199">
        <f t="shared" si="237"/>
        <v>4</v>
      </c>
      <c r="S246" s="199">
        <f t="shared" si="237"/>
        <v>4</v>
      </c>
      <c r="T246" s="199">
        <f t="shared" si="237"/>
        <v>4</v>
      </c>
      <c r="U246" s="199">
        <f t="shared" si="237"/>
        <v>3</v>
      </c>
      <c r="V246" s="199">
        <f t="shared" si="237"/>
        <v>3</v>
      </c>
      <c r="W246" s="199">
        <f t="shared" si="237"/>
        <v>3</v>
      </c>
      <c r="X246" s="199">
        <f t="shared" si="237"/>
        <v>3</v>
      </c>
      <c r="Y246" s="199">
        <f t="shared" si="237"/>
        <v>3</v>
      </c>
      <c r="Z246" s="199">
        <f t="shared" si="237"/>
        <v>3</v>
      </c>
      <c r="AA246" s="199">
        <f t="shared" si="237"/>
        <v>3</v>
      </c>
      <c r="AB246" s="199">
        <f t="shared" si="237"/>
        <v>3</v>
      </c>
      <c r="AC246" s="199">
        <f t="shared" si="237"/>
        <v>3</v>
      </c>
      <c r="AD246" s="199">
        <f t="shared" si="237"/>
        <v>3</v>
      </c>
      <c r="AE246" s="199">
        <f t="shared" si="237"/>
        <v>2</v>
      </c>
      <c r="AF246" s="199">
        <f t="shared" si="237"/>
        <v>2</v>
      </c>
      <c r="AG246" s="199">
        <f t="shared" si="237"/>
        <v>2</v>
      </c>
      <c r="AH246" s="199">
        <f t="shared" si="237"/>
        <v>2</v>
      </c>
      <c r="AI246" s="199">
        <f t="shared" si="237"/>
        <v>2</v>
      </c>
      <c r="AJ246" s="199">
        <f t="shared" si="237"/>
        <v>2</v>
      </c>
      <c r="AK246" s="199">
        <f t="shared" si="237"/>
        <v>2</v>
      </c>
      <c r="AL246" s="199">
        <f t="shared" si="237"/>
        <v>2</v>
      </c>
      <c r="AM246" s="199">
        <f t="shared" si="237"/>
        <v>2</v>
      </c>
      <c r="AN246" s="199">
        <f t="shared" si="237"/>
        <v>2</v>
      </c>
      <c r="AO246" s="199">
        <f t="shared" si="237"/>
        <v>1</v>
      </c>
      <c r="AP246" s="199">
        <f t="shared" si="237"/>
        <v>1</v>
      </c>
      <c r="AQ246" s="199">
        <f t="shared" si="237"/>
        <v>1</v>
      </c>
      <c r="AR246" s="199">
        <f t="shared" si="237"/>
        <v>1</v>
      </c>
      <c r="AS246" s="199">
        <f t="shared" ref="AS246:BF246" si="238">MATCH(AQ$254,$D$224:$J$224,$C246)</f>
        <v>1</v>
      </c>
      <c r="AT246" s="199">
        <f t="shared" si="238"/>
        <v>1</v>
      </c>
      <c r="AU246" s="199">
        <f t="shared" si="238"/>
        <v>1</v>
      </c>
      <c r="AV246" s="199">
        <f t="shared" si="238"/>
        <v>1</v>
      </c>
      <c r="AW246" s="199">
        <f t="shared" si="238"/>
        <v>1</v>
      </c>
      <c r="AX246" s="199">
        <f t="shared" si="238"/>
        <v>1</v>
      </c>
      <c r="AY246" s="199" t="e">
        <f t="shared" si="238"/>
        <v>#N/A</v>
      </c>
      <c r="AZ246" s="199" t="e">
        <f t="shared" si="238"/>
        <v>#N/A</v>
      </c>
      <c r="BA246" s="199" t="e">
        <f t="shared" si="238"/>
        <v>#N/A</v>
      </c>
      <c r="BB246" s="199" t="e">
        <f t="shared" si="238"/>
        <v>#N/A</v>
      </c>
      <c r="BC246" s="199" t="e">
        <f t="shared" si="238"/>
        <v>#N/A</v>
      </c>
      <c r="BD246" s="199" t="e">
        <f t="shared" si="238"/>
        <v>#N/A</v>
      </c>
      <c r="BE246" s="199" t="e">
        <f t="shared" si="238"/>
        <v>#N/A</v>
      </c>
      <c r="BF246" s="199" t="e">
        <f t="shared" si="238"/>
        <v>#N/A</v>
      </c>
    </row>
    <row r="247" spans="1:58">
      <c r="A247" s="199" t="s">
        <v>16</v>
      </c>
      <c r="L247" s="203">
        <f>IF(ISNA(L244),-1,IF(ISNA(L246),99,IF(ISNA(L245),L244,0)))</f>
        <v>0</v>
      </c>
      <c r="M247" s="203">
        <f>IF(ISNA(M244),-1,IF(ISNA(M246),99,IF(ISNA(M245),M244,0)))</f>
        <v>1</v>
      </c>
      <c r="N247" s="203">
        <f t="shared" ref="N247:BF247" si="239">IF(ISNA(N244),-1,IF(ISNA(N246),99,IF(ISNA(N245),N244,0)))</f>
        <v>1</v>
      </c>
      <c r="O247" s="203">
        <f t="shared" si="239"/>
        <v>0</v>
      </c>
      <c r="P247" s="203">
        <f t="shared" si="239"/>
        <v>2</v>
      </c>
      <c r="Q247" s="203">
        <f t="shared" si="239"/>
        <v>0</v>
      </c>
      <c r="R247" s="203">
        <f t="shared" si="239"/>
        <v>3</v>
      </c>
      <c r="S247" s="203">
        <f t="shared" si="239"/>
        <v>3</v>
      </c>
      <c r="T247" s="203">
        <f t="shared" si="239"/>
        <v>0</v>
      </c>
      <c r="U247" s="203">
        <f t="shared" si="239"/>
        <v>4</v>
      </c>
      <c r="V247" s="203">
        <f t="shared" si="239"/>
        <v>4</v>
      </c>
      <c r="W247" s="203">
        <f t="shared" si="239"/>
        <v>4</v>
      </c>
      <c r="X247" s="203">
        <f t="shared" si="239"/>
        <v>4</v>
      </c>
      <c r="Y247" s="203">
        <f t="shared" si="239"/>
        <v>4</v>
      </c>
      <c r="Z247" s="203">
        <f t="shared" si="239"/>
        <v>4</v>
      </c>
      <c r="AA247" s="203">
        <f t="shared" si="239"/>
        <v>4</v>
      </c>
      <c r="AB247" s="203">
        <f t="shared" si="239"/>
        <v>4</v>
      </c>
      <c r="AC247" s="203">
        <f t="shared" si="239"/>
        <v>4</v>
      </c>
      <c r="AD247" s="203">
        <f t="shared" si="239"/>
        <v>0</v>
      </c>
      <c r="AE247" s="203">
        <f t="shared" si="239"/>
        <v>5</v>
      </c>
      <c r="AF247" s="203">
        <f t="shared" si="239"/>
        <v>5</v>
      </c>
      <c r="AG247" s="203">
        <f t="shared" si="239"/>
        <v>5</v>
      </c>
      <c r="AH247" s="203">
        <f t="shared" si="239"/>
        <v>5</v>
      </c>
      <c r="AI247" s="203">
        <f t="shared" si="239"/>
        <v>5</v>
      </c>
      <c r="AJ247" s="203">
        <f t="shared" si="239"/>
        <v>5</v>
      </c>
      <c r="AK247" s="203">
        <f t="shared" si="239"/>
        <v>5</v>
      </c>
      <c r="AL247" s="203">
        <f t="shared" si="239"/>
        <v>5</v>
      </c>
      <c r="AM247" s="203">
        <f t="shared" si="239"/>
        <v>5</v>
      </c>
      <c r="AN247" s="203">
        <f t="shared" si="239"/>
        <v>0</v>
      </c>
      <c r="AO247" s="203">
        <f t="shared" si="239"/>
        <v>6</v>
      </c>
      <c r="AP247" s="203">
        <f t="shared" si="239"/>
        <v>6</v>
      </c>
      <c r="AQ247" s="203">
        <f t="shared" si="239"/>
        <v>6</v>
      </c>
      <c r="AR247" s="203">
        <f t="shared" si="239"/>
        <v>6</v>
      </c>
      <c r="AS247" s="203">
        <f t="shared" si="239"/>
        <v>6</v>
      </c>
      <c r="AT247" s="203">
        <f t="shared" si="239"/>
        <v>6</v>
      </c>
      <c r="AU247" s="203">
        <f t="shared" si="239"/>
        <v>6</v>
      </c>
      <c r="AV247" s="203">
        <f t="shared" si="239"/>
        <v>6</v>
      </c>
      <c r="AW247" s="203">
        <f t="shared" si="239"/>
        <v>6</v>
      </c>
      <c r="AX247" s="203">
        <f t="shared" si="239"/>
        <v>0</v>
      </c>
      <c r="AY247" s="203">
        <f t="shared" si="239"/>
        <v>99</v>
      </c>
      <c r="AZ247" s="203">
        <f t="shared" si="239"/>
        <v>99</v>
      </c>
      <c r="BA247" s="203">
        <f t="shared" si="239"/>
        <v>99</v>
      </c>
      <c r="BB247" s="203">
        <f t="shared" si="239"/>
        <v>99</v>
      </c>
      <c r="BC247" s="203">
        <f t="shared" si="239"/>
        <v>99</v>
      </c>
      <c r="BD247" s="203">
        <f t="shared" si="239"/>
        <v>99</v>
      </c>
      <c r="BE247" s="203">
        <f t="shared" si="239"/>
        <v>99</v>
      </c>
      <c r="BF247" s="203">
        <f t="shared" si="239"/>
        <v>99</v>
      </c>
    </row>
    <row r="248" spans="1:58">
      <c r="A248" s="199" t="s">
        <v>16</v>
      </c>
      <c r="B248" s="199" t="s">
        <v>275</v>
      </c>
      <c r="C248" s="200" t="s">
        <v>440</v>
      </c>
      <c r="D248" s="118">
        <f t="shared" ref="D248:E250" si="240">E107/E$111</f>
        <v>1.1233857801460061E-2</v>
      </c>
      <c r="E248" s="118">
        <f t="shared" si="240"/>
        <v>1.0352635636957581E-2</v>
      </c>
      <c r="F248" s="118"/>
      <c r="G248" s="118">
        <f t="shared" ref="G248:J250" si="241">H107/H$111</f>
        <v>1.0423678416866892E-2</v>
      </c>
      <c r="H248" s="118">
        <f t="shared" si="241"/>
        <v>1.471012594887177E-2</v>
      </c>
      <c r="I248" s="118">
        <f t="shared" si="241"/>
        <v>6.3742359476360042E-3</v>
      </c>
      <c r="J248" s="118">
        <f t="shared" si="241"/>
        <v>3.7292923546134193E-3</v>
      </c>
      <c r="K248" s="118">
        <f>K107/K$111</f>
        <v>3.7292923546134193E-3</v>
      </c>
      <c r="L248" s="199"/>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199" t="s">
        <v>16</v>
      </c>
      <c r="B249" s="199" t="s">
        <v>276</v>
      </c>
      <c r="C249" s="200" t="s">
        <v>440</v>
      </c>
      <c r="D249" s="118">
        <f t="shared" si="240"/>
        <v>0.37394387543287061</v>
      </c>
      <c r="E249" s="118">
        <f t="shared" si="240"/>
        <v>0.36168194718634572</v>
      </c>
      <c r="F249" s="118"/>
      <c r="G249" s="118">
        <f t="shared" si="241"/>
        <v>0.394995509725306</v>
      </c>
      <c r="H249" s="118">
        <f t="shared" si="241"/>
        <v>0.32616811422895059</v>
      </c>
      <c r="I249" s="118">
        <f t="shared" si="241"/>
        <v>0.2799053796181048</v>
      </c>
      <c r="J249" s="118">
        <f t="shared" si="241"/>
        <v>0.23544916289108386</v>
      </c>
      <c r="K249" s="118">
        <f>K108/K$111</f>
        <v>0.23544916289108386</v>
      </c>
      <c r="L249" s="199"/>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199" t="s">
        <v>16</v>
      </c>
      <c r="B250" s="199" t="s">
        <v>277</v>
      </c>
      <c r="C250" s="200" t="s">
        <v>440</v>
      </c>
      <c r="D250" s="118">
        <f t="shared" si="240"/>
        <v>0.5500419800868277</v>
      </c>
      <c r="E250" s="118">
        <f t="shared" si="240"/>
        <v>0.56692511199898654</v>
      </c>
      <c r="F250" s="118"/>
      <c r="G250" s="118">
        <f t="shared" si="241"/>
        <v>0.53813622409698303</v>
      </c>
      <c r="H250" s="118">
        <f t="shared" si="241"/>
        <v>0.60777270963347685</v>
      </c>
      <c r="I250" s="118">
        <f t="shared" si="241"/>
        <v>0.66309142254495801</v>
      </c>
      <c r="J250" s="118">
        <f t="shared" si="241"/>
        <v>0.70819114213356649</v>
      </c>
      <c r="K250" s="118">
        <f>K109/K$111</f>
        <v>0.70819114213356649</v>
      </c>
      <c r="L250" s="199"/>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199" t="s">
        <v>16</v>
      </c>
      <c r="B251" s="199" t="str">
        <f>B248</f>
        <v>hhd-le</v>
      </c>
      <c r="C251" s="200" t="s">
        <v>439</v>
      </c>
      <c r="D251" s="118">
        <f t="shared" ref="D251:E251" si="242">SUM(E115:E117)/SUM(E$127:E$129)</f>
        <v>0.6300090759740824</v>
      </c>
      <c r="E251" s="118">
        <f t="shared" si="242"/>
        <v>0.61353659006514438</v>
      </c>
      <c r="F251" s="118"/>
      <c r="G251" s="118">
        <f>SUM(H115:H117)/SUM(H$127:H$129)</f>
        <v>0.60022026896967495</v>
      </c>
      <c r="H251" s="118">
        <f>SUM(I115:I117)/SUM(I$127:I$129)</f>
        <v>0.45471920026866852</v>
      </c>
      <c r="I251" s="118">
        <f>SUM(J115:J117)/SUM(J$127:J$129)</f>
        <v>0.30608926920017426</v>
      </c>
      <c r="J251" s="118">
        <f>SUM(K115:K117)/SUM(K$127:K$129)</f>
        <v>0.20544974359436419</v>
      </c>
      <c r="K251" s="118">
        <f>SUM(K115:K117)/SUM(K$127:K$129)</f>
        <v>0.20544974359436419</v>
      </c>
      <c r="L251" s="199"/>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199" t="s">
        <v>16</v>
      </c>
      <c r="B252" s="199" t="str">
        <f>B249</f>
        <v>hhd-me</v>
      </c>
      <c r="C252" s="200" t="s">
        <v>439</v>
      </c>
      <c r="D252" s="118">
        <f t="shared" ref="D252:E252" si="243">SUM(E119:E121)/SUM(E$127:E$129)</f>
        <v>0.27326515714341876</v>
      </c>
      <c r="E252" s="118">
        <f t="shared" si="243"/>
        <v>0.28061607680308653</v>
      </c>
      <c r="F252" s="118"/>
      <c r="G252" s="118">
        <f>SUM(H119:H121)/SUM(H$127:H$129)</f>
        <v>0.2978182410167724</v>
      </c>
      <c r="H252" s="118">
        <f>SUM(I119:I121)/SUM(I$127:I$129)</f>
        <v>0.37531364295276898</v>
      </c>
      <c r="I252" s="118">
        <f>SUM(J119:J121)/SUM(J$127:J$129)</f>
        <v>0.44338266180254715</v>
      </c>
      <c r="J252" s="118">
        <f>SUM(K119:K121)/SUM(K$127:K$129)</f>
        <v>0.46683638477856421</v>
      </c>
      <c r="K252" s="118">
        <f>SUM(K119:K121)/SUM(K$127:K$129)</f>
        <v>0.46683638477856421</v>
      </c>
      <c r="L252" s="199"/>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199" t="s">
        <v>16</v>
      </c>
      <c r="B253" s="199" t="str">
        <f>B250</f>
        <v>hhd-he</v>
      </c>
      <c r="C253" s="200" t="s">
        <v>439</v>
      </c>
      <c r="D253" s="118">
        <f t="shared" ref="D253:E253" si="244">SUM(E123:E125)/SUM(E$127:E$129)</f>
        <v>9.6725766882498745E-2</v>
      </c>
      <c r="E253" s="118">
        <f t="shared" si="244"/>
        <v>0.10584733313176901</v>
      </c>
      <c r="F253" s="118"/>
      <c r="G253" s="118">
        <f>SUM(H123:H125)/SUM(H$127:H$129)</f>
        <v>0.10196149001355266</v>
      </c>
      <c r="H253" s="118">
        <f>SUM(I123:I125)/SUM(I$127:I$129)</f>
        <v>0.16996715677856261</v>
      </c>
      <c r="I253" s="118">
        <f>SUM(J123:J125)/SUM(J$127:J$129)</f>
        <v>0.25052806899727836</v>
      </c>
      <c r="J253" s="118">
        <f>SUM(K123:K125)/SUM(K$127:K$129)</f>
        <v>0.32771387162707166</v>
      </c>
      <c r="K253" s="118">
        <f>SUM(K123:K125)/SUM(K$127:K$129)</f>
        <v>0.32771387162707166</v>
      </c>
      <c r="L253" s="199"/>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199" t="s">
        <v>16</v>
      </c>
      <c r="G254" s="5" t="s">
        <v>438</v>
      </c>
      <c r="J254" s="199">
        <f t="shared" ref="J254:AR254" si="245">J227</f>
        <v>2012</v>
      </c>
      <c r="K254" s="199">
        <f t="shared" si="245"/>
        <v>2013</v>
      </c>
      <c r="L254" s="199">
        <f t="shared" si="245"/>
        <v>2014</v>
      </c>
      <c r="M254" s="199">
        <f t="shared" si="245"/>
        <v>2015</v>
      </c>
      <c r="N254" s="199">
        <f t="shared" si="245"/>
        <v>2016</v>
      </c>
      <c r="O254" s="199">
        <f t="shared" si="245"/>
        <v>2017</v>
      </c>
      <c r="P254" s="199">
        <f t="shared" si="245"/>
        <v>2018</v>
      </c>
      <c r="Q254" s="199">
        <f t="shared" si="245"/>
        <v>2019</v>
      </c>
      <c r="R254" s="199">
        <f t="shared" si="245"/>
        <v>2020</v>
      </c>
      <c r="S254" s="199">
        <f t="shared" si="245"/>
        <v>2021</v>
      </c>
      <c r="T254" s="199">
        <f t="shared" si="245"/>
        <v>2022</v>
      </c>
      <c r="U254" s="199">
        <f t="shared" si="245"/>
        <v>2023</v>
      </c>
      <c r="V254" s="199">
        <f t="shared" si="245"/>
        <v>2024</v>
      </c>
      <c r="W254" s="199">
        <f t="shared" si="245"/>
        <v>2025</v>
      </c>
      <c r="X254" s="199">
        <f t="shared" si="245"/>
        <v>2026</v>
      </c>
      <c r="Y254" s="199">
        <f t="shared" si="245"/>
        <v>2027</v>
      </c>
      <c r="Z254" s="199">
        <f t="shared" si="245"/>
        <v>2028</v>
      </c>
      <c r="AA254" s="199">
        <f t="shared" si="245"/>
        <v>2029</v>
      </c>
      <c r="AB254" s="199">
        <f t="shared" si="245"/>
        <v>2030</v>
      </c>
      <c r="AC254" s="199">
        <f t="shared" si="245"/>
        <v>2031</v>
      </c>
      <c r="AD254" s="199">
        <f t="shared" si="245"/>
        <v>2032</v>
      </c>
      <c r="AE254" s="199">
        <f t="shared" si="245"/>
        <v>2033</v>
      </c>
      <c r="AF254" s="199">
        <f t="shared" si="245"/>
        <v>2034</v>
      </c>
      <c r="AG254" s="199">
        <f t="shared" si="245"/>
        <v>2035</v>
      </c>
      <c r="AH254" s="199">
        <f t="shared" si="245"/>
        <v>2036</v>
      </c>
      <c r="AI254" s="199">
        <f t="shared" si="245"/>
        <v>2037</v>
      </c>
      <c r="AJ254" s="199">
        <f t="shared" si="245"/>
        <v>2038</v>
      </c>
      <c r="AK254" s="199">
        <f t="shared" si="245"/>
        <v>2039</v>
      </c>
      <c r="AL254" s="199">
        <f t="shared" si="245"/>
        <v>2040</v>
      </c>
      <c r="AM254" s="199">
        <f t="shared" si="245"/>
        <v>2041</v>
      </c>
      <c r="AN254" s="199">
        <f t="shared" si="245"/>
        <v>2042</v>
      </c>
      <c r="AO254" s="199">
        <f t="shared" si="245"/>
        <v>2043</v>
      </c>
      <c r="AP254" s="199">
        <f t="shared" si="245"/>
        <v>2044</v>
      </c>
      <c r="AQ254" s="199">
        <f t="shared" si="245"/>
        <v>2045</v>
      </c>
      <c r="AR254" s="199">
        <f t="shared" si="245"/>
        <v>2046</v>
      </c>
      <c r="AS254" s="199">
        <f>AR254+1</f>
        <v>2047</v>
      </c>
      <c r="AT254" s="199">
        <f t="shared" ref="AT254:BB254" si="246">AS254+1</f>
        <v>2048</v>
      </c>
      <c r="AU254" s="199">
        <f t="shared" si="246"/>
        <v>2049</v>
      </c>
      <c r="AV254" s="199">
        <f t="shared" si="246"/>
        <v>2050</v>
      </c>
      <c r="AW254" s="199">
        <f t="shared" si="246"/>
        <v>2051</v>
      </c>
      <c r="AX254" s="199">
        <f t="shared" si="246"/>
        <v>2052</v>
      </c>
      <c r="AY254" s="199">
        <f t="shared" si="246"/>
        <v>2053</v>
      </c>
      <c r="AZ254" s="199">
        <f t="shared" si="246"/>
        <v>2054</v>
      </c>
      <c r="BA254" s="199">
        <f t="shared" si="246"/>
        <v>2055</v>
      </c>
      <c r="BB254" s="199">
        <f t="shared" si="246"/>
        <v>2056</v>
      </c>
      <c r="BC254" s="199">
        <v>2060</v>
      </c>
      <c r="BD254" s="199">
        <v>2070</v>
      </c>
    </row>
    <row r="255" spans="1:58">
      <c r="A255" s="199" t="s">
        <v>16</v>
      </c>
      <c r="E255" s="199" t="s">
        <v>441</v>
      </c>
      <c r="F255" s="199" t="s">
        <v>441</v>
      </c>
      <c r="G255" s="199" t="s">
        <v>435</v>
      </c>
      <c r="H255" s="200" t="s">
        <v>440</v>
      </c>
      <c r="I255" s="199" t="s">
        <v>275</v>
      </c>
      <c r="J255" s="200">
        <f t="shared" ref="J255:J260" si="247">D248</f>
        <v>1.1233857801460061E-2</v>
      </c>
      <c r="K255" s="200">
        <f t="shared" ref="K255:T260" si="248">IF(M$247=-1,L255,IF(M$247=99,J255,IF(M$247=0,INDEX($D248:$K248,0,M$245),(INDEX($D248:$K248,0,M$247+1)-INDEX($D248:$K248,0,M$247))/(INDEX($D$244:$K$244,0,M$247+1)-INDEX($D$244:$K$244,0,M$247))+J255)))</f>
        <v>1.0940117079959235E-2</v>
      </c>
      <c r="L255" s="200">
        <f t="shared" si="248"/>
        <v>1.0646376358458408E-2</v>
      </c>
      <c r="M255" s="200">
        <f t="shared" si="248"/>
        <v>1.0352635636957581E-2</v>
      </c>
      <c r="N255" s="200">
        <f t="shared" si="248"/>
        <v>5.1763178184787905E-3</v>
      </c>
      <c r="O255" s="200">
        <f t="shared" si="248"/>
        <v>0</v>
      </c>
      <c r="P255" s="200">
        <f t="shared" si="248"/>
        <v>3.4745594722889639E-3</v>
      </c>
      <c r="Q255" s="200">
        <f t="shared" si="248"/>
        <v>6.9491189445779278E-3</v>
      </c>
      <c r="R255" s="200">
        <f t="shared" si="248"/>
        <v>1.0423678416866892E-2</v>
      </c>
      <c r="S255" s="200">
        <f t="shared" si="248"/>
        <v>1.0852323170067381E-2</v>
      </c>
      <c r="T255" s="200">
        <f t="shared" si="248"/>
        <v>1.1280967923267868E-2</v>
      </c>
      <c r="U255" s="200">
        <f t="shared" ref="U255:AD260" si="249">IF(W$247=-1,V255,IF(W$247=99,T255,IF(W$247=0,INDEX($D248:$K248,0,W$245),(INDEX($D248:$K248,0,W$247+1)-INDEX($D248:$K248,0,W$247))/(INDEX($D$244:$K$244,0,W$247+1)-INDEX($D$244:$K$244,0,W$247))+T255)))</f>
        <v>1.1709612676468355E-2</v>
      </c>
      <c r="V255" s="200">
        <f t="shared" si="249"/>
        <v>1.2138257429668842E-2</v>
      </c>
      <c r="W255" s="200">
        <f t="shared" si="249"/>
        <v>1.2566902182869329E-2</v>
      </c>
      <c r="X255" s="200">
        <f t="shared" si="249"/>
        <v>1.2995546936069816E-2</v>
      </c>
      <c r="Y255" s="200">
        <f t="shared" si="249"/>
        <v>1.3424191689270303E-2</v>
      </c>
      <c r="Z255" s="200">
        <f t="shared" si="249"/>
        <v>1.3852836442470789E-2</v>
      </c>
      <c r="AA255" s="200">
        <f t="shared" si="249"/>
        <v>1.4281481195671276E-2</v>
      </c>
      <c r="AB255" s="200">
        <f t="shared" si="249"/>
        <v>1.471012594887177E-2</v>
      </c>
      <c r="AC255" s="200">
        <f t="shared" si="249"/>
        <v>1.3876536948748193E-2</v>
      </c>
      <c r="AD255" s="200">
        <f t="shared" si="249"/>
        <v>1.3042947948624616E-2</v>
      </c>
      <c r="AE255" s="200">
        <f t="shared" ref="AE255:AN260" si="250">IF(AG$247=-1,AF255,IF(AG$247=99,AD255,IF(AG$247=0,INDEX($D248:$K248,0,AG$245),(INDEX($D248:$K248,0,AG$247+1)-INDEX($D248:$K248,0,AG$247))/(INDEX($D$244:$K$244,0,AG$247+1)-INDEX($D$244:$K$244,0,AG$247))+AD255)))</f>
        <v>1.2209358948501038E-2</v>
      </c>
      <c r="AF255" s="200">
        <f t="shared" si="250"/>
        <v>1.1375769948377461E-2</v>
      </c>
      <c r="AG255" s="200">
        <f t="shared" si="250"/>
        <v>1.0542180948253883E-2</v>
      </c>
      <c r="AH255" s="200">
        <f t="shared" si="250"/>
        <v>9.708591948130306E-3</v>
      </c>
      <c r="AI255" s="200">
        <f t="shared" si="250"/>
        <v>8.8750029480067286E-3</v>
      </c>
      <c r="AJ255" s="200">
        <f t="shared" si="250"/>
        <v>8.0414139478831512E-3</v>
      </c>
      <c r="AK255" s="200">
        <f t="shared" si="250"/>
        <v>7.2078249477595746E-3</v>
      </c>
      <c r="AL255" s="200">
        <f t="shared" si="250"/>
        <v>6.3742359476360042E-3</v>
      </c>
      <c r="AM255" s="200">
        <f t="shared" si="250"/>
        <v>6.1097415883337456E-3</v>
      </c>
      <c r="AN255" s="200">
        <f t="shared" si="250"/>
        <v>5.8452472290314869E-3</v>
      </c>
      <c r="AO255" s="200">
        <f t="shared" ref="AO255:AQ260" si="251">IF(AQ$247=-1,AP255,IF(AQ$247=99,AN255,IF(AQ$247=0,INDEX($D248:$K248,0,AQ$245),(INDEX($D248:$K248,0,AQ$247+1)-INDEX($D248:$K248,0,AQ$247))/(INDEX($D$244:$K$244,0,AQ$247+1)-INDEX($D$244:$K$244,0,AQ$247))+AN255)))</f>
        <v>5.5807528697292283E-3</v>
      </c>
      <c r="AP255" s="200">
        <f t="shared" si="251"/>
        <v>5.3162585104269697E-3</v>
      </c>
      <c r="AQ255" s="200">
        <f t="shared" si="251"/>
        <v>5.0517641511247111E-3</v>
      </c>
      <c r="AR255" s="200">
        <f t="shared" ref="AR255:AW260" si="252">IF(AT$247=-1,AW255,IF(AT$247=99,AQ255,IF(AT$247=0,INDEX($D248:$K248,0,AT$245),(INDEX($D248:$K248,0,AT$247+1)-INDEX($D248:$K248,0,AT$247))/(INDEX($D$244:$K$244,0,AT$247+1)-INDEX($D$244:$K$244,0,AT$247))+AQ255)))</f>
        <v>4.7872697918224525E-3</v>
      </c>
      <c r="AS255" s="200">
        <f t="shared" si="252"/>
        <v>4.5227754325201939E-3</v>
      </c>
      <c r="AT255" s="200">
        <f t="shared" si="252"/>
        <v>4.2582810732179352E-3</v>
      </c>
      <c r="AU255" s="200">
        <f t="shared" si="252"/>
        <v>3.9937867139156766E-3</v>
      </c>
      <c r="AV255" s="200">
        <f t="shared" si="252"/>
        <v>3.7292923546134193E-3</v>
      </c>
      <c r="AW255" s="200">
        <f t="shared" si="252"/>
        <v>3.7292923546134193E-3</v>
      </c>
      <c r="AX255" s="200">
        <f t="shared" ref="AX255:BD260" si="253">IF(AV$247=-1,AZ255,IF(AV$247=99,AW255,IF(AV$247=0,INDEX($D248:$K248,0,AV$245),(INDEX($D248:$K248,0,AV$247+1)-INDEX($D248:$K248,0,AV$247))/(INDEX($D$244:$K$244,0,AV$247+1)-INDEX($D$244:$K$244,0,AV$247))+AW255)))</f>
        <v>3.4647979953111607E-3</v>
      </c>
      <c r="AY255" s="200">
        <f t="shared" si="253"/>
        <v>3.2003036360089021E-3</v>
      </c>
      <c r="AZ255" s="200">
        <f t="shared" si="253"/>
        <v>3.7292923546134193E-3</v>
      </c>
      <c r="BA255" s="200">
        <f t="shared" si="253"/>
        <v>3.7292923546134193E-3</v>
      </c>
      <c r="BB255" s="200">
        <f t="shared" si="253"/>
        <v>3.7292923546134193E-3</v>
      </c>
      <c r="BC255" s="200">
        <f t="shared" si="253"/>
        <v>3.7292923546134193E-3</v>
      </c>
      <c r="BD255" s="200">
        <f t="shared" si="253"/>
        <v>3.7292923546134193E-3</v>
      </c>
    </row>
    <row r="256" spans="1:58">
      <c r="A256" s="199" t="s">
        <v>16</v>
      </c>
      <c r="E256" s="199" t="s">
        <v>441</v>
      </c>
      <c r="F256" s="199" t="s">
        <v>441</v>
      </c>
      <c r="G256" s="199" t="s">
        <v>436</v>
      </c>
      <c r="H256" s="200" t="s">
        <v>440</v>
      </c>
      <c r="I256" s="199" t="s">
        <v>276</v>
      </c>
      <c r="J256" s="200">
        <f t="shared" si="247"/>
        <v>0.37394387543287061</v>
      </c>
      <c r="K256" s="200">
        <f t="shared" si="248"/>
        <v>0.36985656601736233</v>
      </c>
      <c r="L256" s="200">
        <f t="shared" si="248"/>
        <v>0.36576925660185405</v>
      </c>
      <c r="M256" s="200">
        <f t="shared" si="248"/>
        <v>0.36168194718634572</v>
      </c>
      <c r="N256" s="200">
        <f t="shared" si="248"/>
        <v>0.18084097359317286</v>
      </c>
      <c r="O256" s="200">
        <f t="shared" si="248"/>
        <v>0</v>
      </c>
      <c r="P256" s="200">
        <f t="shared" si="248"/>
        <v>0.13166516990843533</v>
      </c>
      <c r="Q256" s="200">
        <f t="shared" si="248"/>
        <v>0.26333033981687065</v>
      </c>
      <c r="R256" s="200">
        <f t="shared" si="248"/>
        <v>0.394995509725306</v>
      </c>
      <c r="S256" s="200">
        <f t="shared" si="248"/>
        <v>0.38811277017567047</v>
      </c>
      <c r="T256" s="200">
        <f t="shared" si="248"/>
        <v>0.38123003062603494</v>
      </c>
      <c r="U256" s="200">
        <f t="shared" si="249"/>
        <v>0.37434729107639941</v>
      </c>
      <c r="V256" s="200">
        <f t="shared" si="249"/>
        <v>0.36746455152676388</v>
      </c>
      <c r="W256" s="200">
        <f t="shared" si="249"/>
        <v>0.36058181197712835</v>
      </c>
      <c r="X256" s="200">
        <f t="shared" si="249"/>
        <v>0.35369907242749282</v>
      </c>
      <c r="Y256" s="200">
        <f t="shared" si="249"/>
        <v>0.34681633287785729</v>
      </c>
      <c r="Z256" s="200">
        <f t="shared" si="249"/>
        <v>0.33993359332822176</v>
      </c>
      <c r="AA256" s="200">
        <f t="shared" si="249"/>
        <v>0.33305085377858623</v>
      </c>
      <c r="AB256" s="200">
        <f t="shared" si="249"/>
        <v>0.32616811422895059</v>
      </c>
      <c r="AC256" s="200">
        <f t="shared" si="249"/>
        <v>0.32154184076786602</v>
      </c>
      <c r="AD256" s="200">
        <f t="shared" si="249"/>
        <v>0.31691556730678144</v>
      </c>
      <c r="AE256" s="200">
        <f t="shared" si="250"/>
        <v>0.31228929384569687</v>
      </c>
      <c r="AF256" s="200">
        <f t="shared" si="250"/>
        <v>0.3076630203846123</v>
      </c>
      <c r="AG256" s="200">
        <f t="shared" si="250"/>
        <v>0.30303674692352772</v>
      </c>
      <c r="AH256" s="200">
        <f t="shared" si="250"/>
        <v>0.29841047346244315</v>
      </c>
      <c r="AI256" s="200">
        <f t="shared" si="250"/>
        <v>0.29378420000135858</v>
      </c>
      <c r="AJ256" s="200">
        <f t="shared" si="250"/>
        <v>0.289157926540274</v>
      </c>
      <c r="AK256" s="200">
        <f t="shared" si="250"/>
        <v>0.28453165307918943</v>
      </c>
      <c r="AL256" s="200">
        <f t="shared" si="250"/>
        <v>0.2799053796181048</v>
      </c>
      <c r="AM256" s="200">
        <f t="shared" si="250"/>
        <v>0.27545975794540273</v>
      </c>
      <c r="AN256" s="200">
        <f t="shared" si="250"/>
        <v>0.27101413627270066</v>
      </c>
      <c r="AO256" s="200">
        <f t="shared" si="251"/>
        <v>0.26656851459999859</v>
      </c>
      <c r="AP256" s="200">
        <f t="shared" si="251"/>
        <v>0.26212289292729651</v>
      </c>
      <c r="AQ256" s="200">
        <f t="shared" si="251"/>
        <v>0.25767727125459444</v>
      </c>
      <c r="AR256" s="200">
        <f t="shared" si="252"/>
        <v>0.25323164958189237</v>
      </c>
      <c r="AS256" s="200">
        <f t="shared" si="252"/>
        <v>0.24878602790919027</v>
      </c>
      <c r="AT256" s="200">
        <f t="shared" si="252"/>
        <v>0.24434040623648817</v>
      </c>
      <c r="AU256" s="200">
        <f t="shared" si="252"/>
        <v>0.23989478456378607</v>
      </c>
      <c r="AV256" s="200">
        <f t="shared" si="252"/>
        <v>0.23544916289108386</v>
      </c>
      <c r="AW256" s="200">
        <f t="shared" si="252"/>
        <v>0.23544916289108386</v>
      </c>
      <c r="AX256" s="200">
        <f t="shared" si="253"/>
        <v>0.23100354121838176</v>
      </c>
      <c r="AY256" s="200">
        <f t="shared" si="253"/>
        <v>0.22655791954567966</v>
      </c>
      <c r="AZ256" s="200">
        <f t="shared" si="253"/>
        <v>0.23544916289108386</v>
      </c>
      <c r="BA256" s="200">
        <f t="shared" si="253"/>
        <v>0.23544916289108386</v>
      </c>
      <c r="BB256" s="200">
        <f t="shared" si="253"/>
        <v>0.23544916289108386</v>
      </c>
      <c r="BC256" s="200">
        <f t="shared" si="253"/>
        <v>0.23544916289108386</v>
      </c>
      <c r="BD256" s="200">
        <f t="shared" si="253"/>
        <v>0.23544916289108386</v>
      </c>
    </row>
    <row r="257" spans="1:56">
      <c r="A257" s="199" t="s">
        <v>16</v>
      </c>
      <c r="E257" s="199" t="s">
        <v>441</v>
      </c>
      <c r="F257" s="199" t="s">
        <v>441</v>
      </c>
      <c r="G257" s="199" t="s">
        <v>437</v>
      </c>
      <c r="H257" s="200" t="s">
        <v>440</v>
      </c>
      <c r="I257" s="199" t="s">
        <v>277</v>
      </c>
      <c r="J257" s="200">
        <f t="shared" si="247"/>
        <v>0.5500419800868277</v>
      </c>
      <c r="K257" s="200">
        <f t="shared" si="248"/>
        <v>0.55566969072421402</v>
      </c>
      <c r="L257" s="200">
        <f t="shared" si="248"/>
        <v>0.56129740136160033</v>
      </c>
      <c r="M257" s="200">
        <f t="shared" si="248"/>
        <v>0.56692511199898654</v>
      </c>
      <c r="N257" s="200">
        <f t="shared" si="248"/>
        <v>0.28346255599949327</v>
      </c>
      <c r="O257" s="200">
        <f t="shared" si="248"/>
        <v>0</v>
      </c>
      <c r="P257" s="200">
        <f t="shared" si="248"/>
        <v>0.17937874136566101</v>
      </c>
      <c r="Q257" s="200">
        <f t="shared" si="248"/>
        <v>0.35875748273132202</v>
      </c>
      <c r="R257" s="200">
        <f t="shared" si="248"/>
        <v>0.53813622409698303</v>
      </c>
      <c r="S257" s="200">
        <f t="shared" si="248"/>
        <v>0.54509987265063242</v>
      </c>
      <c r="T257" s="200">
        <f t="shared" si="248"/>
        <v>0.55206352120428182</v>
      </c>
      <c r="U257" s="200">
        <f t="shared" si="249"/>
        <v>0.55902716975793121</v>
      </c>
      <c r="V257" s="200">
        <f t="shared" si="249"/>
        <v>0.5659908183115806</v>
      </c>
      <c r="W257" s="200">
        <f t="shared" si="249"/>
        <v>0.57295446686522999</v>
      </c>
      <c r="X257" s="200">
        <f t="shared" si="249"/>
        <v>0.57991811541887939</v>
      </c>
      <c r="Y257" s="200">
        <f t="shared" si="249"/>
        <v>0.58688176397252878</v>
      </c>
      <c r="Z257" s="200">
        <f t="shared" si="249"/>
        <v>0.59384541252617817</v>
      </c>
      <c r="AA257" s="200">
        <f t="shared" si="249"/>
        <v>0.60080906107982757</v>
      </c>
      <c r="AB257" s="200">
        <f t="shared" si="249"/>
        <v>0.60777270963347685</v>
      </c>
      <c r="AC257" s="200">
        <f t="shared" si="249"/>
        <v>0.61330458092462492</v>
      </c>
      <c r="AD257" s="200">
        <f t="shared" si="249"/>
        <v>0.61883645221577299</v>
      </c>
      <c r="AE257" s="200">
        <f t="shared" si="250"/>
        <v>0.62436832350692106</v>
      </c>
      <c r="AF257" s="200">
        <f t="shared" si="250"/>
        <v>0.62990019479806914</v>
      </c>
      <c r="AG257" s="200">
        <f t="shared" si="250"/>
        <v>0.63543206608921721</v>
      </c>
      <c r="AH257" s="200">
        <f t="shared" si="250"/>
        <v>0.64096393738036528</v>
      </c>
      <c r="AI257" s="200">
        <f t="shared" si="250"/>
        <v>0.64649580867151335</v>
      </c>
      <c r="AJ257" s="200">
        <f t="shared" si="250"/>
        <v>0.65202767996266142</v>
      </c>
      <c r="AK257" s="200">
        <f t="shared" si="250"/>
        <v>0.65755955125380949</v>
      </c>
      <c r="AL257" s="200">
        <f t="shared" si="250"/>
        <v>0.66309142254495801</v>
      </c>
      <c r="AM257" s="200">
        <f t="shared" si="250"/>
        <v>0.66760139450381883</v>
      </c>
      <c r="AN257" s="200">
        <f t="shared" si="250"/>
        <v>0.67211136646267966</v>
      </c>
      <c r="AO257" s="200">
        <f t="shared" si="251"/>
        <v>0.67662133842154049</v>
      </c>
      <c r="AP257" s="200">
        <f t="shared" si="251"/>
        <v>0.68113131038040131</v>
      </c>
      <c r="AQ257" s="200">
        <f t="shared" si="251"/>
        <v>0.68564128233926214</v>
      </c>
      <c r="AR257" s="200">
        <f t="shared" si="252"/>
        <v>0.69015125429812296</v>
      </c>
      <c r="AS257" s="200">
        <f t="shared" si="252"/>
        <v>0.69466122625698379</v>
      </c>
      <c r="AT257" s="200">
        <f t="shared" si="252"/>
        <v>0.69917119821584461</v>
      </c>
      <c r="AU257" s="200">
        <f t="shared" si="252"/>
        <v>0.70368117017470544</v>
      </c>
      <c r="AV257" s="200">
        <f t="shared" si="252"/>
        <v>0.70819114213356649</v>
      </c>
      <c r="AW257" s="200">
        <f t="shared" si="252"/>
        <v>0.70819114213356649</v>
      </c>
      <c r="AX257" s="200">
        <f t="shared" si="253"/>
        <v>0.71270111409242731</v>
      </c>
      <c r="AY257" s="200">
        <f t="shared" si="253"/>
        <v>0.71721108605128814</v>
      </c>
      <c r="AZ257" s="200">
        <f t="shared" si="253"/>
        <v>0.70819114213356649</v>
      </c>
      <c r="BA257" s="200">
        <f t="shared" si="253"/>
        <v>0.70819114213356649</v>
      </c>
      <c r="BB257" s="200">
        <f t="shared" si="253"/>
        <v>0.70819114213356649</v>
      </c>
      <c r="BC257" s="200">
        <f t="shared" si="253"/>
        <v>0.70819114213356649</v>
      </c>
      <c r="BD257" s="200">
        <f t="shared" si="253"/>
        <v>0.70819114213356649</v>
      </c>
    </row>
    <row r="258" spans="1:56">
      <c r="A258" s="199" t="s">
        <v>16</v>
      </c>
      <c r="E258" s="199" t="s">
        <v>442</v>
      </c>
      <c r="F258" s="199" t="s">
        <v>442</v>
      </c>
      <c r="G258" s="199" t="str">
        <f>G255</f>
        <v>low income</v>
      </c>
      <c r="H258" s="200" t="s">
        <v>439</v>
      </c>
      <c r="I258" s="199" t="str">
        <f>I255</f>
        <v>hhd-le</v>
      </c>
      <c r="J258" s="200">
        <f t="shared" si="247"/>
        <v>0.6300090759740824</v>
      </c>
      <c r="K258" s="200">
        <f t="shared" si="248"/>
        <v>0.62451824733776973</v>
      </c>
      <c r="L258" s="200">
        <f t="shared" si="248"/>
        <v>0.61902741870145706</v>
      </c>
      <c r="M258" s="200">
        <f t="shared" si="248"/>
        <v>0.61353659006514438</v>
      </c>
      <c r="N258" s="200">
        <f t="shared" si="248"/>
        <v>0.30676829503257219</v>
      </c>
      <c r="O258" s="200">
        <f t="shared" si="248"/>
        <v>0</v>
      </c>
      <c r="P258" s="200">
        <f t="shared" si="248"/>
        <v>0.20007342298989164</v>
      </c>
      <c r="Q258" s="200">
        <f t="shared" si="248"/>
        <v>0.40014684597978328</v>
      </c>
      <c r="R258" s="200">
        <f t="shared" si="248"/>
        <v>0.60022026896967495</v>
      </c>
      <c r="S258" s="200">
        <f t="shared" si="248"/>
        <v>0.58567016209957434</v>
      </c>
      <c r="T258" s="200">
        <f t="shared" si="248"/>
        <v>0.57112005522947373</v>
      </c>
      <c r="U258" s="200">
        <f t="shared" si="249"/>
        <v>0.55656994835937312</v>
      </c>
      <c r="V258" s="200">
        <f t="shared" si="249"/>
        <v>0.54201984148927251</v>
      </c>
      <c r="W258" s="200">
        <f t="shared" si="249"/>
        <v>0.5274697346191719</v>
      </c>
      <c r="X258" s="200">
        <f t="shared" si="249"/>
        <v>0.51291962774907129</v>
      </c>
      <c r="Y258" s="200">
        <f t="shared" si="249"/>
        <v>0.49836952087897063</v>
      </c>
      <c r="Z258" s="200">
        <f t="shared" si="249"/>
        <v>0.48381941400886996</v>
      </c>
      <c r="AA258" s="200">
        <f t="shared" si="249"/>
        <v>0.4692693071387693</v>
      </c>
      <c r="AB258" s="200">
        <f t="shared" si="249"/>
        <v>0.45471920026866852</v>
      </c>
      <c r="AC258" s="200">
        <f t="shared" si="249"/>
        <v>0.43985620716181911</v>
      </c>
      <c r="AD258" s="200">
        <f t="shared" si="249"/>
        <v>0.4249932140549697</v>
      </c>
      <c r="AE258" s="200">
        <f t="shared" si="250"/>
        <v>0.41013022094812029</v>
      </c>
      <c r="AF258" s="200">
        <f t="shared" si="250"/>
        <v>0.39526722784127089</v>
      </c>
      <c r="AG258" s="200">
        <f t="shared" si="250"/>
        <v>0.38040423473442148</v>
      </c>
      <c r="AH258" s="200">
        <f t="shared" si="250"/>
        <v>0.36554124162757207</v>
      </c>
      <c r="AI258" s="200">
        <f t="shared" si="250"/>
        <v>0.35067824852072266</v>
      </c>
      <c r="AJ258" s="200">
        <f t="shared" si="250"/>
        <v>0.33581525541387325</v>
      </c>
      <c r="AK258" s="200">
        <f t="shared" si="250"/>
        <v>0.32095226230702384</v>
      </c>
      <c r="AL258" s="200">
        <f t="shared" si="250"/>
        <v>0.30608926920017426</v>
      </c>
      <c r="AM258" s="200">
        <f t="shared" si="250"/>
        <v>0.29602531663959325</v>
      </c>
      <c r="AN258" s="200">
        <f t="shared" si="250"/>
        <v>0.28596136407901224</v>
      </c>
      <c r="AO258" s="200">
        <f t="shared" si="251"/>
        <v>0.27589741151843122</v>
      </c>
      <c r="AP258" s="200">
        <f t="shared" si="251"/>
        <v>0.26583345895785021</v>
      </c>
      <c r="AQ258" s="200">
        <f t="shared" si="251"/>
        <v>0.2557695063972692</v>
      </c>
      <c r="AR258" s="200">
        <f t="shared" si="252"/>
        <v>0.24570555383668818</v>
      </c>
      <c r="AS258" s="200">
        <f t="shared" si="252"/>
        <v>0.23564160127610717</v>
      </c>
      <c r="AT258" s="200">
        <f t="shared" si="252"/>
        <v>0.22557764871552616</v>
      </c>
      <c r="AU258" s="200">
        <f t="shared" si="252"/>
        <v>0.21551369615494514</v>
      </c>
      <c r="AV258" s="200">
        <f t="shared" si="252"/>
        <v>0.20544974359436419</v>
      </c>
      <c r="AW258" s="200">
        <f t="shared" si="252"/>
        <v>0.20544974359436419</v>
      </c>
      <c r="AX258" s="200">
        <f t="shared" si="253"/>
        <v>0.19538579103378317</v>
      </c>
      <c r="AY258" s="200">
        <f t="shared" si="253"/>
        <v>0.18532183847320216</v>
      </c>
      <c r="AZ258" s="200">
        <f t="shared" si="253"/>
        <v>0.20544974359436419</v>
      </c>
      <c r="BA258" s="200">
        <f t="shared" si="253"/>
        <v>0.20544974359436419</v>
      </c>
      <c r="BB258" s="200">
        <f t="shared" si="253"/>
        <v>0.20544974359436419</v>
      </c>
      <c r="BC258" s="200">
        <f t="shared" si="253"/>
        <v>0.20544974359436419</v>
      </c>
      <c r="BD258" s="200">
        <f t="shared" si="253"/>
        <v>0.20544974359436419</v>
      </c>
    </row>
    <row r="259" spans="1:56">
      <c r="A259" s="199" t="s">
        <v>16</v>
      </c>
      <c r="E259" s="199" t="s">
        <v>442</v>
      </c>
      <c r="F259" s="199" t="s">
        <v>442</v>
      </c>
      <c r="G259" s="199" t="str">
        <f>G256</f>
        <v>medium income</v>
      </c>
      <c r="H259" s="200" t="s">
        <v>439</v>
      </c>
      <c r="I259" s="199" t="str">
        <f>I256</f>
        <v>hhd-me</v>
      </c>
      <c r="J259" s="200">
        <f t="shared" si="247"/>
        <v>0.27326515714341876</v>
      </c>
      <c r="K259" s="200">
        <f t="shared" si="248"/>
        <v>0.27571546369664135</v>
      </c>
      <c r="L259" s="200">
        <f t="shared" si="248"/>
        <v>0.27816577024986394</v>
      </c>
      <c r="M259" s="200">
        <f t="shared" si="248"/>
        <v>0.28061607680308653</v>
      </c>
      <c r="N259" s="200">
        <f t="shared" si="248"/>
        <v>0.14030803840154327</v>
      </c>
      <c r="O259" s="200">
        <f t="shared" si="248"/>
        <v>0</v>
      </c>
      <c r="P259" s="200">
        <f t="shared" si="248"/>
        <v>9.92727470055908E-2</v>
      </c>
      <c r="Q259" s="200">
        <f t="shared" si="248"/>
        <v>0.1985454940111816</v>
      </c>
      <c r="R259" s="200">
        <f t="shared" si="248"/>
        <v>0.2978182410167724</v>
      </c>
      <c r="S259" s="200">
        <f t="shared" si="248"/>
        <v>0.30556778121037204</v>
      </c>
      <c r="T259" s="200">
        <f t="shared" si="248"/>
        <v>0.31331732140397167</v>
      </c>
      <c r="U259" s="200">
        <f t="shared" si="249"/>
        <v>0.32106686159757131</v>
      </c>
      <c r="V259" s="200">
        <f t="shared" si="249"/>
        <v>0.32881640179117094</v>
      </c>
      <c r="W259" s="200">
        <f t="shared" si="249"/>
        <v>0.33656594198477058</v>
      </c>
      <c r="X259" s="200">
        <f t="shared" si="249"/>
        <v>0.34431548217837021</v>
      </c>
      <c r="Y259" s="200">
        <f t="shared" si="249"/>
        <v>0.35206502237196985</v>
      </c>
      <c r="Z259" s="200">
        <f t="shared" si="249"/>
        <v>0.35981456256556948</v>
      </c>
      <c r="AA259" s="200">
        <f t="shared" si="249"/>
        <v>0.36756410275916912</v>
      </c>
      <c r="AB259" s="200">
        <f t="shared" si="249"/>
        <v>0.37531364295276898</v>
      </c>
      <c r="AC259" s="200">
        <f t="shared" si="249"/>
        <v>0.38212054483774682</v>
      </c>
      <c r="AD259" s="200">
        <f t="shared" si="249"/>
        <v>0.38892744672272461</v>
      </c>
      <c r="AE259" s="200">
        <f t="shared" si="250"/>
        <v>0.3957343486077024</v>
      </c>
      <c r="AF259" s="200">
        <f t="shared" si="250"/>
        <v>0.40254125049268019</v>
      </c>
      <c r="AG259" s="200">
        <f t="shared" si="250"/>
        <v>0.40934815237765798</v>
      </c>
      <c r="AH259" s="200">
        <f t="shared" si="250"/>
        <v>0.41615505426263577</v>
      </c>
      <c r="AI259" s="200">
        <f t="shared" si="250"/>
        <v>0.42296195614761356</v>
      </c>
      <c r="AJ259" s="200">
        <f t="shared" si="250"/>
        <v>0.42976885803259135</v>
      </c>
      <c r="AK259" s="200">
        <f t="shared" si="250"/>
        <v>0.43657575991756914</v>
      </c>
      <c r="AL259" s="200">
        <f t="shared" si="250"/>
        <v>0.44338266180254715</v>
      </c>
      <c r="AM259" s="200">
        <f t="shared" si="250"/>
        <v>0.44572803410014883</v>
      </c>
      <c r="AN259" s="200">
        <f t="shared" si="250"/>
        <v>0.44807340639775051</v>
      </c>
      <c r="AO259" s="200">
        <f t="shared" si="251"/>
        <v>0.45041877869535218</v>
      </c>
      <c r="AP259" s="200">
        <f t="shared" si="251"/>
        <v>0.45276415099295386</v>
      </c>
      <c r="AQ259" s="200">
        <f t="shared" si="251"/>
        <v>0.45510952329055554</v>
      </c>
      <c r="AR259" s="200">
        <f t="shared" si="252"/>
        <v>0.45745489558815722</v>
      </c>
      <c r="AS259" s="200">
        <f t="shared" si="252"/>
        <v>0.4598002678857589</v>
      </c>
      <c r="AT259" s="200">
        <f t="shared" si="252"/>
        <v>0.46214564018336057</v>
      </c>
      <c r="AU259" s="200">
        <f t="shared" si="252"/>
        <v>0.46449101248096225</v>
      </c>
      <c r="AV259" s="200">
        <f t="shared" si="252"/>
        <v>0.46683638477856421</v>
      </c>
      <c r="AW259" s="200">
        <f t="shared" si="252"/>
        <v>0.46683638477856421</v>
      </c>
      <c r="AX259" s="200">
        <f t="shared" si="253"/>
        <v>0.46918175707616594</v>
      </c>
      <c r="AY259" s="200">
        <f t="shared" si="253"/>
        <v>0.47152712937376762</v>
      </c>
      <c r="AZ259" s="200">
        <f t="shared" si="253"/>
        <v>0.46683638477856421</v>
      </c>
      <c r="BA259" s="200">
        <f t="shared" si="253"/>
        <v>0.46683638477856421</v>
      </c>
      <c r="BB259" s="200">
        <f t="shared" si="253"/>
        <v>0.46683638477856421</v>
      </c>
      <c r="BC259" s="200">
        <f t="shared" si="253"/>
        <v>0.46683638477856421</v>
      </c>
      <c r="BD259" s="200">
        <f t="shared" si="253"/>
        <v>0.46683638477856421</v>
      </c>
    </row>
    <row r="260" spans="1:56">
      <c r="A260" s="199" t="s">
        <v>16</v>
      </c>
      <c r="E260" s="199" t="s">
        <v>442</v>
      </c>
      <c r="F260" s="199" t="s">
        <v>442</v>
      </c>
      <c r="G260" s="199" t="str">
        <f>G257</f>
        <v>high income</v>
      </c>
      <c r="H260" s="200" t="s">
        <v>439</v>
      </c>
      <c r="I260" s="199" t="str">
        <f>I257</f>
        <v>hhd-he</v>
      </c>
      <c r="J260" s="200">
        <f t="shared" si="247"/>
        <v>9.6725766882498745E-2</v>
      </c>
      <c r="K260" s="200">
        <f t="shared" si="248"/>
        <v>9.976628896558884E-2</v>
      </c>
      <c r="L260" s="200">
        <f t="shared" si="248"/>
        <v>0.10280681104867893</v>
      </c>
      <c r="M260" s="200">
        <f t="shared" si="248"/>
        <v>0.10584733313176901</v>
      </c>
      <c r="N260" s="200">
        <f t="shared" si="248"/>
        <v>5.2923666565884507E-2</v>
      </c>
      <c r="O260" s="200">
        <f t="shared" si="248"/>
        <v>0</v>
      </c>
      <c r="P260" s="200">
        <f t="shared" si="248"/>
        <v>3.3987163337850887E-2</v>
      </c>
      <c r="Q260" s="200">
        <f t="shared" si="248"/>
        <v>6.7974326675701774E-2</v>
      </c>
      <c r="R260" s="200">
        <f t="shared" si="248"/>
        <v>0.10196149001355266</v>
      </c>
      <c r="S260" s="200">
        <f t="shared" si="248"/>
        <v>0.10876205669005365</v>
      </c>
      <c r="T260" s="200">
        <f t="shared" si="248"/>
        <v>0.11556262336655465</v>
      </c>
      <c r="U260" s="200">
        <f t="shared" si="249"/>
        <v>0.12236319004305565</v>
      </c>
      <c r="V260" s="200">
        <f t="shared" si="249"/>
        <v>0.12916375671955665</v>
      </c>
      <c r="W260" s="200">
        <f t="shared" si="249"/>
        <v>0.13596432339605766</v>
      </c>
      <c r="X260" s="200">
        <f t="shared" si="249"/>
        <v>0.14276489007255866</v>
      </c>
      <c r="Y260" s="200">
        <f t="shared" si="249"/>
        <v>0.14956545674905966</v>
      </c>
      <c r="Z260" s="200">
        <f t="shared" si="249"/>
        <v>0.15636602342556066</v>
      </c>
      <c r="AA260" s="200">
        <f t="shared" si="249"/>
        <v>0.16316659010206166</v>
      </c>
      <c r="AB260" s="200">
        <f t="shared" si="249"/>
        <v>0.16996715677856261</v>
      </c>
      <c r="AC260" s="200">
        <f t="shared" si="249"/>
        <v>0.17802324800043418</v>
      </c>
      <c r="AD260" s="200">
        <f t="shared" si="249"/>
        <v>0.18607933922230574</v>
      </c>
      <c r="AE260" s="200">
        <f t="shared" si="250"/>
        <v>0.1941354304441773</v>
      </c>
      <c r="AF260" s="200">
        <f t="shared" si="250"/>
        <v>0.20219152166604887</v>
      </c>
      <c r="AG260" s="200">
        <f t="shared" si="250"/>
        <v>0.21024761288792043</v>
      </c>
      <c r="AH260" s="200">
        <f t="shared" si="250"/>
        <v>0.218303704109792</v>
      </c>
      <c r="AI260" s="200">
        <f t="shared" si="250"/>
        <v>0.22635979533166356</v>
      </c>
      <c r="AJ260" s="200">
        <f t="shared" si="250"/>
        <v>0.23441588655353512</v>
      </c>
      <c r="AK260" s="200">
        <f t="shared" si="250"/>
        <v>0.24247197777540669</v>
      </c>
      <c r="AL260" s="200">
        <f t="shared" si="250"/>
        <v>0.25052806899727836</v>
      </c>
      <c r="AM260" s="200">
        <f t="shared" si="250"/>
        <v>0.2582466492602577</v>
      </c>
      <c r="AN260" s="200">
        <f t="shared" si="250"/>
        <v>0.26596522952323703</v>
      </c>
      <c r="AO260" s="200">
        <f t="shared" si="251"/>
        <v>0.27368380978621637</v>
      </c>
      <c r="AP260" s="200">
        <f t="shared" si="251"/>
        <v>0.28140239004919571</v>
      </c>
      <c r="AQ260" s="200">
        <f t="shared" si="251"/>
        <v>0.28912097031217504</v>
      </c>
      <c r="AR260" s="200">
        <f t="shared" si="252"/>
        <v>0.29683955057515438</v>
      </c>
      <c r="AS260" s="200">
        <f t="shared" si="252"/>
        <v>0.30455813083813371</v>
      </c>
      <c r="AT260" s="200">
        <f t="shared" si="252"/>
        <v>0.31227671110111305</v>
      </c>
      <c r="AU260" s="200">
        <f t="shared" si="252"/>
        <v>0.31999529136409238</v>
      </c>
      <c r="AV260" s="200">
        <f t="shared" si="252"/>
        <v>0.32771387162707166</v>
      </c>
      <c r="AW260" s="200">
        <f t="shared" si="252"/>
        <v>0.32771387162707166</v>
      </c>
      <c r="AX260" s="200">
        <f t="shared" si="253"/>
        <v>0.335432451890051</v>
      </c>
      <c r="AY260" s="200">
        <f t="shared" si="253"/>
        <v>0.34315103215303033</v>
      </c>
      <c r="AZ260" s="200">
        <f t="shared" si="253"/>
        <v>0.32771387162707166</v>
      </c>
      <c r="BA260" s="200">
        <f t="shared" si="253"/>
        <v>0.32771387162707166</v>
      </c>
      <c r="BB260" s="200">
        <f t="shared" si="253"/>
        <v>0.32771387162707166</v>
      </c>
      <c r="BC260" s="200">
        <f t="shared" si="253"/>
        <v>0.32771387162707166</v>
      </c>
      <c r="BD260" s="200">
        <f t="shared" si="253"/>
        <v>0.32771387162707166</v>
      </c>
    </row>
    <row r="261" spans="1:56">
      <c r="A261" s="199" t="s">
        <v>16</v>
      </c>
    </row>
    <row r="262" spans="1:56">
      <c r="A262" s="199" t="s">
        <v>16</v>
      </c>
    </row>
    <row r="263" spans="1:56">
      <c r="A263" s="199" t="s">
        <v>16</v>
      </c>
    </row>
    <row r="264" spans="1:56">
      <c r="A264" s="199" t="s">
        <v>16</v>
      </c>
    </row>
    <row r="265" spans="1:56">
      <c r="A265" s="199" t="s">
        <v>16</v>
      </c>
    </row>
    <row r="266" spans="1:56">
      <c r="A266" s="199" t="s">
        <v>16</v>
      </c>
    </row>
    <row r="267" spans="1:56">
      <c r="A267" s="199" t="s">
        <v>16</v>
      </c>
    </row>
    <row r="268" spans="1:56">
      <c r="A268" s="199" t="s">
        <v>16</v>
      </c>
    </row>
    <row r="269" spans="1:56">
      <c r="A269" s="199" t="s">
        <v>16</v>
      </c>
    </row>
    <row r="270" spans="1:56">
      <c r="A270" s="199" t="s">
        <v>16</v>
      </c>
    </row>
    <row r="271" spans="1:56">
      <c r="A271" s="199" t="s">
        <v>16</v>
      </c>
    </row>
    <row r="272" spans="1:56">
      <c r="A272" s="199" t="s">
        <v>16</v>
      </c>
    </row>
    <row r="273" spans="1:1">
      <c r="A273" s="199" t="s">
        <v>16</v>
      </c>
    </row>
    <row r="274" spans="1:1">
      <c r="A274" s="199" t="s">
        <v>16</v>
      </c>
    </row>
    <row r="275" spans="1:1">
      <c r="A275" s="199" t="s">
        <v>16</v>
      </c>
    </row>
    <row r="276" spans="1:1">
      <c r="A276" s="199" t="s">
        <v>16</v>
      </c>
    </row>
    <row r="277" spans="1:1">
      <c r="A277" s="199" t="s">
        <v>16</v>
      </c>
    </row>
  </sheetData>
  <mergeCells count="2">
    <mergeCell ref="B2:C2"/>
    <mergeCell ref="BG1:BI1"/>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1" zoomScale="90" zoomScaleNormal="90" workbookViewId="0">
      <selection activeCell="C9" sqref="C9"/>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99"/>
    <col min="13" max="43" width="6.85546875" customWidth="1"/>
  </cols>
  <sheetData>
    <row r="1" spans="1:43" s="4" customFormat="1">
      <c r="A1" s="4" t="str">
        <f>IF(TRA,"TS DATA","")</f>
        <v>TS DATA</v>
      </c>
      <c r="B1" s="4" t="s">
        <v>17</v>
      </c>
      <c r="J1" s="41"/>
      <c r="L1" s="199"/>
    </row>
    <row r="2" spans="1:43" s="4" customFormat="1" ht="15.75" thickBot="1">
      <c r="A2" s="4" t="s">
        <v>16</v>
      </c>
      <c r="B2" s="301" t="s">
        <v>296</v>
      </c>
      <c r="C2" s="301"/>
      <c r="J2" s="41"/>
      <c r="L2" s="199"/>
    </row>
    <row r="3" spans="1:43">
      <c r="A3" s="4" t="s">
        <v>16</v>
      </c>
      <c r="B3" s="282" t="s">
        <v>634</v>
      </c>
      <c r="C3" s="4"/>
      <c r="D3" s="4"/>
      <c r="E3" s="4"/>
      <c r="F3" s="4"/>
      <c r="H3" s="4"/>
      <c r="I3" s="4"/>
      <c r="J3" s="199">
        <f>MATCH(J4,Drivers!$C$5:$AG$5,0)</f>
        <v>1</v>
      </c>
      <c r="K3" s="199">
        <f>MATCH(K4,Drivers!$C$5:$AG$5,0)</f>
        <v>4</v>
      </c>
      <c r="L3" s="199">
        <f>MATCH(L4,Drivers!$C$5:$AG$5,0)</f>
        <v>6</v>
      </c>
      <c r="M3" s="199">
        <f>MATCH(M4,Drivers!$C$5:$AG$5,0)</f>
        <v>9</v>
      </c>
      <c r="N3" s="199">
        <f>MATCH(N4,Drivers!$C$5:$AG$5,0)</f>
        <v>19</v>
      </c>
      <c r="O3" s="199">
        <f>MATCH(O4,Drivers!$C$5:$AG$5,0)</f>
        <v>29</v>
      </c>
      <c r="P3" s="199">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199">
        <v>2012</v>
      </c>
      <c r="K4" s="199">
        <v>2015</v>
      </c>
      <c r="L4" s="199">
        <v>2017</v>
      </c>
      <c r="M4" s="199">
        <v>2020</v>
      </c>
      <c r="N4" s="199">
        <v>2030</v>
      </c>
      <c r="O4" s="199">
        <v>2040</v>
      </c>
      <c r="P4" s="199">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00" t="s">
        <v>599</v>
      </c>
      <c r="C5" s="200" t="s">
        <v>601</v>
      </c>
      <c r="D5" s="199">
        <f>MATCH(B5,Drivers!$A$7:$A$22,0)</f>
        <v>13</v>
      </c>
      <c r="E5" s="200"/>
      <c r="G5"/>
      <c r="J5" s="24">
        <f>INDEX(Drivers!$C$7:$AG$22,$D5,J$3)</f>
        <v>11.26</v>
      </c>
      <c r="K5" s="24">
        <f>INDEX(Drivers!$C$7:$AG$22,$D5,K$3)</f>
        <v>12.12</v>
      </c>
      <c r="L5" s="24">
        <f>INDEX(Drivers!$C$7:$AG$22,$D5,L$3)</f>
        <v>12.36</v>
      </c>
      <c r="M5" s="24">
        <f>INDEX(Drivers!$C$7:$AG$22,$D5,M$3)</f>
        <v>12</v>
      </c>
      <c r="N5" s="24">
        <f>INDEX(Drivers!$C$7:$AG$22,$D5,N$3)</f>
        <v>17.155269497422296</v>
      </c>
      <c r="O5" s="24">
        <f>INDEX(Drivers!$C$7:$AG$22,$D5,O$3)</f>
        <v>24.299275916787984</v>
      </c>
      <c r="P5" s="24">
        <f>INDEX(Drivers!$C$7:$AG$22,$D5,P$3)</f>
        <v>36.173773074992027</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00"/>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99" customFormat="1">
      <c r="A10" s="199" t="s">
        <v>16</v>
      </c>
      <c r="B10" s="57" t="s">
        <v>106</v>
      </c>
      <c r="D10" s="199">
        <v>1</v>
      </c>
      <c r="E10" s="199">
        <f t="shared" ref="E10" si="3">D10</f>
        <v>1</v>
      </c>
      <c r="F10" s="199">
        <f t="shared" ref="F10" si="4">E10</f>
        <v>1</v>
      </c>
      <c r="G10" s="199">
        <f t="shared" ref="G10" si="5">F10</f>
        <v>1</v>
      </c>
      <c r="H10" s="199">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199" t="s">
        <v>93</v>
      </c>
      <c r="C16" s="6">
        <v>1</v>
      </c>
      <c r="D16" s="6">
        <f>C16</f>
        <v>1</v>
      </c>
      <c r="E16" s="6">
        <f>D16</f>
        <v>1</v>
      </c>
      <c r="F16" s="6">
        <f>E16</f>
        <v>1</v>
      </c>
      <c r="G16" s="6">
        <f>F16</f>
        <v>1</v>
      </c>
      <c r="H16" s="6">
        <f>G16</f>
        <v>1</v>
      </c>
      <c r="I16" s="28" t="s">
        <v>38</v>
      </c>
      <c r="J16" s="123">
        <f>E22</f>
        <v>60.368000000000002</v>
      </c>
      <c r="K16" s="37">
        <f>J16*(1+$C$16*(K5/J5-1))</f>
        <v>64.978699822380108</v>
      </c>
      <c r="L16" s="37">
        <f>K16*(1+$C$16*(L5/K5-1))</f>
        <v>66.26540674955595</v>
      </c>
      <c r="M16" s="37">
        <f t="shared" ref="M16:P16" si="11">L16*(1+$C$16*(M5/L5-1))</f>
        <v>64.335346358792179</v>
      </c>
      <c r="N16" s="37">
        <f t="shared" si="11"/>
        <v>91.974183749590509</v>
      </c>
      <c r="O16" s="37">
        <f t="shared" si="11"/>
        <v>130.27519436453437</v>
      </c>
      <c r="P16" s="37">
        <f t="shared" si="11"/>
        <v>193.93768499033027</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199" t="s">
        <v>94</v>
      </c>
      <c r="C17" s="200">
        <v>1</v>
      </c>
      <c r="D17" s="200">
        <v>1</v>
      </c>
      <c r="E17" s="200">
        <v>1</v>
      </c>
      <c r="F17" s="200">
        <v>1</v>
      </c>
      <c r="G17" s="200">
        <v>1</v>
      </c>
      <c r="H17" s="200">
        <v>1</v>
      </c>
      <c r="I17" s="28" t="s">
        <v>38</v>
      </c>
      <c r="J17" s="123">
        <f>E23</f>
        <v>20.123000000000001</v>
      </c>
      <c r="K17" s="37">
        <f>J17*(1+$C$17*(K5/J5-1))</f>
        <v>21.659925399644763</v>
      </c>
      <c r="L17" s="37">
        <f t="shared" ref="L17:P17" si="12">K17*(1+$C$17*(L5/K5-1))</f>
        <v>22.088834813499115</v>
      </c>
      <c r="M17" s="37">
        <f t="shared" si="12"/>
        <v>21.445470692717588</v>
      </c>
      <c r="N17" s="37">
        <f t="shared" si="12"/>
        <v>30.658569102720154</v>
      </c>
      <c r="O17" s="37">
        <f t="shared" si="12"/>
        <v>43.425784127311253</v>
      </c>
      <c r="P17" s="37">
        <f t="shared" si="12"/>
        <v>64.64696586039652</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199" customFormat="1">
      <c r="A18" s="199" t="s">
        <v>16</v>
      </c>
      <c r="B18" s="199" t="s">
        <v>94</v>
      </c>
      <c r="C18" s="200">
        <v>1</v>
      </c>
      <c r="D18" s="200">
        <v>1</v>
      </c>
      <c r="E18" s="200">
        <v>1</v>
      </c>
      <c r="F18" s="200">
        <v>1</v>
      </c>
      <c r="G18" s="200">
        <v>1</v>
      </c>
      <c r="H18" s="200">
        <v>1</v>
      </c>
      <c r="I18" s="28" t="s">
        <v>38</v>
      </c>
      <c r="J18" s="123">
        <f>E24</f>
        <v>1.0701311035156249</v>
      </c>
      <c r="K18" s="37">
        <f>J18*(1+$C$18*(K5/J5-1))</f>
        <v>1.1518640297166407</v>
      </c>
      <c r="L18" s="37">
        <f t="shared" ref="L18:P18" si="13">K18*(1+$C$18*(L5/K5-1))</f>
        <v>1.174673218423901</v>
      </c>
      <c r="M18" s="37">
        <f t="shared" si="13"/>
        <v>1.1404594353630106</v>
      </c>
      <c r="N18" s="37">
        <f t="shared" si="13"/>
        <v>1.6304074137108759</v>
      </c>
      <c r="O18" s="37">
        <f t="shared" si="13"/>
        <v>2.3093615409825023</v>
      </c>
      <c r="P18" s="37">
        <f t="shared" si="13"/>
        <v>3.4378934013379241</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199"/>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00" t="str">
        <f>ITEMS_TRA!C30</f>
        <v>TAIJET</v>
      </c>
      <c r="C22" s="200" t="str">
        <f>ITEMS_TRA!D30</f>
        <v xml:space="preserve">Transport Other -  Aviation Int Jet Fuel </v>
      </c>
      <c r="D22" s="28" t="s">
        <v>38</v>
      </c>
      <c r="E22" s="188">
        <f>'[2]TS BYDem'!$J34</f>
        <v>60.368000000000002</v>
      </c>
      <c r="F22" s="6"/>
      <c r="G22"/>
      <c r="J22" s="6">
        <f>E22</f>
        <v>60.368000000000002</v>
      </c>
      <c r="K22" s="200">
        <f t="shared" ref="K22:P22" si="14">(K16*K9)</f>
        <v>64.978699822380108</v>
      </c>
      <c r="L22" s="233">
        <v>68.939278175231294</v>
      </c>
      <c r="M22" s="200">
        <f t="shared" si="14"/>
        <v>64.335346358792179</v>
      </c>
      <c r="N22" s="200">
        <f t="shared" si="14"/>
        <v>91.974183749590509</v>
      </c>
      <c r="O22" s="200">
        <f t="shared" si="14"/>
        <v>130.27519436453437</v>
      </c>
      <c r="P22" s="200">
        <f t="shared" si="14"/>
        <v>193.93768499033027</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99" customFormat="1">
      <c r="A23" s="199" t="s">
        <v>16</v>
      </c>
      <c r="B23" s="200" t="str">
        <f>ITEMS_TRA!C31</f>
        <v>TADJET</v>
      </c>
      <c r="C23" s="200" t="str">
        <f>ITEMS_TRA!D31</f>
        <v xml:space="preserve">Transport Other -  Aviation Dom Jet Fuel </v>
      </c>
      <c r="D23" s="28" t="s">
        <v>38</v>
      </c>
      <c r="E23" s="188">
        <f>'[2]TS BYDem'!$J35</f>
        <v>20.123000000000001</v>
      </c>
      <c r="F23" s="200"/>
      <c r="J23" s="200">
        <f t="shared" ref="J23:J24" si="15">E23</f>
        <v>20.123000000000001</v>
      </c>
      <c r="K23" s="200">
        <f>(K17*K10)</f>
        <v>21.659925399644763</v>
      </c>
      <c r="L23" s="24">
        <v>20.465228059152793</v>
      </c>
      <c r="M23" s="200">
        <f t="shared" ref="M23:P23" si="16">(M17*M10)</f>
        <v>21.445470692717588</v>
      </c>
      <c r="N23" s="200">
        <f t="shared" si="16"/>
        <v>30.658569102720154</v>
      </c>
      <c r="O23" s="200">
        <f t="shared" si="16"/>
        <v>43.425784127311253</v>
      </c>
      <c r="P23" s="200">
        <f t="shared" si="16"/>
        <v>64.64696586039652</v>
      </c>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c r="AN23" s="200"/>
      <c r="AO23" s="200"/>
      <c r="AP23" s="200"/>
      <c r="AQ23" s="200"/>
    </row>
    <row r="24" spans="1:43" s="199" customFormat="1">
      <c r="A24" s="199" t="s">
        <v>16</v>
      </c>
      <c r="B24" s="200" t="str">
        <f>ITEMS_TRA!C32</f>
        <v>TAOAG</v>
      </c>
      <c r="C24" s="200" t="str">
        <f>ITEMS_TRA!D32</f>
        <v>Transport Other - Aviation Gasoline</v>
      </c>
      <c r="D24" s="28" t="s">
        <v>38</v>
      </c>
      <c r="E24" s="188">
        <f>'[2]TS BYDem'!$J36</f>
        <v>1.0701311035156249</v>
      </c>
      <c r="F24" s="200"/>
      <c r="J24" s="200">
        <f t="shared" si="15"/>
        <v>1.0701311035156249</v>
      </c>
      <c r="K24" s="200">
        <f>(K18*K11)</f>
        <v>1.1518640297166407</v>
      </c>
      <c r="L24" s="200">
        <f t="shared" ref="L24:P24" si="17">(L18*L11)</f>
        <v>1.174673218423901</v>
      </c>
      <c r="M24" s="200">
        <f t="shared" si="17"/>
        <v>1.1404594353630106</v>
      </c>
      <c r="N24" s="200">
        <f t="shared" si="17"/>
        <v>1.6304074137108759</v>
      </c>
      <c r="O24" s="200">
        <f t="shared" si="17"/>
        <v>2.3093615409825023</v>
      </c>
      <c r="P24" s="200">
        <f t="shared" si="17"/>
        <v>3.4378934013379241</v>
      </c>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row>
    <row r="25" spans="1:43" s="199" customFormat="1">
      <c r="D25" s="28"/>
      <c r="E25" s="62"/>
      <c r="F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c r="AK25" s="200"/>
      <c r="AL25" s="200"/>
      <c r="AM25" s="200"/>
      <c r="AN25" s="200"/>
      <c r="AO25" s="200"/>
      <c r="AP25" s="200"/>
      <c r="AQ25" s="200"/>
    </row>
    <row r="26" spans="1:43" ht="18" thickBot="1">
      <c r="A26" s="4" t="s">
        <v>16</v>
      </c>
      <c r="B26" s="70" t="s">
        <v>602</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00" t="s">
        <v>600</v>
      </c>
      <c r="C28" s="200" t="s">
        <v>602</v>
      </c>
      <c r="D28" s="199">
        <f>MATCH(B28,Drivers!$A$7:$A$22,0)</f>
        <v>16</v>
      </c>
      <c r="E28" s="200"/>
      <c r="F28" s="199"/>
      <c r="G28" s="199"/>
      <c r="H28" s="199"/>
      <c r="I28" s="199"/>
      <c r="J28" s="200">
        <f>INDEX(Drivers!$C$7:$AG$22,$D28,J$3)</f>
        <v>1.1399999999999999</v>
      </c>
      <c r="K28" s="200">
        <f>INDEX(Drivers!$C$7:$AG$22,$D28,K$3)</f>
        <v>1.1299999999999999</v>
      </c>
      <c r="L28" s="200">
        <f>INDEX(Drivers!$C$7:$AG$22,$D28,L$3)</f>
        <v>1.1499999999999999</v>
      </c>
      <c r="M28" s="200">
        <f>INDEX(Drivers!$C$7:$AG$22,$D28,M$3)</f>
        <v>0.99</v>
      </c>
      <c r="N28" s="200">
        <f>INDEX(Drivers!$C$7:$AG$22,$D28,N$3)</f>
        <v>1.5781187984878831</v>
      </c>
      <c r="O28" s="200">
        <f>INDEX(Drivers!$C$7:$AG$22,$D28,O$3)</f>
        <v>3.1758415424913444</v>
      </c>
      <c r="P28" s="200">
        <f>INDEX(Drivers!$C$7:$AG$22,$D28,P$3)</f>
        <v>6.2928711900416285</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'[2]TS BYDem'!$J$33</f>
        <v>0.820564128</v>
      </c>
      <c r="J33" s="200">
        <f>E33</f>
        <v>0.820564128</v>
      </c>
      <c r="K33" s="200">
        <f>J33</f>
        <v>0.820564128</v>
      </c>
      <c r="L33" s="200">
        <f>K33</f>
        <v>0.820564128</v>
      </c>
      <c r="M33" s="200">
        <f>K33</f>
        <v>0.820564128</v>
      </c>
      <c r="N33" s="200">
        <f t="shared" ref="N33:P33" si="18">M33</f>
        <v>0.820564128</v>
      </c>
      <c r="O33" s="200">
        <f t="shared" si="18"/>
        <v>0.820564128</v>
      </c>
      <c r="P33" s="200">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'[2]TS BYDem'!$J$37</f>
        <v>4.5090000000000003</v>
      </c>
      <c r="J36" s="6">
        <f>E36</f>
        <v>4.5090000000000003</v>
      </c>
      <c r="K36" s="6">
        <f>K$28/J$28*J36</f>
        <v>4.4694473684210525</v>
      </c>
      <c r="L36" s="200">
        <f>L$28/K$28*K36</f>
        <v>4.5485526315789473</v>
      </c>
      <c r="M36" s="200">
        <f>M$28/K$28*K36</f>
        <v>3.9157105263157894</v>
      </c>
      <c r="N36" s="200">
        <f t="shared" ref="N36:P36" si="19">N$28/M$28*M36</f>
        <v>6.2418751424402314</v>
      </c>
      <c r="O36" s="200">
        <f t="shared" si="19"/>
        <v>12.561289048327607</v>
      </c>
      <c r="P36" s="200">
        <f t="shared" si="19"/>
        <v>24.889961575348863</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99" customFormat="1"/>
    <row r="39" spans="1:78" s="199" customFormat="1"/>
    <row r="40" spans="1:78" s="199" customFormat="1"/>
    <row r="42" spans="1:78" s="199" customFormat="1" ht="23.25">
      <c r="A42" s="124" t="s">
        <v>16</v>
      </c>
      <c r="B42" s="128" t="s">
        <v>19</v>
      </c>
      <c r="C42" s="128" t="s">
        <v>20</v>
      </c>
      <c r="D42" s="128" t="s">
        <v>21</v>
      </c>
      <c r="E42" s="128"/>
      <c r="F42" s="128" t="s">
        <v>22</v>
      </c>
      <c r="G42" s="128" t="s">
        <v>23</v>
      </c>
      <c r="H42" s="128" t="s">
        <v>24</v>
      </c>
      <c r="I42" s="129" t="s">
        <v>25</v>
      </c>
      <c r="J42" s="202">
        <v>2012</v>
      </c>
      <c r="K42" s="202">
        <v>2013</v>
      </c>
      <c r="L42" s="202">
        <v>2014</v>
      </c>
      <c r="M42" s="202">
        <v>2015</v>
      </c>
      <c r="N42" s="202">
        <v>2016</v>
      </c>
      <c r="O42" s="202">
        <v>2017</v>
      </c>
      <c r="P42" s="202">
        <v>2018</v>
      </c>
      <c r="Q42" s="202">
        <v>2019</v>
      </c>
      <c r="R42" s="202">
        <v>2020</v>
      </c>
      <c r="S42" s="202">
        <v>2021</v>
      </c>
      <c r="T42" s="202">
        <v>2022</v>
      </c>
      <c r="U42" s="202">
        <v>2023</v>
      </c>
      <c r="V42" s="202">
        <v>2024</v>
      </c>
      <c r="W42" s="202">
        <v>2025</v>
      </c>
      <c r="X42" s="202">
        <v>2026</v>
      </c>
      <c r="Y42" s="202">
        <v>2027</v>
      </c>
      <c r="Z42" s="202">
        <v>2028</v>
      </c>
      <c r="AA42" s="202">
        <v>2029</v>
      </c>
      <c r="AB42" s="202">
        <v>2030</v>
      </c>
      <c r="AC42" s="202">
        <v>2031</v>
      </c>
      <c r="AD42" s="202">
        <v>2032</v>
      </c>
      <c r="AE42" s="202">
        <v>2033</v>
      </c>
      <c r="AF42" s="202">
        <v>2034</v>
      </c>
      <c r="AG42" s="202">
        <v>2035</v>
      </c>
      <c r="AH42" s="202">
        <v>2036</v>
      </c>
      <c r="AI42" s="202">
        <v>2037</v>
      </c>
      <c r="AJ42" s="202">
        <v>2038</v>
      </c>
      <c r="AK42" s="202">
        <v>2039</v>
      </c>
      <c r="AL42" s="202">
        <v>2040</v>
      </c>
      <c r="AM42" s="202">
        <v>2045</v>
      </c>
      <c r="AN42" s="202">
        <v>2050</v>
      </c>
      <c r="AO42" s="202">
        <v>2060</v>
      </c>
      <c r="AP42" s="202">
        <v>2070</v>
      </c>
    </row>
    <row r="43" spans="1:78" s="205" customFormat="1">
      <c r="A43" s="124" t="s">
        <v>16</v>
      </c>
      <c r="B43" s="125">
        <v>1</v>
      </c>
      <c r="C43" s="205">
        <v>2012</v>
      </c>
      <c r="D43" s="205">
        <v>2015</v>
      </c>
      <c r="E43" s="205">
        <v>2017</v>
      </c>
      <c r="F43" s="205">
        <v>2020</v>
      </c>
      <c r="G43" s="125">
        <v>2030</v>
      </c>
      <c r="H43" s="205">
        <v>2040</v>
      </c>
      <c r="I43" s="130">
        <v>2050</v>
      </c>
      <c r="J43" s="205">
        <f t="shared" ref="J43:S44" si="20">MATCH(J$42,$C$43:$I$43,$B43)</f>
        <v>1</v>
      </c>
      <c r="K43" s="205">
        <f t="shared" si="20"/>
        <v>1</v>
      </c>
      <c r="L43" s="205">
        <f t="shared" si="20"/>
        <v>1</v>
      </c>
      <c r="M43" s="205">
        <f t="shared" si="20"/>
        <v>2</v>
      </c>
      <c r="N43" s="205">
        <f t="shared" si="20"/>
        <v>2</v>
      </c>
      <c r="O43" s="205">
        <f t="shared" si="20"/>
        <v>3</v>
      </c>
      <c r="P43" s="205">
        <f t="shared" si="20"/>
        <v>3</v>
      </c>
      <c r="Q43" s="205">
        <f t="shared" si="20"/>
        <v>3</v>
      </c>
      <c r="R43" s="205">
        <f t="shared" si="20"/>
        <v>4</v>
      </c>
      <c r="S43" s="205">
        <f t="shared" si="20"/>
        <v>4</v>
      </c>
      <c r="T43" s="205">
        <f t="shared" ref="T43:AC44" si="21">MATCH(T$42,$C$43:$I$43,$B43)</f>
        <v>4</v>
      </c>
      <c r="U43" s="205">
        <f t="shared" si="21"/>
        <v>4</v>
      </c>
      <c r="V43" s="205">
        <f t="shared" si="21"/>
        <v>4</v>
      </c>
      <c r="W43" s="205">
        <f t="shared" si="21"/>
        <v>4</v>
      </c>
      <c r="X43" s="205">
        <f t="shared" si="21"/>
        <v>4</v>
      </c>
      <c r="Y43" s="205">
        <f t="shared" si="21"/>
        <v>4</v>
      </c>
      <c r="Z43" s="205">
        <f t="shared" si="21"/>
        <v>4</v>
      </c>
      <c r="AA43" s="205">
        <f t="shared" si="21"/>
        <v>4</v>
      </c>
      <c r="AB43" s="205">
        <f t="shared" si="21"/>
        <v>5</v>
      </c>
      <c r="AC43" s="205">
        <f t="shared" si="21"/>
        <v>5</v>
      </c>
      <c r="AD43" s="205">
        <f t="shared" ref="AD43:AP44" si="22">MATCH(AD$42,$C$43:$I$43,$B43)</f>
        <v>5</v>
      </c>
      <c r="AE43" s="205">
        <f t="shared" si="22"/>
        <v>5</v>
      </c>
      <c r="AF43" s="205">
        <f t="shared" si="22"/>
        <v>5</v>
      </c>
      <c r="AG43" s="205">
        <f t="shared" si="22"/>
        <v>5</v>
      </c>
      <c r="AH43" s="205">
        <f t="shared" si="22"/>
        <v>5</v>
      </c>
      <c r="AI43" s="205">
        <f t="shared" si="22"/>
        <v>5</v>
      </c>
      <c r="AJ43" s="205">
        <f t="shared" si="22"/>
        <v>5</v>
      </c>
      <c r="AK43" s="205">
        <f t="shared" si="22"/>
        <v>5</v>
      </c>
      <c r="AL43" s="205">
        <f t="shared" si="22"/>
        <v>6</v>
      </c>
      <c r="AM43" s="205">
        <f t="shared" si="22"/>
        <v>6</v>
      </c>
      <c r="AN43" s="205">
        <f t="shared" si="22"/>
        <v>7</v>
      </c>
      <c r="AO43" s="205">
        <f t="shared" si="22"/>
        <v>7</v>
      </c>
      <c r="AP43" s="205">
        <f t="shared" si="22"/>
        <v>7</v>
      </c>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N43" s="199"/>
      <c r="BO43" s="199"/>
      <c r="BP43" s="199"/>
      <c r="BQ43" s="199"/>
      <c r="BR43" s="199"/>
      <c r="BS43" s="199"/>
      <c r="BT43" s="199"/>
      <c r="BU43" s="199"/>
      <c r="BV43" s="199"/>
      <c r="BW43" s="199"/>
      <c r="BX43" s="199"/>
      <c r="BY43" s="199"/>
      <c r="BZ43" s="199"/>
    </row>
    <row r="44" spans="1:78" s="201" customFormat="1">
      <c r="A44" s="41" t="s">
        <v>16</v>
      </c>
      <c r="B44" s="202">
        <v>0</v>
      </c>
      <c r="C44" s="201">
        <f t="shared" ref="C44:H44" si="23">INDEX($C43:$I43,0,COUNT($C43:$I43)-C45)</f>
        <v>2050</v>
      </c>
      <c r="D44" s="201">
        <f t="shared" si="23"/>
        <v>2040</v>
      </c>
      <c r="E44" s="201">
        <f t="shared" si="23"/>
        <v>2030</v>
      </c>
      <c r="F44" s="201">
        <f t="shared" si="23"/>
        <v>2020</v>
      </c>
      <c r="G44" s="201">
        <f t="shared" si="23"/>
        <v>2017</v>
      </c>
      <c r="H44" s="201">
        <f t="shared" si="23"/>
        <v>2015</v>
      </c>
      <c r="I44" s="131">
        <v>2012</v>
      </c>
      <c r="J44" s="41">
        <f t="shared" si="20"/>
        <v>1</v>
      </c>
      <c r="K44" s="201" t="e">
        <f t="shared" si="20"/>
        <v>#N/A</v>
      </c>
      <c r="L44" s="201" t="e">
        <f t="shared" si="20"/>
        <v>#N/A</v>
      </c>
      <c r="M44" s="201">
        <f t="shared" si="20"/>
        <v>2</v>
      </c>
      <c r="N44" s="201" t="e">
        <f t="shared" si="20"/>
        <v>#N/A</v>
      </c>
      <c r="O44" s="201">
        <f t="shared" si="20"/>
        <v>3</v>
      </c>
      <c r="P44" s="201" t="e">
        <f t="shared" si="20"/>
        <v>#N/A</v>
      </c>
      <c r="Q44" s="201" t="e">
        <f t="shared" si="20"/>
        <v>#N/A</v>
      </c>
      <c r="R44" s="201">
        <f t="shared" si="20"/>
        <v>4</v>
      </c>
      <c r="S44" s="201" t="e">
        <f t="shared" si="20"/>
        <v>#N/A</v>
      </c>
      <c r="T44" s="201" t="e">
        <f t="shared" si="21"/>
        <v>#N/A</v>
      </c>
      <c r="U44" s="201" t="e">
        <f t="shared" si="21"/>
        <v>#N/A</v>
      </c>
      <c r="V44" s="201" t="e">
        <f t="shared" si="21"/>
        <v>#N/A</v>
      </c>
      <c r="W44" s="201" t="e">
        <f t="shared" si="21"/>
        <v>#N/A</v>
      </c>
      <c r="X44" s="201" t="e">
        <f t="shared" si="21"/>
        <v>#N/A</v>
      </c>
      <c r="Y44" s="201" t="e">
        <f t="shared" si="21"/>
        <v>#N/A</v>
      </c>
      <c r="Z44" s="201" t="e">
        <f t="shared" si="21"/>
        <v>#N/A</v>
      </c>
      <c r="AA44" s="201" t="e">
        <f t="shared" si="21"/>
        <v>#N/A</v>
      </c>
      <c r="AB44" s="201">
        <f t="shared" si="21"/>
        <v>5</v>
      </c>
      <c r="AC44" s="201" t="e">
        <f t="shared" si="21"/>
        <v>#N/A</v>
      </c>
      <c r="AD44" s="201" t="e">
        <f t="shared" si="22"/>
        <v>#N/A</v>
      </c>
      <c r="AE44" s="201" t="e">
        <f t="shared" si="22"/>
        <v>#N/A</v>
      </c>
      <c r="AF44" s="201" t="e">
        <f t="shared" si="22"/>
        <v>#N/A</v>
      </c>
      <c r="AG44" s="201" t="e">
        <f t="shared" si="22"/>
        <v>#N/A</v>
      </c>
      <c r="AH44" s="201" t="e">
        <f t="shared" si="22"/>
        <v>#N/A</v>
      </c>
      <c r="AI44" s="201" t="e">
        <f t="shared" si="22"/>
        <v>#N/A</v>
      </c>
      <c r="AJ44" s="201" t="e">
        <f t="shared" si="22"/>
        <v>#N/A</v>
      </c>
      <c r="AK44" s="201" t="e">
        <f t="shared" si="22"/>
        <v>#N/A</v>
      </c>
      <c r="AL44" s="201">
        <f t="shared" si="22"/>
        <v>6</v>
      </c>
      <c r="AM44" s="201" t="e">
        <f t="shared" si="22"/>
        <v>#N/A</v>
      </c>
      <c r="AN44" s="201">
        <f t="shared" si="22"/>
        <v>7</v>
      </c>
      <c r="AO44" s="201" t="e">
        <f t="shared" si="22"/>
        <v>#N/A</v>
      </c>
      <c r="AP44" s="201" t="e">
        <f t="shared" si="22"/>
        <v>#N/A</v>
      </c>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N44" s="199"/>
      <c r="BO44" s="199"/>
      <c r="BP44" s="199"/>
      <c r="BQ44" s="199"/>
      <c r="BR44" s="199"/>
      <c r="BS44" s="199"/>
      <c r="BT44" s="199"/>
      <c r="BU44" s="199"/>
      <c r="BV44" s="199"/>
      <c r="BW44" s="199"/>
      <c r="BX44" s="199"/>
      <c r="BY44" s="199"/>
      <c r="BZ44" s="199"/>
    </row>
    <row r="45" spans="1:78" s="201" customFormat="1">
      <c r="A45" s="41" t="s">
        <v>16</v>
      </c>
      <c r="B45" s="202">
        <v>-1</v>
      </c>
      <c r="C45" s="201">
        <v>0</v>
      </c>
      <c r="D45" s="201">
        <v>1</v>
      </c>
      <c r="E45" s="202">
        <v>2</v>
      </c>
      <c r="F45" s="201">
        <v>3</v>
      </c>
      <c r="G45" s="201">
        <v>4</v>
      </c>
      <c r="H45" s="201">
        <v>5</v>
      </c>
      <c r="I45" s="201">
        <v>6</v>
      </c>
      <c r="J45" s="41">
        <f t="shared" ref="J45:AP45" si="24">MATCH(J$42,$C$44:$I$44,$B45)</f>
        <v>7</v>
      </c>
      <c r="K45" s="201">
        <f t="shared" si="24"/>
        <v>6</v>
      </c>
      <c r="L45" s="201">
        <f t="shared" si="24"/>
        <v>6</v>
      </c>
      <c r="M45" s="201">
        <f t="shared" si="24"/>
        <v>6</v>
      </c>
      <c r="N45" s="201">
        <f t="shared" si="24"/>
        <v>5</v>
      </c>
      <c r="O45" s="201">
        <f t="shared" si="24"/>
        <v>5</v>
      </c>
      <c r="P45" s="201">
        <f t="shared" si="24"/>
        <v>4</v>
      </c>
      <c r="Q45" s="201">
        <f t="shared" si="24"/>
        <v>4</v>
      </c>
      <c r="R45" s="201">
        <f t="shared" si="24"/>
        <v>4</v>
      </c>
      <c r="S45" s="201">
        <f t="shared" si="24"/>
        <v>3</v>
      </c>
      <c r="T45" s="201">
        <f t="shared" si="24"/>
        <v>3</v>
      </c>
      <c r="U45" s="201">
        <f t="shared" si="24"/>
        <v>3</v>
      </c>
      <c r="V45" s="201">
        <f t="shared" si="24"/>
        <v>3</v>
      </c>
      <c r="W45" s="201">
        <f t="shared" si="24"/>
        <v>3</v>
      </c>
      <c r="X45" s="201">
        <f t="shared" si="24"/>
        <v>3</v>
      </c>
      <c r="Y45" s="201">
        <f t="shared" si="24"/>
        <v>3</v>
      </c>
      <c r="Z45" s="201">
        <f t="shared" si="24"/>
        <v>3</v>
      </c>
      <c r="AA45" s="201">
        <f t="shared" si="24"/>
        <v>3</v>
      </c>
      <c r="AB45" s="201">
        <f t="shared" si="24"/>
        <v>3</v>
      </c>
      <c r="AC45" s="201">
        <f t="shared" si="24"/>
        <v>2</v>
      </c>
      <c r="AD45" s="201">
        <f t="shared" si="24"/>
        <v>2</v>
      </c>
      <c r="AE45" s="201">
        <f t="shared" si="24"/>
        <v>2</v>
      </c>
      <c r="AF45" s="201">
        <f t="shared" si="24"/>
        <v>2</v>
      </c>
      <c r="AG45" s="201">
        <f t="shared" si="24"/>
        <v>2</v>
      </c>
      <c r="AH45" s="201">
        <f t="shared" si="24"/>
        <v>2</v>
      </c>
      <c r="AI45" s="201">
        <f t="shared" si="24"/>
        <v>2</v>
      </c>
      <c r="AJ45" s="201">
        <f t="shared" si="24"/>
        <v>2</v>
      </c>
      <c r="AK45" s="201">
        <f t="shared" si="24"/>
        <v>2</v>
      </c>
      <c r="AL45" s="201">
        <f t="shared" si="24"/>
        <v>2</v>
      </c>
      <c r="AM45" s="201">
        <f t="shared" si="24"/>
        <v>1</v>
      </c>
      <c r="AN45" s="201">
        <f t="shared" si="24"/>
        <v>1</v>
      </c>
      <c r="AO45" s="201" t="e">
        <f t="shared" si="24"/>
        <v>#N/A</v>
      </c>
      <c r="AP45" s="201" t="e">
        <f t="shared" si="24"/>
        <v>#N/A</v>
      </c>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N45" s="199"/>
      <c r="BO45" s="199"/>
      <c r="BP45" s="199"/>
      <c r="BQ45" s="199"/>
      <c r="BR45" s="199"/>
      <c r="BS45" s="199"/>
      <c r="BT45" s="199"/>
      <c r="BU45" s="199"/>
      <c r="BV45" s="199"/>
      <c r="BW45" s="199"/>
      <c r="BX45" s="199"/>
      <c r="BY45" s="199"/>
      <c r="BZ45" s="199"/>
    </row>
    <row r="46" spans="1:78" s="127" customFormat="1">
      <c r="A46" s="126" t="s">
        <v>16</v>
      </c>
      <c r="I46" s="132"/>
      <c r="J46" s="203">
        <f t="shared" ref="J46:K46" si="25">IF(ISNA(J43),-1,IF(ISNA(J45),99,IF(ISNA(J44),J43,0)))</f>
        <v>0</v>
      </c>
      <c r="K46" s="203">
        <f t="shared" si="25"/>
        <v>1</v>
      </c>
      <c r="L46" s="203">
        <f t="shared" ref="L46:AP46" si="26">IF(ISNA(L43),-1,IF(ISNA(L45),99,IF(ISNA(L44),L43,0)))</f>
        <v>1</v>
      </c>
      <c r="M46" s="203">
        <f t="shared" si="26"/>
        <v>0</v>
      </c>
      <c r="N46" s="203">
        <f t="shared" si="26"/>
        <v>2</v>
      </c>
      <c r="O46" s="203">
        <f t="shared" si="26"/>
        <v>0</v>
      </c>
      <c r="P46" s="203">
        <f t="shared" si="26"/>
        <v>3</v>
      </c>
      <c r="Q46" s="203">
        <f t="shared" si="26"/>
        <v>3</v>
      </c>
      <c r="R46" s="203">
        <f t="shared" si="26"/>
        <v>0</v>
      </c>
      <c r="S46" s="203">
        <f t="shared" si="26"/>
        <v>4</v>
      </c>
      <c r="T46" s="203">
        <f t="shared" si="26"/>
        <v>4</v>
      </c>
      <c r="U46" s="203">
        <f t="shared" si="26"/>
        <v>4</v>
      </c>
      <c r="V46" s="203">
        <f t="shared" si="26"/>
        <v>4</v>
      </c>
      <c r="W46" s="203">
        <f t="shared" si="26"/>
        <v>4</v>
      </c>
      <c r="X46" s="203">
        <f t="shared" si="26"/>
        <v>4</v>
      </c>
      <c r="Y46" s="203">
        <f t="shared" si="26"/>
        <v>4</v>
      </c>
      <c r="Z46" s="203">
        <f t="shared" si="26"/>
        <v>4</v>
      </c>
      <c r="AA46" s="203">
        <f t="shared" si="26"/>
        <v>4</v>
      </c>
      <c r="AB46" s="203">
        <f t="shared" si="26"/>
        <v>0</v>
      </c>
      <c r="AC46" s="203">
        <f t="shared" si="26"/>
        <v>5</v>
      </c>
      <c r="AD46" s="203">
        <f t="shared" si="26"/>
        <v>5</v>
      </c>
      <c r="AE46" s="203">
        <f t="shared" si="26"/>
        <v>5</v>
      </c>
      <c r="AF46" s="203">
        <f t="shared" si="26"/>
        <v>5</v>
      </c>
      <c r="AG46" s="203">
        <f t="shared" si="26"/>
        <v>5</v>
      </c>
      <c r="AH46" s="203">
        <f t="shared" si="26"/>
        <v>5</v>
      </c>
      <c r="AI46" s="203">
        <f t="shared" si="26"/>
        <v>5</v>
      </c>
      <c r="AJ46" s="203">
        <f t="shared" si="26"/>
        <v>5</v>
      </c>
      <c r="AK46" s="203">
        <f t="shared" si="26"/>
        <v>5</v>
      </c>
      <c r="AL46" s="203">
        <f t="shared" si="26"/>
        <v>0</v>
      </c>
      <c r="AM46" s="203">
        <f t="shared" si="26"/>
        <v>6</v>
      </c>
      <c r="AN46" s="203">
        <f t="shared" si="26"/>
        <v>0</v>
      </c>
      <c r="AO46" s="203">
        <f t="shared" si="26"/>
        <v>99</v>
      </c>
      <c r="AP46" s="203">
        <f t="shared" si="26"/>
        <v>99</v>
      </c>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N46" s="199"/>
      <c r="BO46" s="199"/>
      <c r="BP46" s="199"/>
      <c r="BQ46" s="199"/>
      <c r="BR46" s="199"/>
      <c r="BS46" s="199"/>
      <c r="BT46" s="199"/>
      <c r="BU46" s="199"/>
      <c r="BV46" s="199"/>
      <c r="BW46" s="199"/>
      <c r="BX46" s="199"/>
      <c r="BY46" s="199"/>
      <c r="BZ46" s="199"/>
    </row>
    <row r="47" spans="1:78" s="199" customFormat="1">
      <c r="A47" s="41" t="s">
        <v>125</v>
      </c>
      <c r="B47" s="133" t="str">
        <f t="shared" ref="B47:B51" si="27">IF(A47="*","","COM_PROJ")</f>
        <v>COM_PROJ</v>
      </c>
      <c r="C47" s="134" t="str">
        <f t="shared" ref="C47:C51" si="28">IF($A47="*","","-")</f>
        <v>-</v>
      </c>
      <c r="D47" s="61" t="s">
        <v>134</v>
      </c>
      <c r="E47" s="134" t="str">
        <f t="shared" ref="E47:H51" si="29">IF($A47="*","","-")</f>
        <v>-</v>
      </c>
      <c r="F47" s="134" t="str">
        <f t="shared" si="29"/>
        <v>-</v>
      </c>
      <c r="G47" s="134" t="str">
        <f t="shared" si="29"/>
        <v>-</v>
      </c>
      <c r="H47" s="134" t="str">
        <f t="shared" si="29"/>
        <v>-</v>
      </c>
      <c r="I47" s="135">
        <f t="shared" ref="I47:I51" si="30">IF(A47="*","",0)</f>
        <v>0</v>
      </c>
      <c r="J47" s="200">
        <f>J33</f>
        <v>0.820564128</v>
      </c>
      <c r="K47" s="200">
        <f t="shared" ref="K47:AL47" si="31">IF(K$46=-1,L47,IF(K$46=99,J47,IF(K$46=0,INDEX($J33:$P33,0,K$44),(INDEX($J33:$P33,0,K$46+1)-INDEX($J33:$P33,0,K$46))/(INDEX($J$4:$P$4,0,K$46+1)-INDEX($J$4:$P$4,0,K$46))+J47)))</f>
        <v>0.820564128</v>
      </c>
      <c r="L47" s="200">
        <f t="shared" si="31"/>
        <v>0.820564128</v>
      </c>
      <c r="M47" s="200">
        <f t="shared" si="31"/>
        <v>0.820564128</v>
      </c>
      <c r="N47" s="200">
        <f t="shared" si="31"/>
        <v>0.820564128</v>
      </c>
      <c r="O47" s="200">
        <f t="shared" si="31"/>
        <v>0.820564128</v>
      </c>
      <c r="P47" s="200">
        <f t="shared" si="31"/>
        <v>0.820564128</v>
      </c>
      <c r="Q47" s="200">
        <f t="shared" si="31"/>
        <v>0.820564128</v>
      </c>
      <c r="R47" s="200">
        <f t="shared" si="31"/>
        <v>0.820564128</v>
      </c>
      <c r="S47" s="200">
        <f t="shared" si="31"/>
        <v>0.820564128</v>
      </c>
      <c r="T47" s="200">
        <f t="shared" si="31"/>
        <v>0.820564128</v>
      </c>
      <c r="U47" s="200">
        <f t="shared" si="31"/>
        <v>0.820564128</v>
      </c>
      <c r="V47" s="200">
        <f t="shared" si="31"/>
        <v>0.820564128</v>
      </c>
      <c r="W47" s="200">
        <f t="shared" si="31"/>
        <v>0.820564128</v>
      </c>
      <c r="X47" s="200">
        <f t="shared" si="31"/>
        <v>0.820564128</v>
      </c>
      <c r="Y47" s="200">
        <f t="shared" si="31"/>
        <v>0.820564128</v>
      </c>
      <c r="Z47" s="200">
        <f t="shared" si="31"/>
        <v>0.820564128</v>
      </c>
      <c r="AA47" s="200">
        <f t="shared" si="31"/>
        <v>0.820564128</v>
      </c>
      <c r="AB47" s="200">
        <f t="shared" si="31"/>
        <v>0.820564128</v>
      </c>
      <c r="AC47" s="200">
        <f t="shared" si="31"/>
        <v>0.820564128</v>
      </c>
      <c r="AD47" s="200">
        <f t="shared" si="31"/>
        <v>0.820564128</v>
      </c>
      <c r="AE47" s="200">
        <f t="shared" si="31"/>
        <v>0.820564128</v>
      </c>
      <c r="AF47" s="200">
        <f t="shared" si="31"/>
        <v>0.820564128</v>
      </c>
      <c r="AG47" s="200">
        <f t="shared" si="31"/>
        <v>0.820564128</v>
      </c>
      <c r="AH47" s="200">
        <f t="shared" si="31"/>
        <v>0.820564128</v>
      </c>
      <c r="AI47" s="200">
        <f t="shared" si="31"/>
        <v>0.820564128</v>
      </c>
      <c r="AJ47" s="200">
        <f t="shared" si="31"/>
        <v>0.820564128</v>
      </c>
      <c r="AK47" s="200">
        <f t="shared" si="31"/>
        <v>0.820564128</v>
      </c>
      <c r="AL47" s="200">
        <f t="shared" si="31"/>
        <v>0.820564128</v>
      </c>
      <c r="AM47" s="230">
        <f>(AL47+AN47)/2</f>
        <v>0.820564128</v>
      </c>
      <c r="AN47" s="200">
        <f>IF(AN$46=-1,AO47,IF(AN$46=99,AM47,IF(AN$46=0,INDEX($J33:$P33,0,AN$44),(INDEX($J33:$P33,0,AN$46+1)-INDEX($J33:$P33,0,AN$46))/(INDEX($J$4:$P$4,0,AN$46+1)-INDEX($J$4:$P$4,0,AN$46))+AM47)))</f>
        <v>0.820564128</v>
      </c>
      <c r="AO47" s="200">
        <f>IF(AO$46=-1,AP47,IF(AO$46=99,AN47,IF(AO$46=0,INDEX($J33:$P33,0,AO$44),(INDEX($J33:$P33,0,AO$46+1)-INDEX($J33:$P33,0,AO$46))/(INDEX($J$4:$P$4,0,AO$46+1)-INDEX($J$4:$P$4,0,AO$46))+AN47)))</f>
        <v>0.820564128</v>
      </c>
      <c r="AP47" s="200">
        <f>IF(AP$46=-1,AR47,IF(AP$46=99,AO47,IF(AP$46=0,INDEX($J33:$P33,0,AP$44),(INDEX($J33:$P33,0,AP$46+1)-INDEX($J33:$P33,0,AP$46))/(INDEX($J$4:$P$4,0,AP$46+1)-INDEX($J$4:$P$4,0,AP$46))+AO47)))</f>
        <v>0.820564128</v>
      </c>
    </row>
    <row r="48" spans="1:78" s="199" customFormat="1">
      <c r="A48" s="41"/>
      <c r="B48" s="133" t="str">
        <f t="shared" si="27"/>
        <v>COM_PROJ</v>
      </c>
      <c r="C48" s="134" t="str">
        <f t="shared" si="28"/>
        <v>-</v>
      </c>
      <c r="D48" s="61" t="str">
        <f>B22</f>
        <v>TAIJET</v>
      </c>
      <c r="E48" s="134" t="str">
        <f t="shared" si="29"/>
        <v>-</v>
      </c>
      <c r="F48" s="134" t="str">
        <f t="shared" si="29"/>
        <v>-</v>
      </c>
      <c r="G48" s="134" t="str">
        <f t="shared" si="29"/>
        <v>-</v>
      </c>
      <c r="H48" s="134" t="str">
        <f t="shared" si="29"/>
        <v>-</v>
      </c>
      <c r="I48" s="135">
        <f t="shared" si="30"/>
        <v>0</v>
      </c>
      <c r="J48" s="200">
        <f>J22</f>
        <v>60.368000000000002</v>
      </c>
      <c r="K48" s="200">
        <f t="shared" ref="K48:AL48" si="32">IF(K$46=-1,L48,IF(K$46=99,J48,IF(K$46=0,INDEX($J22:$P22,0,K$44),(INDEX($J22:$P22,0,K$46+1)-INDEX($J22:$P22,0,K$46))/(INDEX($J$4:$P$4,0,K$46+1)-INDEX($J$4:$P$4,0,K$46))+J48)))</f>
        <v>61.904899940793371</v>
      </c>
      <c r="L48" s="200">
        <f t="shared" si="32"/>
        <v>63.441799881586739</v>
      </c>
      <c r="M48" s="200">
        <f t="shared" si="32"/>
        <v>64.978699822380108</v>
      </c>
      <c r="N48" s="200">
        <f t="shared" si="32"/>
        <v>66.958988998805694</v>
      </c>
      <c r="O48" s="200">
        <f t="shared" si="32"/>
        <v>68.939278175231294</v>
      </c>
      <c r="P48" s="200">
        <f t="shared" si="32"/>
        <v>67.404634236418261</v>
      </c>
      <c r="Q48" s="200">
        <f t="shared" si="32"/>
        <v>65.869990297605227</v>
      </c>
      <c r="R48" s="200">
        <f t="shared" si="32"/>
        <v>64.335346358792179</v>
      </c>
      <c r="S48" s="200">
        <f t="shared" si="32"/>
        <v>67.09923009787201</v>
      </c>
      <c r="T48" s="200">
        <f t="shared" si="32"/>
        <v>69.86311383695184</v>
      </c>
      <c r="U48" s="200">
        <f t="shared" si="32"/>
        <v>72.62699757603167</v>
      </c>
      <c r="V48" s="200">
        <f t="shared" si="32"/>
        <v>75.3908813151115</v>
      </c>
      <c r="W48" s="200">
        <f t="shared" si="32"/>
        <v>78.15476505419133</v>
      </c>
      <c r="X48" s="200">
        <f t="shared" si="32"/>
        <v>80.91864879327116</v>
      </c>
      <c r="Y48" s="200">
        <f t="shared" si="32"/>
        <v>83.68253253235099</v>
      </c>
      <c r="Z48" s="200">
        <f t="shared" si="32"/>
        <v>86.44641627143082</v>
      </c>
      <c r="AA48" s="200">
        <f t="shared" si="32"/>
        <v>89.21030001051065</v>
      </c>
      <c r="AB48" s="200">
        <f t="shared" si="32"/>
        <v>91.974183749590509</v>
      </c>
      <c r="AC48" s="200">
        <f t="shared" si="32"/>
        <v>95.804284811084898</v>
      </c>
      <c r="AD48" s="200">
        <f t="shared" si="32"/>
        <v>99.634385872579287</v>
      </c>
      <c r="AE48" s="200">
        <f t="shared" si="32"/>
        <v>103.46448693407368</v>
      </c>
      <c r="AF48" s="200">
        <f t="shared" si="32"/>
        <v>107.29458799556807</v>
      </c>
      <c r="AG48" s="200">
        <f t="shared" si="32"/>
        <v>111.12468905706245</v>
      </c>
      <c r="AH48" s="200">
        <f t="shared" si="32"/>
        <v>114.95479011855684</v>
      </c>
      <c r="AI48" s="200">
        <f t="shared" si="32"/>
        <v>118.78489118005123</v>
      </c>
      <c r="AJ48" s="200">
        <f t="shared" si="32"/>
        <v>122.61499224154562</v>
      </c>
      <c r="AK48" s="200">
        <f t="shared" si="32"/>
        <v>126.44509330304001</v>
      </c>
      <c r="AL48" s="200">
        <f t="shared" si="32"/>
        <v>130.27519436453437</v>
      </c>
      <c r="AM48" s="230">
        <f t="shared" ref="AM48:AM51" si="33">(AL48+AN48)/2</f>
        <v>162.10643967743232</v>
      </c>
      <c r="AN48" s="200">
        <f t="shared" ref="AN48:AO50" si="34">IF(AN$46=-1,AO48,IF(AN$46=99,AM48,IF(AN$46=0,INDEX($J22:$P22,0,AN$44),(INDEX($J22:$P22,0,AN$46+1)-INDEX($J22:$P22,0,AN$46))/(INDEX($J$4:$P$4,0,AN$46+1)-INDEX($J$4:$P$4,0,AN$46))+AM48)))</f>
        <v>193.93768499033027</v>
      </c>
      <c r="AO48" s="200">
        <f t="shared" si="34"/>
        <v>193.93768499033027</v>
      </c>
      <c r="AP48" s="200">
        <f>IF(AP$46=-1,AR48,IF(AP$46=99,AO48,IF(AP$46=0,INDEX($J22:$P22,0,AP$44),(INDEX($J22:$P22,0,AP$46+1)-INDEX($J22:$P22,0,AP$46))/(INDEX($J$4:$P$4,0,AP$46+1)-INDEX($J$4:$P$4,0,AP$46))+AO48)))</f>
        <v>193.93768499033027</v>
      </c>
    </row>
    <row r="49" spans="1:42" s="199" customFormat="1">
      <c r="A49" s="41"/>
      <c r="B49" s="133" t="str">
        <f t="shared" ref="B49:B50" si="35">IF(A49="*","","COM_PROJ")</f>
        <v>COM_PROJ</v>
      </c>
      <c r="C49" s="134" t="str">
        <f t="shared" si="28"/>
        <v>-</v>
      </c>
      <c r="D49" s="61" t="str">
        <f t="shared" ref="D49:D50" si="36">B23</f>
        <v>TADJET</v>
      </c>
      <c r="E49" s="134" t="str">
        <f t="shared" si="29"/>
        <v>-</v>
      </c>
      <c r="F49" s="134" t="str">
        <f t="shared" si="29"/>
        <v>-</v>
      </c>
      <c r="G49" s="134" t="str">
        <f t="shared" si="29"/>
        <v>-</v>
      </c>
      <c r="H49" s="134" t="str">
        <f t="shared" si="29"/>
        <v>-</v>
      </c>
      <c r="I49" s="135">
        <f t="shared" ref="I49:I50" si="37">IF(A49="*","",0)</f>
        <v>0</v>
      </c>
      <c r="J49" s="200">
        <f t="shared" ref="J49:J50" si="38">J23</f>
        <v>20.123000000000001</v>
      </c>
      <c r="K49" s="200">
        <f t="shared" ref="K49:AL49" si="39">IF(K$46=-1,L49,IF(K$46=99,J49,IF(K$46=0,INDEX($J23:$P23,0,K$44),(INDEX($J23:$P23,0,K$46+1)-INDEX($J23:$P23,0,K$46))/(INDEX($J$4:$P$4,0,K$46+1)-INDEX($J$4:$P$4,0,K$46))+J49)))</f>
        <v>20.635308466548256</v>
      </c>
      <c r="L49" s="200">
        <f t="shared" si="39"/>
        <v>21.147616933096511</v>
      </c>
      <c r="M49" s="200">
        <f t="shared" si="39"/>
        <v>21.659925399644763</v>
      </c>
      <c r="N49" s="200">
        <f t="shared" si="39"/>
        <v>21.062576729398778</v>
      </c>
      <c r="O49" s="200">
        <f t="shared" si="39"/>
        <v>20.465228059152793</v>
      </c>
      <c r="P49" s="200">
        <f t="shared" si="39"/>
        <v>20.791975603674391</v>
      </c>
      <c r="Q49" s="200">
        <f t="shared" si="39"/>
        <v>21.11872314819599</v>
      </c>
      <c r="R49" s="200">
        <f t="shared" si="39"/>
        <v>21.445470692717588</v>
      </c>
      <c r="S49" s="200">
        <f t="shared" si="39"/>
        <v>22.366780533717844</v>
      </c>
      <c r="T49" s="200">
        <f t="shared" si="39"/>
        <v>23.288090374718099</v>
      </c>
      <c r="U49" s="200">
        <f t="shared" si="39"/>
        <v>24.209400215718354</v>
      </c>
      <c r="V49" s="200">
        <f t="shared" si="39"/>
        <v>25.130710056718609</v>
      </c>
      <c r="W49" s="200">
        <f t="shared" si="39"/>
        <v>26.052019897718864</v>
      </c>
      <c r="X49" s="200">
        <f t="shared" si="39"/>
        <v>26.973329738719119</v>
      </c>
      <c r="Y49" s="200">
        <f t="shared" si="39"/>
        <v>27.894639579719374</v>
      </c>
      <c r="Z49" s="200">
        <f t="shared" si="39"/>
        <v>28.81594942071963</v>
      </c>
      <c r="AA49" s="200">
        <f t="shared" si="39"/>
        <v>29.737259261719885</v>
      </c>
      <c r="AB49" s="200">
        <f t="shared" si="39"/>
        <v>30.658569102720154</v>
      </c>
      <c r="AC49" s="200">
        <f t="shared" si="39"/>
        <v>31.935290605179265</v>
      </c>
      <c r="AD49" s="200">
        <f t="shared" si="39"/>
        <v>33.212012107638373</v>
      </c>
      <c r="AE49" s="200">
        <f t="shared" si="39"/>
        <v>34.488733610097484</v>
      </c>
      <c r="AF49" s="200">
        <f t="shared" si="39"/>
        <v>35.765455112556594</v>
      </c>
      <c r="AG49" s="200">
        <f t="shared" si="39"/>
        <v>37.042176615015705</v>
      </c>
      <c r="AH49" s="200">
        <f t="shared" si="39"/>
        <v>38.318898117474816</v>
      </c>
      <c r="AI49" s="200">
        <f t="shared" si="39"/>
        <v>39.595619619933927</v>
      </c>
      <c r="AJ49" s="200">
        <f t="shared" si="39"/>
        <v>40.872341122393038</v>
      </c>
      <c r="AK49" s="200">
        <f t="shared" si="39"/>
        <v>42.149062624852149</v>
      </c>
      <c r="AL49" s="200">
        <f t="shared" si="39"/>
        <v>43.425784127311253</v>
      </c>
      <c r="AM49" s="230">
        <f t="shared" ref="AM49:AM50" si="40">(AL49+AN49)/2</f>
        <v>54.036374993853883</v>
      </c>
      <c r="AN49" s="200">
        <f t="shared" si="34"/>
        <v>64.64696586039652</v>
      </c>
      <c r="AO49" s="200">
        <f t="shared" si="34"/>
        <v>64.64696586039652</v>
      </c>
      <c r="AP49" s="200">
        <f>IF(AP$46=-1,AR49,IF(AP$46=99,AO49,IF(AP$46=0,INDEX($J23:$P23,0,AP$44),(INDEX($J23:$P23,0,AP$46+1)-INDEX($J23:$P23,0,AP$46))/(INDEX($J$4:$P$4,0,AP$46+1)-INDEX($J$4:$P$4,0,AP$46))+AO49)))</f>
        <v>64.64696586039652</v>
      </c>
    </row>
    <row r="50" spans="1:42" s="199" customFormat="1">
      <c r="A50" s="41"/>
      <c r="B50" s="133" t="str">
        <f t="shared" si="35"/>
        <v>COM_PROJ</v>
      </c>
      <c r="C50" s="134" t="str">
        <f t="shared" si="28"/>
        <v>-</v>
      </c>
      <c r="D50" s="61" t="str">
        <f t="shared" si="36"/>
        <v>TAOAG</v>
      </c>
      <c r="E50" s="134" t="str">
        <f t="shared" si="29"/>
        <v>-</v>
      </c>
      <c r="F50" s="134" t="str">
        <f t="shared" si="29"/>
        <v>-</v>
      </c>
      <c r="G50" s="134" t="str">
        <f t="shared" si="29"/>
        <v>-</v>
      </c>
      <c r="H50" s="134" t="str">
        <f t="shared" si="29"/>
        <v>-</v>
      </c>
      <c r="I50" s="135">
        <f t="shared" si="37"/>
        <v>0</v>
      </c>
      <c r="J50" s="200">
        <f t="shared" si="38"/>
        <v>1.0701311035156249</v>
      </c>
      <c r="K50" s="200">
        <f t="shared" ref="K50:AL50" si="41">IF(K$46=-1,L50,IF(K$46=99,J50,IF(K$46=0,INDEX($J24:$P24,0,K$44),(INDEX($J24:$P24,0,K$46+1)-INDEX($J24:$P24,0,K$46))/(INDEX($J$4:$P$4,0,K$46+1)-INDEX($J$4:$P$4,0,K$46))+J50)))</f>
        <v>1.0973754122492969</v>
      </c>
      <c r="L50" s="200">
        <f t="shared" si="41"/>
        <v>1.1246197209829689</v>
      </c>
      <c r="M50" s="200">
        <f t="shared" si="41"/>
        <v>1.1518640297166407</v>
      </c>
      <c r="N50" s="200">
        <f t="shared" si="41"/>
        <v>1.163268624070271</v>
      </c>
      <c r="O50" s="200">
        <f t="shared" si="41"/>
        <v>1.174673218423901</v>
      </c>
      <c r="P50" s="200">
        <f t="shared" si="41"/>
        <v>1.163268624070271</v>
      </c>
      <c r="Q50" s="200">
        <f t="shared" si="41"/>
        <v>1.1518640297166409</v>
      </c>
      <c r="R50" s="200">
        <f t="shared" si="41"/>
        <v>1.1404594353630106</v>
      </c>
      <c r="S50" s="200">
        <f t="shared" si="41"/>
        <v>1.1894542331977971</v>
      </c>
      <c r="T50" s="200">
        <f t="shared" si="41"/>
        <v>1.2384490310325835</v>
      </c>
      <c r="U50" s="200">
        <f t="shared" si="41"/>
        <v>1.28744382886737</v>
      </c>
      <c r="V50" s="200">
        <f t="shared" si="41"/>
        <v>1.3364386267021564</v>
      </c>
      <c r="W50" s="200">
        <f t="shared" si="41"/>
        <v>1.3854334245369428</v>
      </c>
      <c r="X50" s="200">
        <f t="shared" si="41"/>
        <v>1.4344282223717293</v>
      </c>
      <c r="Y50" s="200">
        <f t="shared" si="41"/>
        <v>1.4834230202065157</v>
      </c>
      <c r="Z50" s="200">
        <f t="shared" si="41"/>
        <v>1.5324178180413022</v>
      </c>
      <c r="AA50" s="200">
        <f t="shared" si="41"/>
        <v>1.5814126158760886</v>
      </c>
      <c r="AB50" s="200">
        <f t="shared" si="41"/>
        <v>1.6304074137108759</v>
      </c>
      <c r="AC50" s="200">
        <f t="shared" si="41"/>
        <v>1.6983028264380386</v>
      </c>
      <c r="AD50" s="200">
        <f t="shared" si="41"/>
        <v>1.7661982391652014</v>
      </c>
      <c r="AE50" s="200">
        <f t="shared" si="41"/>
        <v>1.8340936518923641</v>
      </c>
      <c r="AF50" s="200">
        <f t="shared" si="41"/>
        <v>1.9019890646195268</v>
      </c>
      <c r="AG50" s="200">
        <f t="shared" si="41"/>
        <v>1.9698844773466895</v>
      </c>
      <c r="AH50" s="200">
        <f t="shared" si="41"/>
        <v>2.037779890073852</v>
      </c>
      <c r="AI50" s="200">
        <f t="shared" si="41"/>
        <v>2.1056753028010147</v>
      </c>
      <c r="AJ50" s="200">
        <f t="shared" si="41"/>
        <v>2.1735707155281774</v>
      </c>
      <c r="AK50" s="200">
        <f t="shared" si="41"/>
        <v>2.2414661282553401</v>
      </c>
      <c r="AL50" s="200">
        <f t="shared" si="41"/>
        <v>2.3093615409825023</v>
      </c>
      <c r="AM50" s="230">
        <f t="shared" si="40"/>
        <v>2.873627471160213</v>
      </c>
      <c r="AN50" s="200">
        <f t="shared" si="34"/>
        <v>3.4378934013379241</v>
      </c>
      <c r="AO50" s="200">
        <f t="shared" si="34"/>
        <v>3.4378934013379241</v>
      </c>
      <c r="AP50" s="200">
        <f>IF(AP$46=-1,AR50,IF(AP$46=99,AO50,IF(AP$46=0,INDEX($J24:$P24,0,AP$44),(INDEX($J24:$P24,0,AP$46+1)-INDEX($J24:$P24,0,AP$46))/(INDEX($J$4:$P$4,0,AP$46+1)-INDEX($J$4:$P$4,0,AP$46))+AO50)))</f>
        <v>3.4378934013379241</v>
      </c>
    </row>
    <row r="51" spans="1:42" s="199" customFormat="1">
      <c r="A51" s="41"/>
      <c r="B51" s="133" t="str">
        <f t="shared" si="27"/>
        <v>COM_PROJ</v>
      </c>
      <c r="C51" s="134" t="str">
        <f t="shared" si="28"/>
        <v>-</v>
      </c>
      <c r="D51" s="61" t="s">
        <v>158</v>
      </c>
      <c r="E51" s="134" t="str">
        <f t="shared" si="29"/>
        <v>-</v>
      </c>
      <c r="F51" s="134" t="str">
        <f t="shared" si="29"/>
        <v>-</v>
      </c>
      <c r="G51" s="134" t="str">
        <f t="shared" si="29"/>
        <v>-</v>
      </c>
      <c r="H51" s="134" t="str">
        <f t="shared" si="29"/>
        <v>-</v>
      </c>
      <c r="I51" s="135">
        <f t="shared" si="30"/>
        <v>0</v>
      </c>
      <c r="J51" s="200">
        <f>J36</f>
        <v>4.5090000000000003</v>
      </c>
      <c r="K51" s="200">
        <f t="shared" ref="K51:AL51" si="42">IF(K$46=-1,L51,IF(K$46=99,J51,IF(K$46=0,INDEX($J36:$P36,0,K$44),(INDEX($J36:$P36,0,K$46+1)-INDEX($J36:$P36,0,K$46))/(INDEX($J$4:$P$4,0,K$46+1)-INDEX($J$4:$P$4,0,K$46))+J51)))</f>
        <v>4.4958157894736841</v>
      </c>
      <c r="L51" s="200">
        <f t="shared" si="42"/>
        <v>4.4826315789473679</v>
      </c>
      <c r="M51" s="200">
        <f t="shared" si="42"/>
        <v>4.4694473684210525</v>
      </c>
      <c r="N51" s="200">
        <f t="shared" si="42"/>
        <v>4.5090000000000003</v>
      </c>
      <c r="O51" s="200">
        <f t="shared" si="42"/>
        <v>4.5485526315789473</v>
      </c>
      <c r="P51" s="200">
        <f t="shared" si="42"/>
        <v>4.3376052631578945</v>
      </c>
      <c r="Q51" s="200">
        <f t="shared" si="42"/>
        <v>4.1266578947368417</v>
      </c>
      <c r="R51" s="200">
        <f t="shared" si="42"/>
        <v>3.9157105263157894</v>
      </c>
      <c r="S51" s="200">
        <f t="shared" si="42"/>
        <v>4.1483269879282334</v>
      </c>
      <c r="T51" s="200">
        <f t="shared" si="42"/>
        <v>4.3809434495406778</v>
      </c>
      <c r="U51" s="200">
        <f t="shared" si="42"/>
        <v>4.6135599111531223</v>
      </c>
      <c r="V51" s="200">
        <f t="shared" si="42"/>
        <v>4.8461763727655667</v>
      </c>
      <c r="W51" s="200">
        <f t="shared" si="42"/>
        <v>5.0787928343780111</v>
      </c>
      <c r="X51" s="200">
        <f t="shared" si="42"/>
        <v>5.3114092959904555</v>
      </c>
      <c r="Y51" s="200">
        <f t="shared" si="42"/>
        <v>5.5440257576029</v>
      </c>
      <c r="Z51" s="200">
        <f t="shared" si="42"/>
        <v>5.7766422192153444</v>
      </c>
      <c r="AA51" s="200">
        <f t="shared" si="42"/>
        <v>6.0092586808277888</v>
      </c>
      <c r="AB51" s="200">
        <f t="shared" si="42"/>
        <v>6.2418751424402314</v>
      </c>
      <c r="AC51" s="200">
        <f t="shared" si="42"/>
        <v>6.8738165330289691</v>
      </c>
      <c r="AD51" s="200">
        <f t="shared" si="42"/>
        <v>7.5057579236177068</v>
      </c>
      <c r="AE51" s="200">
        <f t="shared" si="42"/>
        <v>8.1376993142064435</v>
      </c>
      <c r="AF51" s="200">
        <f t="shared" si="42"/>
        <v>8.7696407047951812</v>
      </c>
      <c r="AG51" s="200">
        <f t="shared" si="42"/>
        <v>9.4015820953839189</v>
      </c>
      <c r="AH51" s="200">
        <f t="shared" si="42"/>
        <v>10.033523485972657</v>
      </c>
      <c r="AI51" s="200">
        <f t="shared" si="42"/>
        <v>10.665464876561394</v>
      </c>
      <c r="AJ51" s="200">
        <f t="shared" si="42"/>
        <v>11.297406267150132</v>
      </c>
      <c r="AK51" s="200">
        <f t="shared" si="42"/>
        <v>11.92934765773887</v>
      </c>
      <c r="AL51" s="200">
        <f t="shared" si="42"/>
        <v>12.561289048327607</v>
      </c>
      <c r="AM51" s="230">
        <f t="shared" si="33"/>
        <v>18.725625311838236</v>
      </c>
      <c r="AN51" s="200">
        <f>IF(AN$46=-1,AO51,IF(AN$46=99,AM51,IF(AN$46=0,INDEX($J36:$P36,0,AN$44),(INDEX($J36:$P36,0,AN$46+1)-INDEX($J36:$P36,0,AN$46))/(INDEX($J$4:$P$4,0,AN$46+1)-INDEX($J$4:$P$4,0,AN$46))+AM51)))</f>
        <v>24.889961575348863</v>
      </c>
      <c r="AO51" s="200">
        <f>IF(AO$46=-1,AP51,IF(AO$46=99,AN51,IF(AO$46=0,INDEX($J36:$P36,0,AO$44),(INDEX($J36:$P36,0,AO$46+1)-INDEX($J36:$P36,0,AO$46))/(INDEX($J$4:$P$4,0,AO$46+1)-INDEX($J$4:$P$4,0,AO$46))+AN51)))</f>
        <v>24.889961575348863</v>
      </c>
      <c r="AP51" s="200">
        <f>IF(AP$46=-1,AR51,IF(AP$46=99,AO51,IF(AP$46=0,INDEX($J36:$P36,0,AP$44),(INDEX($J36:$P36,0,AP$46+1)-INDEX($J36:$P36,0,AP$46))/(INDEX($J$4:$P$4,0,AP$46+1)-INDEX($J$4:$P$4,0,AP$46))+AO51)))</f>
        <v>24.889961575348863</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2020-08-07T13:43:09Z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