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968E719F-1004-45D3-AA75-83269DBAC1F5}" xr6:coauthVersionLast="47" xr6:coauthVersionMax="47" xr10:uidLastSave="{00000000-0000-0000-0000-000000000000}"/>
  <bookViews>
    <workbookView xWindow="-120" yWindow="-120" windowWidth="29040" windowHeight="15840" firstSheet="3" activeTab="5"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20" i="4" l="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D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B120" i="4"/>
  <c r="K120" i="4" s="1"/>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B122" i="4"/>
  <c r="K122" i="4" s="1"/>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B124" i="4"/>
  <c r="K124" i="4" s="1"/>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B127" i="4"/>
  <c r="K127" i="4" s="1"/>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B133" i="4"/>
  <c r="K133" i="4" s="1"/>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B134" i="4"/>
  <c r="K134" i="4" s="1"/>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F98" i="16" l="1"/>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B139" i="4"/>
  <c r="K139" i="4" s="1"/>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99" i="17" l="1"/>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B142" i="4"/>
  <c r="K142" i="4" s="1"/>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B145" i="4"/>
  <c r="K145" i="4" s="1"/>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B146" i="4"/>
  <c r="K146" i="4" s="1"/>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B148" i="4"/>
  <c r="K148" i="4" s="1"/>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B150" i="4"/>
  <c r="K150" i="4" s="1"/>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AN131" i="7"/>
  <c r="T132" i="7"/>
  <c r="W132" i="7"/>
  <c r="AQ131" i="7"/>
  <c r="E104" i="11"/>
  <c r="C131" i="7"/>
  <c r="Y134" i="7"/>
  <c r="AS133" i="7"/>
  <c r="V132" i="7"/>
  <c r="AP131" i="7"/>
  <c r="AR165" i="7"/>
  <c r="M132" i="7"/>
  <c r="AE131" i="7"/>
  <c r="J132" i="7"/>
  <c r="AB131" i="7"/>
  <c r="H132" i="7"/>
  <c r="Z131" i="7"/>
  <c r="G103" i="16"/>
  <c r="BB102" i="18" l="1"/>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D130" i="17" l="1"/>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L20" i="23"/>
  <c r="P112" i="6"/>
  <c r="T112" i="6" s="1"/>
  <c r="AM43" i="6" s="1"/>
  <c r="Y20" i="23"/>
  <c r="P98" i="6"/>
  <c r="T98" i="6" s="1"/>
  <c r="AM29" i="6" s="1"/>
  <c r="K20" i="23"/>
  <c r="T99" i="6"/>
  <c r="AM30" i="6" s="1"/>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<sst xmlns="http://schemas.openxmlformats.org/spreadsheetml/2006/main" count="3697" uniqueCount="827">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</sst>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medium">
        <color indexed="64"/>
      </left>
      <right style="thin">
        <color rgb="FFB2B2B2"/>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1">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8" fontId="0" fillId="18" borderId="6" xfId="0" applyNumberFormat="1" applyFill="1" applyBorder="1"/>
    <xf numFmtId="177" fontId="0" fillId="25" borderId="76" xfId="6" applyNumberFormat="1" applyFont="1" applyBorder="1"/>
    <xf numFmtId="178" fontId="21" fillId="25" borderId="70" xfId="6" applyNumberFormat="1" applyFont="1" applyBorder="1"/>
    <xf numFmtId="177" fontId="0" fillId="25" borderId="77" xfId="6" applyNumberFormat="1" applyFont="1" applyBorder="1"/>
    <xf numFmtId="177" fontId="0" fillId="25" borderId="78" xfId="6" applyNumberFormat="1" applyFont="1" applyBorder="1"/>
    <xf numFmtId="178" fontId="21" fillId="25" borderId="78" xfId="6" applyNumberFormat="1" applyFont="1" applyBorder="1"/>
    <xf numFmtId="177" fontId="0" fillId="25" borderId="79" xfId="6" applyNumberFormat="1" applyFont="1" applyBorder="1"/>
    <xf numFmtId="0" fontId="23" fillId="18" borderId="1" xfId="0" applyFont="1" applyFill="1" applyBorder="1"/>
    <xf numFmtId="178" fontId="0" fillId="18" borderId="1" xfId="0" applyNumberForma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9" fontId="0" fillId="0" borderId="0" xfId="1" applyFont="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xf numFmtId="0" fontId="23" fillId="18" borderId="56" xfId="0" applyFont="1" applyFill="1" applyBorder="1"/>
    <xf numFmtId="9" fontId="23" fillId="18" borderId="43" xfId="0" applyNumberFormat="1" applyFont="1" applyFill="1" applyBorder="1"/>
    <xf numFmtId="43" fontId="21" fillId="18" borderId="0" xfId="0" applyNumberFormat="1" applyFont="1" applyFill="1" applyBorder="1"/>
    <xf numFmtId="178" fontId="0" fillId="18" borderId="80" xfId="0" applyNumberFormat="1" applyFill="1" applyBorder="1"/>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16398.341422829781</c:v>
                </c:pt>
                <c:pt idx="11">
                  <c:v>15962.79088822662</c:v>
                </c:pt>
                <c:pt idx="12">
                  <c:v>15515.517868713492</c:v>
                </c:pt>
                <c:pt idx="13">
                  <c:v>15060.701483520832</c:v>
                </c:pt>
                <c:pt idx="14">
                  <c:v>14603.065162606079</c:v>
                </c:pt>
                <c:pt idx="15">
                  <c:v>14142.283351824355</c:v>
                </c:pt>
                <c:pt idx="16">
                  <c:v>13680.530571086229</c:v>
                </c:pt>
                <c:pt idx="17">
                  <c:v>13227.955203882462</c:v>
                </c:pt>
                <c:pt idx="18">
                  <c:v>12784.470985008304</c:v>
                </c:pt>
                <c:pt idx="19">
                  <c:v>12355.565213112624</c:v>
                </c:pt>
                <c:pt idx="20">
                  <c:v>11940.757099467888</c:v>
                </c:pt>
                <c:pt idx="21">
                  <c:v>11539.58508868792</c:v>
                </c:pt>
                <c:pt idx="22">
                  <c:v>11151.712444697685</c:v>
                </c:pt>
                <c:pt idx="23">
                  <c:v>10776.32450324162</c:v>
                </c:pt>
                <c:pt idx="24">
                  <c:v>10412.647640204028</c:v>
                </c:pt>
                <c:pt idx="25">
                  <c:v>10059.948088746385</c:v>
                </c:pt>
                <c:pt idx="26">
                  <c:v>9727.1701950897732</c:v>
                </c:pt>
                <c:pt idx="27">
                  <c:v>9430.9995350466907</c:v>
                </c:pt>
                <c:pt idx="28">
                  <c:v>9158.4607922857031</c:v>
                </c:pt>
                <c:pt idx="29">
                  <c:v>8905.1974219444892</c:v>
                </c:pt>
                <c:pt idx="30">
                  <c:v>8670.6072032111551</c:v>
                </c:pt>
                <c:pt idx="31">
                  <c:v>8454.0982031073381</c:v>
                </c:pt>
                <c:pt idx="32">
                  <c:v>8242.2012346526135</c:v>
                </c:pt>
                <c:pt idx="33">
                  <c:v>8034.73650684528</c:v>
                </c:pt>
                <c:pt idx="34">
                  <c:v>7831.6263204887573</c:v>
                </c:pt>
                <c:pt idx="35">
                  <c:v>7632.7952960566872</c:v>
                </c:pt>
                <c:pt idx="36">
                  <c:v>7438.1867075126047</c:v>
                </c:pt>
                <c:pt idx="37">
                  <c:v>7246.560818118116</c:v>
                </c:pt>
                <c:pt idx="38">
                  <c:v>7057.5939863435706</c:v>
                </c:pt>
                <c:pt idx="39">
                  <c:v>6877.1859890143769</c:v>
                </c:pt>
                <c:pt idx="40">
                  <c:v>6705.1518721867369</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865.39064549148964</c:v>
                </c:pt>
                <c:pt idx="10">
                  <c:v>899.66541432358542</c:v>
                </c:pt>
                <c:pt idx="11">
                  <c:v>954.23515387994178</c:v>
                </c:pt>
                <c:pt idx="12">
                  <c:v>1007.5663271298209</c:v>
                </c:pt>
                <c:pt idx="13">
                  <c:v>1066.9192862843956</c:v>
                </c:pt>
                <c:pt idx="14">
                  <c:v>1126.8796281696516</c:v>
                </c:pt>
                <c:pt idx="15">
                  <c:v>1186.3131062798866</c:v>
                </c:pt>
                <c:pt idx="16">
                  <c:v>1246.4219144383717</c:v>
                </c:pt>
                <c:pt idx="17">
                  <c:v>1306.5096943132057</c:v>
                </c:pt>
                <c:pt idx="18">
                  <c:v>1310.3365970855189</c:v>
                </c:pt>
                <c:pt idx="19">
                  <c:v>1314.4591045707423</c:v>
                </c:pt>
                <c:pt idx="20">
                  <c:v>1319.4291027065085</c:v>
                </c:pt>
                <c:pt idx="21">
                  <c:v>1326.3452261709829</c:v>
                </c:pt>
                <c:pt idx="22">
                  <c:v>1332.7424198561157</c:v>
                </c:pt>
                <c:pt idx="23">
                  <c:v>1340.3145078024404</c:v>
                </c:pt>
                <c:pt idx="24">
                  <c:v>1349.8193382151721</c:v>
                </c:pt>
                <c:pt idx="25">
                  <c:v>1357.6083373733229</c:v>
                </c:pt>
                <c:pt idx="26">
                  <c:v>1365.4610409418001</c:v>
                </c:pt>
                <c:pt idx="27">
                  <c:v>1374.8998096705436</c:v>
                </c:pt>
                <c:pt idx="28">
                  <c:v>1384.9484087096478</c:v>
                </c:pt>
                <c:pt idx="29">
                  <c:v>1395.6185629929073</c:v>
                </c:pt>
                <c:pt idx="30">
                  <c:v>1406.7654980149885</c:v>
                </c:pt>
                <c:pt idx="31">
                  <c:v>1418.2854075702865</c:v>
                </c:pt>
                <c:pt idx="32">
                  <c:v>1429.0954907760279</c:v>
                </c:pt>
                <c:pt idx="33">
                  <c:v>1440.1345194474702</c:v>
                </c:pt>
                <c:pt idx="34">
                  <c:v>1451.4144978793331</c:v>
                </c:pt>
                <c:pt idx="35">
                  <c:v>1463.2093407523075</c:v>
                </c:pt>
                <c:pt idx="36">
                  <c:v>1475.3121068246303</c:v>
                </c:pt>
                <c:pt idx="37">
                  <c:v>1482.7497744154896</c:v>
                </c:pt>
                <c:pt idx="38">
                  <c:v>1489.4972787265215</c:v>
                </c:pt>
                <c:pt idx="39">
                  <c:v>1496.687464809648</c:v>
                </c:pt>
                <c:pt idx="40">
                  <c:v>1503.3954147904467</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289.24978837231055</c:v>
                </c:pt>
                <c:pt idx="12">
                  <c:v>281.776803826498</c:v>
                </c:pt>
                <c:pt idx="13">
                  <c:v>274.55461538850153</c:v>
                </c:pt>
                <c:pt idx="14">
                  <c:v>267.56397765553447</c:v>
                </c:pt>
                <c:pt idx="15">
                  <c:v>260.8051206160838</c:v>
                </c:pt>
                <c:pt idx="16">
                  <c:v>254.27830058753318</c:v>
                </c:pt>
                <c:pt idx="17">
                  <c:v>247.98384348286535</c:v>
                </c:pt>
                <c:pt idx="18">
                  <c:v>234.39254784689018</c:v>
                </c:pt>
                <c:pt idx="19">
                  <c:v>221.57241000046861</c:v>
                </c:pt>
                <c:pt idx="20">
                  <c:v>209.47755678987514</c:v>
                </c:pt>
                <c:pt idx="21">
                  <c:v>199.02110317976945</c:v>
                </c:pt>
                <c:pt idx="22">
                  <c:v>188.64001701316582</c:v>
                </c:pt>
                <c:pt idx="23">
                  <c:v>178.33017987610003</c:v>
                </c:pt>
                <c:pt idx="24">
                  <c:v>168.08670394204978</c:v>
                </c:pt>
                <c:pt idx="25">
                  <c:v>157.90603961229394</c:v>
                </c:pt>
                <c:pt idx="26">
                  <c:v>147.784791262574</c:v>
                </c:pt>
                <c:pt idx="27">
                  <c:v>144.19236264300267</c:v>
                </c:pt>
                <c:pt idx="28">
                  <c:v>137.73306839778371</c:v>
                </c:pt>
                <c:pt idx="29">
                  <c:v>131.30982150432391</c:v>
                </c:pt>
                <c:pt idx="30">
                  <c:v>124.92078697606357</c:v>
                </c:pt>
                <c:pt idx="31">
                  <c:v>118.56420080653979</c:v>
                </c:pt>
                <c:pt idx="32">
                  <c:v>112.23836556612618</c:v>
                </c:pt>
                <c:pt idx="33">
                  <c:v>105.94164625624583</c:v>
                </c:pt>
                <c:pt idx="34">
                  <c:v>99.672444593715014</c:v>
                </c:pt>
                <c:pt idx="35">
                  <c:v>93.429243464641587</c:v>
                </c:pt>
                <c:pt idx="36">
                  <c:v>87.210576917220379</c:v>
                </c:pt>
                <c:pt idx="37">
                  <c:v>81.01502688080474</c:v>
                </c:pt>
                <c:pt idx="38">
                  <c:v>80.909427087737839</c:v>
                </c:pt>
                <c:pt idx="39">
                  <c:v>80.809261722071639</c:v>
                </c:pt>
                <c:pt idx="40">
                  <c:v>80.714423465488096</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4002.3329524499013</c:v>
                </c:pt>
                <c:pt idx="12">
                  <c:v>4085.8745387108802</c:v>
                </c:pt>
                <c:pt idx="13">
                  <c:v>4167.0334756114726</c:v>
                </c:pt>
                <c:pt idx="14">
                  <c:v>4248.1135693425285</c:v>
                </c:pt>
                <c:pt idx="15">
                  <c:v>4329.0524787588065</c:v>
                </c:pt>
                <c:pt idx="16">
                  <c:v>4409.7869588197709</c:v>
                </c:pt>
                <c:pt idx="17">
                  <c:v>4490.2529386254319</c:v>
                </c:pt>
                <c:pt idx="18">
                  <c:v>4570.3856022041573</c:v>
                </c:pt>
                <c:pt idx="19">
                  <c:v>4650.4470236682446</c:v>
                </c:pt>
                <c:pt idx="20">
                  <c:v>4730.388167754305</c:v>
                </c:pt>
                <c:pt idx="21">
                  <c:v>4810.159376787461</c:v>
                </c:pt>
                <c:pt idx="22">
                  <c:v>4889.7104196215369</c:v>
                </c:pt>
                <c:pt idx="23">
                  <c:v>4968.9905420842369</c:v>
                </c:pt>
                <c:pt idx="24">
                  <c:v>5048.0477094207636</c:v>
                </c:pt>
                <c:pt idx="25">
                  <c:v>5126.8349673010889</c:v>
                </c:pt>
                <c:pt idx="26">
                  <c:v>5205.3049573728886</c:v>
                </c:pt>
                <c:pt idx="27">
                  <c:v>5283.4099631601484</c:v>
                </c:pt>
                <c:pt idx="28">
                  <c:v>5361.1019570060716</c:v>
                </c:pt>
                <c:pt idx="29">
                  <c:v>5438.4437695941551</c:v>
                </c:pt>
                <c:pt idx="30">
                  <c:v>5515.3916574359127</c:v>
                </c:pt>
                <c:pt idx="31">
                  <c:v>5591.9016541634264</c:v>
                </c:pt>
                <c:pt idx="32">
                  <c:v>5667.9296114605459</c:v>
                </c:pt>
                <c:pt idx="33">
                  <c:v>5743.43124066363</c:v>
                </c:pt>
                <c:pt idx="34">
                  <c:v>5818.3669408756659</c:v>
                </c:pt>
                <c:pt idx="35">
                  <c:v>5892.6924554832403</c:v>
                </c:pt>
                <c:pt idx="36">
                  <c:v>5966.363512668313</c:v>
                </c:pt>
                <c:pt idx="37">
                  <c:v>6039.3358687702357</c:v>
                </c:pt>
                <c:pt idx="38">
                  <c:v>6111.5653520357046</c:v>
                </c:pt>
                <c:pt idx="39">
                  <c:v>6182.9912914083579</c:v>
                </c:pt>
                <c:pt idx="40">
                  <c:v>6253.5692148873932</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16398.341422829781</c:v>
                </c:pt>
                <c:pt idx="11">
                  <c:v>15962.79088822662</c:v>
                </c:pt>
                <c:pt idx="12">
                  <c:v>15515.517868713492</c:v>
                </c:pt>
                <c:pt idx="13">
                  <c:v>15060.701483520832</c:v>
                </c:pt>
                <c:pt idx="14">
                  <c:v>14603.065162606079</c:v>
                </c:pt>
                <c:pt idx="15">
                  <c:v>14142.283351824355</c:v>
                </c:pt>
                <c:pt idx="16">
                  <c:v>13680.530571086229</c:v>
                </c:pt>
                <c:pt idx="17">
                  <c:v>13227.955203882462</c:v>
                </c:pt>
                <c:pt idx="18">
                  <c:v>12784.470985008304</c:v>
                </c:pt>
                <c:pt idx="19">
                  <c:v>12355.565213112624</c:v>
                </c:pt>
                <c:pt idx="20">
                  <c:v>11940.757099467888</c:v>
                </c:pt>
                <c:pt idx="21">
                  <c:v>11539.58508868792</c:v>
                </c:pt>
                <c:pt idx="22">
                  <c:v>11151.712444697685</c:v>
                </c:pt>
                <c:pt idx="23">
                  <c:v>10776.32450324162</c:v>
                </c:pt>
                <c:pt idx="24">
                  <c:v>10412.647640204028</c:v>
                </c:pt>
                <c:pt idx="25">
                  <c:v>10059.948088746385</c:v>
                </c:pt>
                <c:pt idx="26">
                  <c:v>9727.1701950897732</c:v>
                </c:pt>
                <c:pt idx="27">
                  <c:v>9430.9995350466907</c:v>
                </c:pt>
                <c:pt idx="28">
                  <c:v>9158.4607922857031</c:v>
                </c:pt>
                <c:pt idx="29">
                  <c:v>8905.1974219444892</c:v>
                </c:pt>
                <c:pt idx="30">
                  <c:v>8670.6072032111551</c:v>
                </c:pt>
                <c:pt idx="31">
                  <c:v>8454.0982031073381</c:v>
                </c:pt>
                <c:pt idx="32">
                  <c:v>8242.2012346526135</c:v>
                </c:pt>
                <c:pt idx="33">
                  <c:v>8034.73650684528</c:v>
                </c:pt>
                <c:pt idx="34">
                  <c:v>7831.6263204887573</c:v>
                </c:pt>
                <c:pt idx="35">
                  <c:v>7632.7952960566872</c:v>
                </c:pt>
                <c:pt idx="36">
                  <c:v>7438.1867075126047</c:v>
                </c:pt>
                <c:pt idx="37">
                  <c:v>7246.560818118116</c:v>
                </c:pt>
                <c:pt idx="38">
                  <c:v>7057.5939863435706</c:v>
                </c:pt>
                <c:pt idx="39">
                  <c:v>6877.1859890143769</c:v>
                </c:pt>
                <c:pt idx="40">
                  <c:v>6705.1518721867369</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865.39064549148964</c:v>
                </c:pt>
                <c:pt idx="10">
                  <c:v>899.66541432358542</c:v>
                </c:pt>
                <c:pt idx="11">
                  <c:v>954.23515387994178</c:v>
                </c:pt>
                <c:pt idx="12">
                  <c:v>1007.5663271298209</c:v>
                </c:pt>
                <c:pt idx="13">
                  <c:v>1066.9192862843956</c:v>
                </c:pt>
                <c:pt idx="14">
                  <c:v>1126.8796281696516</c:v>
                </c:pt>
                <c:pt idx="15">
                  <c:v>1186.3131062798866</c:v>
                </c:pt>
                <c:pt idx="16">
                  <c:v>1246.4219144383717</c:v>
                </c:pt>
                <c:pt idx="17">
                  <c:v>1306.5096943132057</c:v>
                </c:pt>
                <c:pt idx="18">
                  <c:v>1310.3365970855189</c:v>
                </c:pt>
                <c:pt idx="19">
                  <c:v>1314.4591045707423</c:v>
                </c:pt>
                <c:pt idx="20">
                  <c:v>1319.4291027065085</c:v>
                </c:pt>
                <c:pt idx="21">
                  <c:v>1326.3452261709829</c:v>
                </c:pt>
                <c:pt idx="22">
                  <c:v>1332.7424198561157</c:v>
                </c:pt>
                <c:pt idx="23">
                  <c:v>1340.3145078024404</c:v>
                </c:pt>
                <c:pt idx="24">
                  <c:v>1349.8193382151721</c:v>
                </c:pt>
                <c:pt idx="25">
                  <c:v>1357.6083373733229</c:v>
                </c:pt>
                <c:pt idx="26">
                  <c:v>1365.4610409418001</c:v>
                </c:pt>
                <c:pt idx="27">
                  <c:v>1374.8998096705436</c:v>
                </c:pt>
                <c:pt idx="28">
                  <c:v>1384.9484087096478</c:v>
                </c:pt>
                <c:pt idx="29">
                  <c:v>1395.6185629929073</c:v>
                </c:pt>
                <c:pt idx="30">
                  <c:v>1406.7654980149885</c:v>
                </c:pt>
                <c:pt idx="31">
                  <c:v>1418.2854075702865</c:v>
                </c:pt>
                <c:pt idx="32">
                  <c:v>1429.0954907760279</c:v>
                </c:pt>
                <c:pt idx="33">
                  <c:v>1440.1345194474702</c:v>
                </c:pt>
                <c:pt idx="34">
                  <c:v>1451.4144978793331</c:v>
                </c:pt>
                <c:pt idx="35">
                  <c:v>1463.2093407523075</c:v>
                </c:pt>
                <c:pt idx="36">
                  <c:v>1475.3121068246303</c:v>
                </c:pt>
                <c:pt idx="37">
                  <c:v>1482.7497744154896</c:v>
                </c:pt>
                <c:pt idx="38">
                  <c:v>1489.4972787265215</c:v>
                </c:pt>
                <c:pt idx="39">
                  <c:v>1496.687464809648</c:v>
                </c:pt>
                <c:pt idx="40">
                  <c:v>1503.3954147904467</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289.24978837231055</c:v>
                </c:pt>
                <c:pt idx="12">
                  <c:v>281.776803826498</c:v>
                </c:pt>
                <c:pt idx="13">
                  <c:v>274.55461538850153</c:v>
                </c:pt>
                <c:pt idx="14">
                  <c:v>267.56397765553447</c:v>
                </c:pt>
                <c:pt idx="15">
                  <c:v>260.8051206160838</c:v>
                </c:pt>
                <c:pt idx="16">
                  <c:v>254.27830058753318</c:v>
                </c:pt>
                <c:pt idx="17">
                  <c:v>247.98384348286535</c:v>
                </c:pt>
                <c:pt idx="18">
                  <c:v>234.39254784689018</c:v>
                </c:pt>
                <c:pt idx="19">
                  <c:v>221.57241000046861</c:v>
                </c:pt>
                <c:pt idx="20">
                  <c:v>209.47755678987514</c:v>
                </c:pt>
                <c:pt idx="21">
                  <c:v>199.02110317976945</c:v>
                </c:pt>
                <c:pt idx="22">
                  <c:v>188.64001701316582</c:v>
                </c:pt>
                <c:pt idx="23">
                  <c:v>178.33017987610003</c:v>
                </c:pt>
                <c:pt idx="24">
                  <c:v>168.08670394204978</c:v>
                </c:pt>
                <c:pt idx="25">
                  <c:v>157.90603961229394</c:v>
                </c:pt>
                <c:pt idx="26">
                  <c:v>147.784791262574</c:v>
                </c:pt>
                <c:pt idx="27">
                  <c:v>144.19236264300267</c:v>
                </c:pt>
                <c:pt idx="28">
                  <c:v>137.73306839778371</c:v>
                </c:pt>
                <c:pt idx="29">
                  <c:v>131.30982150432391</c:v>
                </c:pt>
                <c:pt idx="30">
                  <c:v>124.92078697606357</c:v>
                </c:pt>
                <c:pt idx="31">
                  <c:v>118.56420080653979</c:v>
                </c:pt>
                <c:pt idx="32">
                  <c:v>112.23836556612618</c:v>
                </c:pt>
                <c:pt idx="33">
                  <c:v>105.94164625624583</c:v>
                </c:pt>
                <c:pt idx="34">
                  <c:v>99.672444593715014</c:v>
                </c:pt>
                <c:pt idx="35">
                  <c:v>93.429243464641587</c:v>
                </c:pt>
                <c:pt idx="36">
                  <c:v>87.210576917220379</c:v>
                </c:pt>
                <c:pt idx="37">
                  <c:v>81.01502688080474</c:v>
                </c:pt>
                <c:pt idx="38">
                  <c:v>80.909427087737839</c:v>
                </c:pt>
                <c:pt idx="39">
                  <c:v>80.809261722071639</c:v>
                </c:pt>
                <c:pt idx="40">
                  <c:v>80.714423465488096</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4002.3329524499013</c:v>
                </c:pt>
                <c:pt idx="12">
                  <c:v>4085.8745387108802</c:v>
                </c:pt>
                <c:pt idx="13">
                  <c:v>4167.0334756114726</c:v>
                </c:pt>
                <c:pt idx="14">
                  <c:v>4248.1135693425285</c:v>
                </c:pt>
                <c:pt idx="15">
                  <c:v>4329.0524787588065</c:v>
                </c:pt>
                <c:pt idx="16">
                  <c:v>4409.7869588197709</c:v>
                </c:pt>
                <c:pt idx="17">
                  <c:v>4490.2529386254319</c:v>
                </c:pt>
                <c:pt idx="18">
                  <c:v>4570.3856022041573</c:v>
                </c:pt>
                <c:pt idx="19">
                  <c:v>4650.4470236682446</c:v>
                </c:pt>
                <c:pt idx="20">
                  <c:v>4730.388167754305</c:v>
                </c:pt>
                <c:pt idx="21">
                  <c:v>4810.159376787461</c:v>
                </c:pt>
                <c:pt idx="22">
                  <c:v>4889.7104196215369</c:v>
                </c:pt>
                <c:pt idx="23">
                  <c:v>4968.9905420842369</c:v>
                </c:pt>
                <c:pt idx="24">
                  <c:v>5048.0477094207636</c:v>
                </c:pt>
                <c:pt idx="25">
                  <c:v>5126.8349673010889</c:v>
                </c:pt>
                <c:pt idx="26">
                  <c:v>5205.3049573728886</c:v>
                </c:pt>
                <c:pt idx="27">
                  <c:v>5283.4099631601484</c:v>
                </c:pt>
                <c:pt idx="28">
                  <c:v>5361.1019570060716</c:v>
                </c:pt>
                <c:pt idx="29">
                  <c:v>5438.4437695941551</c:v>
                </c:pt>
                <c:pt idx="30">
                  <c:v>5515.3916574359127</c:v>
                </c:pt>
                <c:pt idx="31">
                  <c:v>5591.9016541634264</c:v>
                </c:pt>
                <c:pt idx="32">
                  <c:v>5667.9296114605459</c:v>
                </c:pt>
                <c:pt idx="33">
                  <c:v>5743.43124066363</c:v>
                </c:pt>
                <c:pt idx="34">
                  <c:v>5818.3669408756659</c:v>
                </c:pt>
                <c:pt idx="35">
                  <c:v>5892.6924554832403</c:v>
                </c:pt>
                <c:pt idx="36">
                  <c:v>5966.363512668313</c:v>
                </c:pt>
                <c:pt idx="37">
                  <c:v>6039.3358687702357</c:v>
                </c:pt>
                <c:pt idx="38">
                  <c:v>6111.5653520357046</c:v>
                </c:pt>
                <c:pt idx="39">
                  <c:v>6182.9912914083579</c:v>
                </c:pt>
                <c:pt idx="40">
                  <c:v>6253.5692148873932</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16420.907446437795</c:v>
                </c:pt>
                <c:pt idx="11">
                  <c:v>15976.365004343457</c:v>
                </c:pt>
                <c:pt idx="12">
                  <c:v>15432.679579352196</c:v>
                </c:pt>
                <c:pt idx="13">
                  <c:v>14853.485704425235</c:v>
                </c:pt>
                <c:pt idx="14">
                  <c:v>14297.876159242265</c:v>
                </c:pt>
                <c:pt idx="15">
                  <c:v>13764.136089130836</c:v>
                </c:pt>
                <c:pt idx="16">
                  <c:v>13250.626165561554</c:v>
                </c:pt>
                <c:pt idx="17">
                  <c:v>12755.778740515572</c:v>
                </c:pt>
                <c:pt idx="18">
                  <c:v>12278.094163634238</c:v>
                </c:pt>
                <c:pt idx="19">
                  <c:v>11816.137253486339</c:v>
                </c:pt>
                <c:pt idx="20">
                  <c:v>11368.536891380179</c:v>
                </c:pt>
                <c:pt idx="21">
                  <c:v>10933.979195458431</c:v>
                </c:pt>
                <c:pt idx="22">
                  <c:v>10508.624190509272</c:v>
                </c:pt>
                <c:pt idx="23">
                  <c:v>10091.963178636255</c:v>
                </c:pt>
                <c:pt idx="24">
                  <c:v>9695.8632881903195</c:v>
                </c:pt>
                <c:pt idx="25">
                  <c:v>9319.3139553218389</c:v>
                </c:pt>
                <c:pt idx="26">
                  <c:v>8961.3539772741005</c:v>
                </c:pt>
                <c:pt idx="27">
                  <c:v>8621.069098042346</c:v>
                </c:pt>
                <c:pt idx="28">
                  <c:v>8305.2994269871124</c:v>
                </c:pt>
                <c:pt idx="29">
                  <c:v>8015.4949700403431</c:v>
                </c:pt>
                <c:pt idx="30">
                  <c:v>7750.6970436965184</c:v>
                </c:pt>
                <c:pt idx="31">
                  <c:v>7509.9829728743662</c:v>
                </c:pt>
                <c:pt idx="32">
                  <c:v>7284.4456043925375</c:v>
                </c:pt>
                <c:pt idx="33">
                  <c:v>7073.339078827742</c:v>
                </c:pt>
                <c:pt idx="34">
                  <c:v>6875.9983539882787</c:v>
                </c:pt>
                <c:pt idx="35">
                  <c:v>6691.788742027089</c:v>
                </c:pt>
                <c:pt idx="36">
                  <c:v>6520.1177527693753</c:v>
                </c:pt>
                <c:pt idx="37">
                  <c:v>6359.5346971139106</c:v>
                </c:pt>
                <c:pt idx="38">
                  <c:v>6209.2715626276931</c:v>
                </c:pt>
                <c:pt idx="39">
                  <c:v>6068.7958541393054</c:v>
                </c:pt>
                <c:pt idx="40">
                  <c:v>5937.6562167684378</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865.39064549148964</c:v>
                </c:pt>
                <c:pt idx="10">
                  <c:v>955.12514264041192</c:v>
                </c:pt>
                <c:pt idx="11">
                  <c:v>1174.3559009768687</c:v>
                </c:pt>
                <c:pt idx="12">
                  <c:v>1280.5695532880061</c:v>
                </c:pt>
                <c:pt idx="13">
                  <c:v>1285.3218672109438</c:v>
                </c:pt>
                <c:pt idx="14">
                  <c:v>1290.6815638645626</c:v>
                </c:pt>
                <c:pt idx="15">
                  <c:v>1295.5143967431607</c:v>
                </c:pt>
                <c:pt idx="16">
                  <c:v>1301.0225596700088</c:v>
                </c:pt>
                <c:pt idx="17">
                  <c:v>1306.5096943132057</c:v>
                </c:pt>
                <c:pt idx="18">
                  <c:v>1310.3365970855189</c:v>
                </c:pt>
                <c:pt idx="19">
                  <c:v>1314.4591045707423</c:v>
                </c:pt>
                <c:pt idx="20">
                  <c:v>1319.4291027065085</c:v>
                </c:pt>
                <c:pt idx="21">
                  <c:v>1326.3452261709829</c:v>
                </c:pt>
                <c:pt idx="22">
                  <c:v>1332.7424198561157</c:v>
                </c:pt>
                <c:pt idx="23">
                  <c:v>1340.3145078024404</c:v>
                </c:pt>
                <c:pt idx="24">
                  <c:v>1349.8193382151721</c:v>
                </c:pt>
                <c:pt idx="25">
                  <c:v>1357.6083373733229</c:v>
                </c:pt>
                <c:pt idx="26">
                  <c:v>1365.4610409418001</c:v>
                </c:pt>
                <c:pt idx="27">
                  <c:v>1374.8998096705436</c:v>
                </c:pt>
                <c:pt idx="28">
                  <c:v>1384.9484087096478</c:v>
                </c:pt>
                <c:pt idx="29">
                  <c:v>1395.6185629929073</c:v>
                </c:pt>
                <c:pt idx="30">
                  <c:v>1406.7654980149885</c:v>
                </c:pt>
                <c:pt idx="31">
                  <c:v>1418.2854075702865</c:v>
                </c:pt>
                <c:pt idx="32">
                  <c:v>1429.0954907760279</c:v>
                </c:pt>
                <c:pt idx="33">
                  <c:v>1440.1345194474702</c:v>
                </c:pt>
                <c:pt idx="34">
                  <c:v>1451.4144978793331</c:v>
                </c:pt>
                <c:pt idx="35">
                  <c:v>1463.2093407523075</c:v>
                </c:pt>
                <c:pt idx="36">
                  <c:v>1475.3121068246303</c:v>
                </c:pt>
                <c:pt idx="37">
                  <c:v>1482.7497744154896</c:v>
                </c:pt>
                <c:pt idx="38">
                  <c:v>1489.4972787265215</c:v>
                </c:pt>
                <c:pt idx="39">
                  <c:v>1496.687464809648</c:v>
                </c:pt>
                <c:pt idx="40">
                  <c:v>1503.3954147904467</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275.2327175244078</c:v>
                </c:pt>
                <c:pt idx="12">
                  <c:v>228.95681389831122</c:v>
                </c:pt>
                <c:pt idx="13">
                  <c:v>217.14047397394438</c:v>
                </c:pt>
                <c:pt idx="14">
                  <c:v>205.14518471133582</c:v>
                </c:pt>
                <c:pt idx="15">
                  <c:v>192.95911617366457</c:v>
                </c:pt>
                <c:pt idx="16">
                  <c:v>180.57005873976388</c:v>
                </c:pt>
                <c:pt idx="17">
                  <c:v>167.96537924386851</c:v>
                </c:pt>
                <c:pt idx="18">
                  <c:v>155.13197458331362</c:v>
                </c:pt>
                <c:pt idx="19">
                  <c:v>142.05263607984509</c:v>
                </c:pt>
                <c:pt idx="20">
                  <c:v>128.71416320847482</c:v>
                </c:pt>
                <c:pt idx="21">
                  <c:v>113.4996328826917</c:v>
                </c:pt>
                <c:pt idx="22">
                  <c:v>98.393527507064306</c:v>
                </c:pt>
                <c:pt idx="23">
                  <c:v>98.104991079531615</c:v>
                </c:pt>
                <c:pt idx="24">
                  <c:v>97.828606570665116</c:v>
                </c:pt>
                <c:pt idx="25">
                  <c:v>97.563968744338396</c:v>
                </c:pt>
                <c:pt idx="26">
                  <c:v>97.310695502582462</c:v>
                </c:pt>
                <c:pt idx="27">
                  <c:v>97.068426554933581</c:v>
                </c:pt>
                <c:pt idx="28">
                  <c:v>96.836822188893308</c:v>
                </c:pt>
                <c:pt idx="29">
                  <c:v>96.614918520904467</c:v>
                </c:pt>
                <c:pt idx="30">
                  <c:v>96.402434791856422</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16420.907446437795</c:v>
                </c:pt>
                <c:pt idx="11">
                  <c:v>15976.365004343457</c:v>
                </c:pt>
                <c:pt idx="12">
                  <c:v>15432.679579352196</c:v>
                </c:pt>
                <c:pt idx="13">
                  <c:v>14853.485704425235</c:v>
                </c:pt>
                <c:pt idx="14">
                  <c:v>14297.876159242265</c:v>
                </c:pt>
                <c:pt idx="15">
                  <c:v>13764.136089130836</c:v>
                </c:pt>
                <c:pt idx="16">
                  <c:v>13250.626165561554</c:v>
                </c:pt>
                <c:pt idx="17">
                  <c:v>12755.778740515572</c:v>
                </c:pt>
                <c:pt idx="18">
                  <c:v>12278.094163634238</c:v>
                </c:pt>
                <c:pt idx="19">
                  <c:v>11816.137253486339</c:v>
                </c:pt>
                <c:pt idx="20">
                  <c:v>11368.536891380179</c:v>
                </c:pt>
                <c:pt idx="21">
                  <c:v>10933.979195458431</c:v>
                </c:pt>
                <c:pt idx="22">
                  <c:v>10508.624190509272</c:v>
                </c:pt>
                <c:pt idx="23">
                  <c:v>10091.963178636255</c:v>
                </c:pt>
                <c:pt idx="24">
                  <c:v>9695.8632881903195</c:v>
                </c:pt>
                <c:pt idx="25">
                  <c:v>9319.3139553218389</c:v>
                </c:pt>
                <c:pt idx="26">
                  <c:v>8961.3539772741005</c:v>
                </c:pt>
                <c:pt idx="27">
                  <c:v>8621.069098042346</c:v>
                </c:pt>
                <c:pt idx="28">
                  <c:v>8305.2994269871124</c:v>
                </c:pt>
                <c:pt idx="29">
                  <c:v>8015.4949700403431</c:v>
                </c:pt>
                <c:pt idx="30">
                  <c:v>7750.6970436965184</c:v>
                </c:pt>
                <c:pt idx="31">
                  <c:v>7509.9829728743662</c:v>
                </c:pt>
                <c:pt idx="32">
                  <c:v>7284.4456043925375</c:v>
                </c:pt>
                <c:pt idx="33">
                  <c:v>7073.339078827742</c:v>
                </c:pt>
                <c:pt idx="34">
                  <c:v>6875.9983539882787</c:v>
                </c:pt>
                <c:pt idx="35">
                  <c:v>6691.788742027089</c:v>
                </c:pt>
                <c:pt idx="36">
                  <c:v>6520.1177527693753</c:v>
                </c:pt>
                <c:pt idx="37">
                  <c:v>6359.5346971139106</c:v>
                </c:pt>
                <c:pt idx="38">
                  <c:v>6209.2715626276931</c:v>
                </c:pt>
                <c:pt idx="39">
                  <c:v>6068.7958541393054</c:v>
                </c:pt>
                <c:pt idx="40">
                  <c:v>5937.6562167684378</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865.39064549148964</c:v>
                </c:pt>
                <c:pt idx="10">
                  <c:v>955.12514264041192</c:v>
                </c:pt>
                <c:pt idx="11">
                  <c:v>1174.3559009768687</c:v>
                </c:pt>
                <c:pt idx="12">
                  <c:v>1280.5695532880061</c:v>
                </c:pt>
                <c:pt idx="13">
                  <c:v>1285.3218672109438</c:v>
                </c:pt>
                <c:pt idx="14">
                  <c:v>1290.6815638645626</c:v>
                </c:pt>
                <c:pt idx="15">
                  <c:v>1295.5143967431607</c:v>
                </c:pt>
                <c:pt idx="16">
                  <c:v>1301.0225596700088</c:v>
                </c:pt>
                <c:pt idx="17">
                  <c:v>1306.5096943132057</c:v>
                </c:pt>
                <c:pt idx="18">
                  <c:v>1310.3365970855189</c:v>
                </c:pt>
                <c:pt idx="19">
                  <c:v>1314.4591045707423</c:v>
                </c:pt>
                <c:pt idx="20">
                  <c:v>1319.4291027065085</c:v>
                </c:pt>
                <c:pt idx="21">
                  <c:v>1326.3452261709829</c:v>
                </c:pt>
                <c:pt idx="22">
                  <c:v>1332.7424198561157</c:v>
                </c:pt>
                <c:pt idx="23">
                  <c:v>1340.3145078024404</c:v>
                </c:pt>
                <c:pt idx="24">
                  <c:v>1349.8193382151721</c:v>
                </c:pt>
                <c:pt idx="25">
                  <c:v>1357.6083373733229</c:v>
                </c:pt>
                <c:pt idx="26">
                  <c:v>1365.4610409418001</c:v>
                </c:pt>
                <c:pt idx="27">
                  <c:v>1374.8998096705436</c:v>
                </c:pt>
                <c:pt idx="28">
                  <c:v>1384.9484087096478</c:v>
                </c:pt>
                <c:pt idx="29">
                  <c:v>1395.6185629929073</c:v>
                </c:pt>
                <c:pt idx="30">
                  <c:v>1406.7654980149885</c:v>
                </c:pt>
                <c:pt idx="31">
                  <c:v>1418.2854075702865</c:v>
                </c:pt>
                <c:pt idx="32">
                  <c:v>1429.0954907760279</c:v>
                </c:pt>
                <c:pt idx="33">
                  <c:v>1440.1345194474702</c:v>
                </c:pt>
                <c:pt idx="34">
                  <c:v>1451.4144978793331</c:v>
                </c:pt>
                <c:pt idx="35">
                  <c:v>1463.2093407523075</c:v>
                </c:pt>
                <c:pt idx="36">
                  <c:v>1475.3121068246303</c:v>
                </c:pt>
                <c:pt idx="37">
                  <c:v>1482.7497744154896</c:v>
                </c:pt>
                <c:pt idx="38">
                  <c:v>1489.4972787265215</c:v>
                </c:pt>
                <c:pt idx="39">
                  <c:v>1496.687464809648</c:v>
                </c:pt>
                <c:pt idx="40">
                  <c:v>1503.3954147904467</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275.2327175244078</c:v>
                </c:pt>
                <c:pt idx="12">
                  <c:v>228.95681389831122</c:v>
                </c:pt>
                <c:pt idx="13">
                  <c:v>217.14047397394438</c:v>
                </c:pt>
                <c:pt idx="14">
                  <c:v>205.14518471133582</c:v>
                </c:pt>
                <c:pt idx="15">
                  <c:v>192.95911617366457</c:v>
                </c:pt>
                <c:pt idx="16">
                  <c:v>180.57005873976388</c:v>
                </c:pt>
                <c:pt idx="17">
                  <c:v>167.96537924386851</c:v>
                </c:pt>
                <c:pt idx="18">
                  <c:v>155.13197458331362</c:v>
                </c:pt>
                <c:pt idx="19">
                  <c:v>142.05263607984509</c:v>
                </c:pt>
                <c:pt idx="20">
                  <c:v>128.71416320847482</c:v>
                </c:pt>
                <c:pt idx="21">
                  <c:v>113.4996328826917</c:v>
                </c:pt>
                <c:pt idx="22">
                  <c:v>98.393527507064306</c:v>
                </c:pt>
                <c:pt idx="23">
                  <c:v>98.104991079531615</c:v>
                </c:pt>
                <c:pt idx="24">
                  <c:v>97.828606570665116</c:v>
                </c:pt>
                <c:pt idx="25">
                  <c:v>97.563968744338396</c:v>
                </c:pt>
                <c:pt idx="26">
                  <c:v>97.310695502582462</c:v>
                </c:pt>
                <c:pt idx="27">
                  <c:v>97.068426554933581</c:v>
                </c:pt>
                <c:pt idx="28">
                  <c:v>96.836822188893308</c:v>
                </c:pt>
                <c:pt idx="29">
                  <c:v>96.614918520904467</c:v>
                </c:pt>
                <c:pt idx="30">
                  <c:v>96.402434791856422</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16420.92998923947</c:v>
                </c:pt>
                <c:pt idx="11">
                  <c:v>15976.409714813279</c:v>
                </c:pt>
                <c:pt idx="12">
                  <c:v>15432.7534099518</c:v>
                </c:pt>
                <c:pt idx="13">
                  <c:v>14853.595381023115</c:v>
                </c:pt>
                <c:pt idx="14">
                  <c:v>14298.028174729483</c:v>
                </c:pt>
                <c:pt idx="15">
                  <c:v>13764.336730445008</c:v>
                </c:pt>
                <c:pt idx="16">
                  <c:v>13250.88152007624</c:v>
                </c:pt>
                <c:pt idx="17">
                  <c:v>12756.094701748469</c:v>
                </c:pt>
                <c:pt idx="18">
                  <c:v>12278.47643631915</c:v>
                </c:pt>
                <c:pt idx="19">
                  <c:v>11816.591358051961</c:v>
                </c:pt>
                <c:pt idx="20">
                  <c:v>11369.068175175595</c:v>
                </c:pt>
                <c:pt idx="21">
                  <c:v>10934.592837789467</c:v>
                </c:pt>
                <c:pt idx="22">
                  <c:v>10509.316413586839</c:v>
                </c:pt>
                <c:pt idx="23">
                  <c:v>10092.730403828034</c:v>
                </c:pt>
                <c:pt idx="24">
                  <c:v>9696.702123711857</c:v>
                </c:pt>
                <c:pt idx="25">
                  <c:v>9320.2211869588482</c:v>
                </c:pt>
                <c:pt idx="26">
                  <c:v>8962.3265574088164</c:v>
                </c:pt>
                <c:pt idx="27">
                  <c:v>8622.1041353285764</c:v>
                </c:pt>
                <c:pt idx="28">
                  <c:v>8306.3941766368698</c:v>
                </c:pt>
                <c:pt idx="29">
                  <c:v>8016.6468246871309</c:v>
                </c:pt>
                <c:pt idx="30">
                  <c:v>7751.9035272891842</c:v>
                </c:pt>
                <c:pt idx="31">
                  <c:v>7511.2417325038277</c:v>
                </c:pt>
                <c:pt idx="32">
                  <c:v>7285.754402604708</c:v>
                </c:pt>
                <c:pt idx="33">
                  <c:v>7074.6957863948555</c:v>
                </c:pt>
                <c:pt idx="34">
                  <c:v>6877.4009431124396</c:v>
                </c:pt>
                <c:pt idx="35">
                  <c:v>6693.2352800547296</c:v>
                </c:pt>
                <c:pt idx="36">
                  <c:v>6521.6063961825284</c:v>
                </c:pt>
                <c:pt idx="37">
                  <c:v>6361.0636858840517</c:v>
                </c:pt>
                <c:pt idx="38">
                  <c:v>6210.8392149115462</c:v>
                </c:pt>
                <c:pt idx="39">
                  <c:v>6070.4005612971432</c:v>
                </c:pt>
                <c:pt idx="40">
                  <c:v>5939.2964383400131</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732.13861170648022</c:v>
                </c:pt>
                <c:pt idx="10">
                  <c:v>733.17169299224111</c:v>
                </c:pt>
                <c:pt idx="11">
                  <c:v>808.03387153941321</c:v>
                </c:pt>
                <c:pt idx="12">
                  <c:v>777.71695000020338</c:v>
                </c:pt>
                <c:pt idx="13">
                  <c:v>780.60313066887602</c:v>
                </c:pt>
                <c:pt idx="14">
                  <c:v>783.8581877047676</c:v>
                </c:pt>
                <c:pt idx="15">
                  <c:v>786.79326923669487</c:v>
                </c:pt>
                <c:pt idx="16">
                  <c:v>790.13849297762579</c:v>
                </c:pt>
                <c:pt idx="17">
                  <c:v>793.47094579753752</c:v>
                </c:pt>
                <c:pt idx="18">
                  <c:v>795.79510471915876</c:v>
                </c:pt>
                <c:pt idx="19">
                  <c:v>798.29879062948589</c:v>
                </c:pt>
                <c:pt idx="20">
                  <c:v>801.3171755205916</c:v>
                </c:pt>
                <c:pt idx="21">
                  <c:v>805.51748344826751</c:v>
                </c:pt>
                <c:pt idx="22">
                  <c:v>809.40263435521172</c:v>
                </c:pt>
                <c:pt idx="23">
                  <c:v>814.00132337419416</c:v>
                </c:pt>
                <c:pt idx="24">
                  <c:v>819.77380773467212</c:v>
                </c:pt>
                <c:pt idx="25">
                  <c:v>824.50423151624432</c:v>
                </c:pt>
                <c:pt idx="26">
                  <c:v>829.27334433237445</c:v>
                </c:pt>
                <c:pt idx="27">
                  <c:v>835.005708036187</c:v>
                </c:pt>
                <c:pt idx="28">
                  <c:v>841.10843457407907</c:v>
                </c:pt>
                <c:pt idx="29">
                  <c:v>847.58864474610846</c:v>
                </c:pt>
                <c:pt idx="30">
                  <c:v>854.35841393589146</c:v>
                </c:pt>
                <c:pt idx="31">
                  <c:v>861.35469844118882</c:v>
                </c:pt>
                <c:pt idx="32">
                  <c:v>867.91989040474232</c:v>
                </c:pt>
                <c:pt idx="33">
                  <c:v>874.62412578756516</c:v>
                </c:pt>
                <c:pt idx="34">
                  <c:v>881.47469505150832</c:v>
                </c:pt>
                <c:pt idx="35">
                  <c:v>888.6379523703697</c:v>
                </c:pt>
                <c:pt idx="36">
                  <c:v>895.98821795505842</c:v>
                </c:pt>
                <c:pt idx="37">
                  <c:v>900.50527065166989</c:v>
                </c:pt>
                <c:pt idx="38">
                  <c:v>904.60317260429349</c:v>
                </c:pt>
                <c:pt idx="39">
                  <c:v>908.96992455161626</c:v>
                </c:pt>
                <c:pt idx="40">
                  <c:v>913.04380432364883</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275.2327175244078</c:v>
                </c:pt>
                <c:pt idx="12">
                  <c:v>228.95681389831122</c:v>
                </c:pt>
                <c:pt idx="13">
                  <c:v>217.14047397394438</c:v>
                </c:pt>
                <c:pt idx="14">
                  <c:v>205.14518471133579</c:v>
                </c:pt>
                <c:pt idx="15">
                  <c:v>192.95911617366457</c:v>
                </c:pt>
                <c:pt idx="16">
                  <c:v>180.57005873976388</c:v>
                </c:pt>
                <c:pt idx="17">
                  <c:v>167.96537924386851</c:v>
                </c:pt>
                <c:pt idx="18">
                  <c:v>155.13197458331362</c:v>
                </c:pt>
                <c:pt idx="19">
                  <c:v>142.05263607984506</c:v>
                </c:pt>
                <c:pt idx="20">
                  <c:v>128.71416320847479</c:v>
                </c:pt>
                <c:pt idx="21">
                  <c:v>113.49963288269169</c:v>
                </c:pt>
                <c:pt idx="22">
                  <c:v>98.393527507064306</c:v>
                </c:pt>
                <c:pt idx="23">
                  <c:v>98.104991079531644</c:v>
                </c:pt>
                <c:pt idx="24">
                  <c:v>97.828606570665116</c:v>
                </c:pt>
                <c:pt idx="25">
                  <c:v>97.56396874433841</c:v>
                </c:pt>
                <c:pt idx="26">
                  <c:v>97.310695502582462</c:v>
                </c:pt>
                <c:pt idx="27">
                  <c:v>97.068426554933581</c:v>
                </c:pt>
                <c:pt idx="28">
                  <c:v>96.836822188893308</c:v>
                </c:pt>
                <c:pt idx="29">
                  <c:v>96.614918520904467</c:v>
                </c:pt>
                <c:pt idx="30">
                  <c:v>96.402434791856408</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16420.92998923947</c:v>
                </c:pt>
                <c:pt idx="11">
                  <c:v>15976.409714813279</c:v>
                </c:pt>
                <c:pt idx="12">
                  <c:v>15432.7534099518</c:v>
                </c:pt>
                <c:pt idx="13">
                  <c:v>14853.595381023115</c:v>
                </c:pt>
                <c:pt idx="14">
                  <c:v>14298.028174729483</c:v>
                </c:pt>
                <c:pt idx="15">
                  <c:v>13764.336730445008</c:v>
                </c:pt>
                <c:pt idx="16">
                  <c:v>13250.88152007624</c:v>
                </c:pt>
                <c:pt idx="17">
                  <c:v>12756.094701748469</c:v>
                </c:pt>
                <c:pt idx="18">
                  <c:v>12278.47643631915</c:v>
                </c:pt>
                <c:pt idx="19">
                  <c:v>11816.591358051961</c:v>
                </c:pt>
                <c:pt idx="20">
                  <c:v>11369.068175175595</c:v>
                </c:pt>
                <c:pt idx="21">
                  <c:v>10934.592837789467</c:v>
                </c:pt>
                <c:pt idx="22">
                  <c:v>10509.316413586839</c:v>
                </c:pt>
                <c:pt idx="23">
                  <c:v>10092.730403828034</c:v>
                </c:pt>
                <c:pt idx="24">
                  <c:v>9696.702123711857</c:v>
                </c:pt>
                <c:pt idx="25">
                  <c:v>9320.2211869588482</c:v>
                </c:pt>
                <c:pt idx="26">
                  <c:v>8962.3265574088164</c:v>
                </c:pt>
                <c:pt idx="27">
                  <c:v>8622.1041353285764</c:v>
                </c:pt>
                <c:pt idx="28">
                  <c:v>8306.3941766368698</c:v>
                </c:pt>
                <c:pt idx="29">
                  <c:v>8016.6468246871309</c:v>
                </c:pt>
                <c:pt idx="30">
                  <c:v>7751.9035272891842</c:v>
                </c:pt>
                <c:pt idx="31">
                  <c:v>7511.2417325038277</c:v>
                </c:pt>
                <c:pt idx="32">
                  <c:v>7285.754402604708</c:v>
                </c:pt>
                <c:pt idx="33">
                  <c:v>7074.6957863948555</c:v>
                </c:pt>
                <c:pt idx="34">
                  <c:v>6877.4009431124396</c:v>
                </c:pt>
                <c:pt idx="35">
                  <c:v>6693.2352800547296</c:v>
                </c:pt>
                <c:pt idx="36">
                  <c:v>6521.6063961825284</c:v>
                </c:pt>
                <c:pt idx="37">
                  <c:v>6361.0636858840517</c:v>
                </c:pt>
                <c:pt idx="38">
                  <c:v>6210.8392149115462</c:v>
                </c:pt>
                <c:pt idx="39">
                  <c:v>6070.4005612971432</c:v>
                </c:pt>
                <c:pt idx="40">
                  <c:v>5939.2964383400131</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732.13861170648022</c:v>
                </c:pt>
                <c:pt idx="10">
                  <c:v>733.17169299224111</c:v>
                </c:pt>
                <c:pt idx="11">
                  <c:v>808.03387153941321</c:v>
                </c:pt>
                <c:pt idx="12">
                  <c:v>777.71695000020338</c:v>
                </c:pt>
                <c:pt idx="13">
                  <c:v>780.60313066887602</c:v>
                </c:pt>
                <c:pt idx="14">
                  <c:v>783.8581877047676</c:v>
                </c:pt>
                <c:pt idx="15">
                  <c:v>786.79326923669487</c:v>
                </c:pt>
                <c:pt idx="16">
                  <c:v>790.13849297762579</c:v>
                </c:pt>
                <c:pt idx="17">
                  <c:v>793.47094579753752</c:v>
                </c:pt>
                <c:pt idx="18">
                  <c:v>795.79510471915876</c:v>
                </c:pt>
                <c:pt idx="19">
                  <c:v>798.29879062948589</c:v>
                </c:pt>
                <c:pt idx="20">
                  <c:v>801.3171755205916</c:v>
                </c:pt>
                <c:pt idx="21">
                  <c:v>805.51748344826751</c:v>
                </c:pt>
                <c:pt idx="22">
                  <c:v>809.40263435521172</c:v>
                </c:pt>
                <c:pt idx="23">
                  <c:v>814.00132337419416</c:v>
                </c:pt>
                <c:pt idx="24">
                  <c:v>819.77380773467212</c:v>
                </c:pt>
                <c:pt idx="25">
                  <c:v>824.50423151624432</c:v>
                </c:pt>
                <c:pt idx="26">
                  <c:v>829.27334433237445</c:v>
                </c:pt>
                <c:pt idx="27">
                  <c:v>835.005708036187</c:v>
                </c:pt>
                <c:pt idx="28">
                  <c:v>841.10843457407907</c:v>
                </c:pt>
                <c:pt idx="29">
                  <c:v>847.58864474610846</c:v>
                </c:pt>
                <c:pt idx="30">
                  <c:v>854.35841393589146</c:v>
                </c:pt>
                <c:pt idx="31">
                  <c:v>861.35469844118882</c:v>
                </c:pt>
                <c:pt idx="32">
                  <c:v>867.91989040474232</c:v>
                </c:pt>
                <c:pt idx="33">
                  <c:v>874.62412578756516</c:v>
                </c:pt>
                <c:pt idx="34">
                  <c:v>881.47469505150832</c:v>
                </c:pt>
                <c:pt idx="35">
                  <c:v>888.6379523703697</c:v>
                </c:pt>
                <c:pt idx="36">
                  <c:v>895.98821795505842</c:v>
                </c:pt>
                <c:pt idx="37">
                  <c:v>900.50527065166989</c:v>
                </c:pt>
                <c:pt idx="38">
                  <c:v>904.60317260429349</c:v>
                </c:pt>
                <c:pt idx="39">
                  <c:v>908.96992455161626</c:v>
                </c:pt>
                <c:pt idx="40">
                  <c:v>913.04380432364883</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275.2327175244078</c:v>
                </c:pt>
                <c:pt idx="12">
                  <c:v>228.95681389831122</c:v>
                </c:pt>
                <c:pt idx="13">
                  <c:v>217.14047397394438</c:v>
                </c:pt>
                <c:pt idx="14">
                  <c:v>205.14518471133579</c:v>
                </c:pt>
                <c:pt idx="15">
                  <c:v>192.95911617366457</c:v>
                </c:pt>
                <c:pt idx="16">
                  <c:v>180.57005873976388</c:v>
                </c:pt>
                <c:pt idx="17">
                  <c:v>167.96537924386851</c:v>
                </c:pt>
                <c:pt idx="18">
                  <c:v>155.13197458331362</c:v>
                </c:pt>
                <c:pt idx="19">
                  <c:v>142.05263607984506</c:v>
                </c:pt>
                <c:pt idx="20">
                  <c:v>128.71416320847479</c:v>
                </c:pt>
                <c:pt idx="21">
                  <c:v>113.49963288269169</c:v>
                </c:pt>
                <c:pt idx="22">
                  <c:v>98.393527507064306</c:v>
                </c:pt>
                <c:pt idx="23">
                  <c:v>98.104991079531644</c:v>
                </c:pt>
                <c:pt idx="24">
                  <c:v>97.828606570665116</c:v>
                </c:pt>
                <c:pt idx="25">
                  <c:v>97.56396874433841</c:v>
                </c:pt>
                <c:pt idx="26">
                  <c:v>97.310695502582462</c:v>
                </c:pt>
                <c:pt idx="27">
                  <c:v>97.068426554933581</c:v>
                </c:pt>
                <c:pt idx="28">
                  <c:v>96.836822188893308</c:v>
                </c:pt>
                <c:pt idx="29">
                  <c:v>96.614918520904467</c:v>
                </c:pt>
                <c:pt idx="30">
                  <c:v>96.402434791856408</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7215.5760361663397</c:v>
                </c:pt>
                <c:pt idx="4">
                  <c:v>7419.0574372368628</c:v>
                </c:pt>
                <c:pt idx="5">
                  <c:v>7619.6660315280851</c:v>
                </c:pt>
                <c:pt idx="6">
                  <c:v>7816.9050072111759</c:v>
                </c:pt>
                <c:pt idx="7">
                  <c:v>8015.016565619344</c:v>
                </c:pt>
                <c:pt idx="8">
                  <c:v>8213.8550166057721</c:v>
                </c:pt>
                <c:pt idx="9">
                  <c:v>8413.2712143112476</c:v>
                </c:pt>
                <c:pt idx="10">
                  <c:v>8613.112729403827</c:v>
                </c:pt>
                <c:pt idx="11">
                  <c:v>8813.2240303060098</c:v>
                </c:pt>
                <c:pt idx="12">
                  <c:v>9014.0815751560822</c:v>
                </c:pt>
                <c:pt idx="13">
                  <c:v>9215.5670268003014</c:v>
                </c:pt>
                <c:pt idx="14">
                  <c:v>9298.4026733512983</c:v>
                </c:pt>
                <c:pt idx="15">
                  <c:v>9379.5428434784317</c:v>
                </c:pt>
                <c:pt idx="16">
                  <c:v>9458.9297120025185</c:v>
                </c:pt>
                <c:pt idx="17">
                  <c:v>9536.6937035335832</c:v>
                </c:pt>
                <c:pt idx="18">
                  <c:v>9612.7833502769245</c:v>
                </c:pt>
                <c:pt idx="19">
                  <c:v>9687.1479674418806</c:v>
                </c:pt>
                <c:pt idx="20">
                  <c:v>9759.7377090548234</c:v>
                </c:pt>
                <c:pt idx="21">
                  <c:v>9830.5036232269922</c:v>
                </c:pt>
                <c:pt idx="22">
                  <c:v>9899.5999814492607</c:v>
                </c:pt>
                <c:pt idx="23">
                  <c:v>9966.983995192315</c:v>
                </c:pt>
                <c:pt idx="24">
                  <c:v>10032.613706250633</c:v>
                </c:pt>
                <c:pt idx="25">
                  <c:v>10096.448030026901</c:v>
                </c:pt>
                <c:pt idx="26">
                  <c:v>10158.446798160428</c:v>
                </c:pt>
                <c:pt idx="27">
                  <c:v>10218.579205729577</c:v>
                </c:pt>
                <c:pt idx="28">
                  <c:v>10276.807189192088</c:v>
                </c:pt>
                <c:pt idx="29">
                  <c:v>10333.093715060619</c:v>
                </c:pt>
                <c:pt idx="30">
                  <c:v>10387.402818995562</c:v>
                </c:pt>
                <c:pt idx="31">
                  <c:v>10439.699643955413</c:v>
                </c:pt>
                <c:pt idx="32">
                  <c:v>10489.922288227726</c:v>
                </c:pt>
                <c:pt idx="33">
                  <c:v>10538.037819095725</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2714.9921597943135</c:v>
                </c:pt>
                <c:pt idx="4">
                  <c:v>2494.8064858860807</c:v>
                </c:pt>
                <c:pt idx="5">
                  <c:v>2075.3453638761698</c:v>
                </c:pt>
                <c:pt idx="6">
                  <c:v>1968.2378886170527</c:v>
                </c:pt>
                <c:pt idx="7">
                  <c:v>1859.5083534018884</c:v>
                </c:pt>
                <c:pt idx="8">
                  <c:v>1749.0495275083481</c:v>
                </c:pt>
                <c:pt idx="9">
                  <c:v>1636.7507386211962</c:v>
                </c:pt>
                <c:pt idx="10">
                  <c:v>1522.4974752674802</c:v>
                </c:pt>
                <c:pt idx="11">
                  <c:v>1406.1709663003417</c:v>
                </c:pt>
                <c:pt idx="12">
                  <c:v>1287.6152261868529</c:v>
                </c:pt>
                <c:pt idx="13">
                  <c:v>1166.7106007098362</c:v>
                </c:pt>
                <c:pt idx="14">
                  <c:v>1028.8007283738625</c:v>
                </c:pt>
                <c:pt idx="15">
                  <c:v>891.87365805108493</c:v>
                </c:pt>
                <c:pt idx="16">
                  <c:v>889.25826204258135</c:v>
                </c:pt>
                <c:pt idx="17">
                  <c:v>886.75301531348384</c:v>
                </c:pt>
                <c:pt idx="18">
                  <c:v>884.35424466052859</c:v>
                </c:pt>
                <c:pt idx="19">
                  <c:v>882.05848661287541</c:v>
                </c:pt>
                <c:pt idx="20">
                  <c:v>879.86247537060865</c:v>
                </c:pt>
                <c:pt idx="21">
                  <c:v>877.76313165975205</c:v>
                </c:pt>
                <c:pt idx="22">
                  <c:v>875.75171849957303</c:v>
                </c:pt>
                <c:pt idx="23">
                  <c:v>873.82569099040768</c:v>
                </c:pt>
                <c:pt idx="24">
                  <c:v>871.98264361125325</c:v>
                </c:pt>
                <c:pt idx="25">
                  <c:v>870.22030312308186</c:v>
                </c:pt>
                <c:pt idx="26">
                  <c:v>868.53652197774227</c:v>
                </c:pt>
                <c:pt idx="27">
                  <c:v>866.9290492384863</c:v>
                </c:pt>
                <c:pt idx="28">
                  <c:v>865.39597684674754</c:v>
                </c:pt>
                <c:pt idx="29">
                  <c:v>863.93550472719085</c:v>
                </c:pt>
                <c:pt idx="30">
                  <c:v>862.54593590820514</c:v>
                </c:pt>
                <c:pt idx="31">
                  <c:v>861.22567198914794</c:v>
                </c:pt>
                <c:pt idx="32">
                  <c:v>859.97390714295341</c:v>
                </c:pt>
                <c:pt idx="33">
                  <c:v>858.78921277892312</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64333.325846758482</c:v>
                </c:pt>
                <c:pt idx="2">
                  <c:v>60911.34042937772</c:v>
                </c:pt>
                <c:pt idx="3">
                  <c:v>55436.163761568474</c:v>
                </c:pt>
                <c:pt idx="4">
                  <c:v>44485.810425950018</c:v>
                </c:pt>
                <c:pt idx="5">
                  <c:v>40704.728491659087</c:v>
                </c:pt>
                <c:pt idx="6">
                  <c:v>39040.157505603231</c:v>
                </c:pt>
                <c:pt idx="7">
                  <c:v>37944.453527465099</c:v>
                </c:pt>
                <c:pt idx="8">
                  <c:v>36950.993914491351</c:v>
                </c:pt>
                <c:pt idx="9">
                  <c:v>34415.94874142437</c:v>
                </c:pt>
                <c:pt idx="10">
                  <c:v>32931.674986665217</c:v>
                </c:pt>
                <c:pt idx="11">
                  <c:v>31427.387326500782</c:v>
                </c:pt>
                <c:pt idx="12">
                  <c:v>29113.673346092295</c:v>
                </c:pt>
                <c:pt idx="13">
                  <c:v>26776.593745335587</c:v>
                </c:pt>
                <c:pt idx="14">
                  <c:v>26298.099144321164</c:v>
                </c:pt>
                <c:pt idx="15">
                  <c:v>25560.088955421925</c:v>
                </c:pt>
                <c:pt idx="16">
                  <c:v>25032.312322689886</c:v>
                </c:pt>
                <c:pt idx="17">
                  <c:v>24701.693778597375</c:v>
                </c:pt>
                <c:pt idx="18">
                  <c:v>19805.397288792796</c:v>
                </c:pt>
                <c:pt idx="19">
                  <c:v>14393.210798639435</c:v>
                </c:pt>
                <c:pt idx="20">
                  <c:v>13687.941669523079</c:v>
                </c:pt>
                <c:pt idx="21">
                  <c:v>13687.941669523081</c:v>
                </c:pt>
                <c:pt idx="22">
                  <c:v>13687.941669523079</c:v>
                </c:pt>
                <c:pt idx="23">
                  <c:v>13687.941669523079</c:v>
                </c:pt>
                <c:pt idx="24">
                  <c:v>13687.941669523079</c:v>
                </c:pt>
                <c:pt idx="25">
                  <c:v>13687.941669523079</c:v>
                </c:pt>
                <c:pt idx="26">
                  <c:v>13687.941669523079</c:v>
                </c:pt>
                <c:pt idx="27">
                  <c:v>13687.941669523079</c:v>
                </c:pt>
                <c:pt idx="28">
                  <c:v>13687.941669523079</c:v>
                </c:pt>
                <c:pt idx="29">
                  <c:v>13687.941669523079</c:v>
                </c:pt>
                <c:pt idx="30">
                  <c:v>13687.941669523076</c:v>
                </c:pt>
                <c:pt idx="31">
                  <c:v>13687.941669523079</c:v>
                </c:pt>
                <c:pt idx="32">
                  <c:v>13687.941669523081</c:v>
                </c:pt>
                <c:pt idx="33">
                  <c:v>13687.941669523076</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7449.3121878932852</c:v>
                </c:pt>
                <c:pt idx="2">
                  <c:v>9116.1397155734267</c:v>
                </c:pt>
                <c:pt idx="3">
                  <c:v>9913.4637184620151</c:v>
                </c:pt>
                <c:pt idx="4">
                  <c:v>11290.993479866895</c:v>
                </c:pt>
                <c:pt idx="5">
                  <c:v>12647.120937152275</c:v>
                </c:pt>
                <c:pt idx="6">
                  <c:v>13918.216416114146</c:v>
                </c:pt>
                <c:pt idx="7">
                  <c:v>15349.055436467395</c:v>
                </c:pt>
                <c:pt idx="8">
                  <c:v>16830.408052767856</c:v>
                </c:pt>
                <c:pt idx="9">
                  <c:v>17704.011594591699</c:v>
                </c:pt>
                <c:pt idx="10">
                  <c:v>18943.383937802279</c:v>
                </c:pt>
                <c:pt idx="11">
                  <c:v>20126.74151796319</c:v>
                </c:pt>
                <c:pt idx="12">
                  <c:v>20799.612276119413</c:v>
                </c:pt>
                <c:pt idx="13">
                  <c:v>21320.525793990855</c:v>
                </c:pt>
                <c:pt idx="14">
                  <c:v>21086.497022534106</c:v>
                </c:pt>
                <c:pt idx="15">
                  <c:v>20673.082577783225</c:v>
                </c:pt>
                <c:pt idx="16">
                  <c:v>20414.257931686781</c:v>
                </c:pt>
                <c:pt idx="17">
                  <c:v>20310.616605573381</c:v>
                </c:pt>
                <c:pt idx="18">
                  <c:v>17142.110238067151</c:v>
                </c:pt>
                <c:pt idx="19">
                  <c:v>13630.459840458792</c:v>
                </c:pt>
                <c:pt idx="20">
                  <c:v>12125.666334098212</c:v>
                </c:pt>
                <c:pt idx="21">
                  <c:v>10744.054155835882</c:v>
                </c:pt>
                <c:pt idx="22">
                  <c:v>9370.078058073861</c:v>
                </c:pt>
                <c:pt idx="23">
                  <c:v>8001.9594221173338</c:v>
                </c:pt>
                <c:pt idx="24">
                  <c:v>7765.1091511029153</c:v>
                </c:pt>
                <c:pt idx="25">
                  <c:v>7519.5383500995285</c:v>
                </c:pt>
                <c:pt idx="26">
                  <c:v>7276.7802451882635</c:v>
                </c:pt>
                <c:pt idx="27">
                  <c:v>7036.9823144278953</c:v>
                </c:pt>
                <c:pt idx="28">
                  <c:v>6803.5097205640423</c:v>
                </c:pt>
                <c:pt idx="29">
                  <c:v>6689.944770124901</c:v>
                </c:pt>
                <c:pt idx="30">
                  <c:v>6519.0670258812952</c:v>
                </c:pt>
                <c:pt idx="31">
                  <c:v>6339.7103211387221</c:v>
                </c:pt>
                <c:pt idx="32">
                  <c:v>6165.7921573456742</c:v>
                </c:pt>
                <c:pt idx="33">
                  <c:v>5985.9495101987231</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1789.9687605419947</c:v>
                </c:pt>
                <c:pt idx="2">
                  <c:v>1870.6618877196547</c:v>
                </c:pt>
                <c:pt idx="3">
                  <c:v>1913.5469196790364</c:v>
                </c:pt>
                <c:pt idx="4">
                  <c:v>2253.4740718925086</c:v>
                </c:pt>
                <c:pt idx="5">
                  <c:v>2440.3869088169668</c:v>
                </c:pt>
                <c:pt idx="6">
                  <c:v>2473.3341767241886</c:v>
                </c:pt>
                <c:pt idx="7">
                  <c:v>2510.4923620654172</c:v>
                </c:pt>
                <c:pt idx="8">
                  <c:v>2543.9978590052256</c:v>
                </c:pt>
                <c:pt idx="9">
                  <c:v>2582.1853446322916</c:v>
                </c:pt>
                <c:pt idx="10">
                  <c:v>2620.2270434897314</c:v>
                </c:pt>
                <c:pt idx="11">
                  <c:v>2646.7585380287851</c:v>
                </c:pt>
                <c:pt idx="12">
                  <c:v>2675.3394274160801</c:v>
                </c:pt>
                <c:pt idx="13">
                  <c:v>2709.795875944686</c:v>
                </c:pt>
                <c:pt idx="14">
                  <c:v>2757.7445965802553</c:v>
                </c:pt>
                <c:pt idx="15">
                  <c:v>2802.0956343307598</c:v>
                </c:pt>
                <c:pt idx="16">
                  <c:v>2854.5920843191443</c:v>
                </c:pt>
                <c:pt idx="17">
                  <c:v>2920.4880245072482</c:v>
                </c:pt>
                <c:pt idx="18">
                  <c:v>2974.4882959863826</c:v>
                </c:pt>
                <c:pt idx="19">
                  <c:v>3028.9302231111574</c:v>
                </c:pt>
                <c:pt idx="20">
                  <c:v>3094.3681649355021</c:v>
                </c:pt>
                <c:pt idx="21">
                  <c:v>3164.033992993629</c:v>
                </c:pt>
                <c:pt idx="22">
                  <c:v>3238.0089949574353</c:v>
                </c:pt>
                <c:pt idx="23">
                  <c:v>3315.2894651604388</c:v>
                </c:pt>
                <c:pt idx="24">
                  <c:v>3395.1557266364357</c:v>
                </c:pt>
                <c:pt idx="25">
                  <c:v>3470.1008403756309</c:v>
                </c:pt>
                <c:pt idx="26">
                  <c:v>3546.6332077594516</c:v>
                </c:pt>
                <c:pt idx="27">
                  <c:v>3624.8360532382567</c:v>
                </c:pt>
                <c:pt idx="28">
                  <c:v>3706.6083970608752</c:v>
                </c:pt>
                <c:pt idx="29">
                  <c:v>3790.5155384385994</c:v>
                </c:pt>
                <c:pt idx="30">
                  <c:v>3842.0800669387309</c:v>
                </c:pt>
                <c:pt idx="31">
                  <c:v>3888.8597695942517</c:v>
                </c:pt>
                <c:pt idx="32">
                  <c:v>3938.7085361162012</c:v>
                </c:pt>
                <c:pt idx="33">
                  <c:v>3985.2140129658874</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11419.018508485759</c:v>
                </c:pt>
                <c:pt idx="2">
                  <c:v>11455.653532484115</c:v>
                </c:pt>
                <c:pt idx="3">
                  <c:v>10739.801960560329</c:v>
                </c:pt>
                <c:pt idx="4">
                  <c:v>11000.578009537285</c:v>
                </c:pt>
                <c:pt idx="5">
                  <c:v>11243.834305614109</c:v>
                </c:pt>
                <c:pt idx="6">
                  <c:v>11463.236273772985</c:v>
                </c:pt>
                <c:pt idx="7">
                  <c:v>11710.679522179353</c:v>
                </c:pt>
                <c:pt idx="8">
                  <c:v>11933.798841008331</c:v>
                </c:pt>
                <c:pt idx="9">
                  <c:v>12188.096390936</c:v>
                </c:pt>
                <c:pt idx="10">
                  <c:v>12441.423119723731</c:v>
                </c:pt>
                <c:pt idx="11">
                  <c:v>12618.101263005801</c:v>
                </c:pt>
                <c:pt idx="12">
                  <c:v>12808.426706710623</c:v>
                </c:pt>
                <c:pt idx="13">
                  <c:v>13037.878588554946</c:v>
                </c:pt>
                <c:pt idx="14">
                  <c:v>13357.178012949347</c:v>
                </c:pt>
                <c:pt idx="15">
                  <c:v>13652.519799702362</c:v>
                </c:pt>
                <c:pt idx="16">
                  <c:v>14002.103397384553</c:v>
                </c:pt>
                <c:pt idx="17">
                  <c:v>14440.916685686996</c:v>
                </c:pt>
                <c:pt idx="18">
                  <c:v>14800.514509609711</c:v>
                </c:pt>
                <c:pt idx="19">
                  <c:v>15163.053400396448</c:v>
                </c:pt>
                <c:pt idx="20">
                  <c:v>15598.816792643614</c:v>
                </c:pt>
                <c:pt idx="21">
                  <c:v>16062.734463523406</c:v>
                </c:pt>
                <c:pt idx="22">
                  <c:v>16555.347722720482</c:v>
                </c:pt>
                <c:pt idx="23">
                  <c:v>17069.9727080312</c:v>
                </c:pt>
                <c:pt idx="24">
                  <c:v>17601.816957049621</c:v>
                </c:pt>
                <c:pt idx="25">
                  <c:v>18100.890370498448</c:v>
                </c:pt>
                <c:pt idx="26">
                  <c:v>18610.533600375722</c:v>
                </c:pt>
                <c:pt idx="27">
                  <c:v>19131.300853733122</c:v>
                </c:pt>
                <c:pt idx="28">
                  <c:v>19675.838058643949</c:v>
                </c:pt>
                <c:pt idx="29">
                  <c:v>20234.591276443305</c:v>
                </c:pt>
                <c:pt idx="30">
                  <c:v>20577.969036079438</c:v>
                </c:pt>
                <c:pt idx="31">
                  <c:v>20889.483752911496</c:v>
                </c:pt>
                <c:pt idx="32">
                  <c:v>21221.435935289894</c:v>
                </c:pt>
                <c:pt idx="33">
                  <c:v>21531.124531616624</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64333.325846758482</c:v>
                </c:pt>
                <c:pt idx="2">
                  <c:v>60911.34042937772</c:v>
                </c:pt>
                <c:pt idx="3">
                  <c:v>55436.163761568474</c:v>
                </c:pt>
                <c:pt idx="4">
                  <c:v>44485.810425950018</c:v>
                </c:pt>
                <c:pt idx="5">
                  <c:v>40704.728491659087</c:v>
                </c:pt>
                <c:pt idx="6">
                  <c:v>39040.157505603231</c:v>
                </c:pt>
                <c:pt idx="7">
                  <c:v>37944.453527465099</c:v>
                </c:pt>
                <c:pt idx="8">
                  <c:v>36950.993914491351</c:v>
                </c:pt>
                <c:pt idx="9">
                  <c:v>34415.94874142437</c:v>
                </c:pt>
                <c:pt idx="10">
                  <c:v>32931.674986665217</c:v>
                </c:pt>
                <c:pt idx="11">
                  <c:v>31427.387326500782</c:v>
                </c:pt>
                <c:pt idx="12">
                  <c:v>29113.673346092295</c:v>
                </c:pt>
                <c:pt idx="13">
                  <c:v>26776.593745335587</c:v>
                </c:pt>
                <c:pt idx="14">
                  <c:v>26298.099144321164</c:v>
                </c:pt>
                <c:pt idx="15">
                  <c:v>25560.088955421925</c:v>
                </c:pt>
                <c:pt idx="16">
                  <c:v>25032.312322689886</c:v>
                </c:pt>
                <c:pt idx="17">
                  <c:v>24701.693778597375</c:v>
                </c:pt>
                <c:pt idx="18">
                  <c:v>19805.397288792796</c:v>
                </c:pt>
                <c:pt idx="19">
                  <c:v>14393.210798639435</c:v>
                </c:pt>
                <c:pt idx="20">
                  <c:v>13687.941669523079</c:v>
                </c:pt>
                <c:pt idx="21">
                  <c:v>13687.941669523081</c:v>
                </c:pt>
                <c:pt idx="22">
                  <c:v>13687.941669523079</c:v>
                </c:pt>
                <c:pt idx="23">
                  <c:v>13687.941669523079</c:v>
                </c:pt>
                <c:pt idx="24">
                  <c:v>13687.941669523079</c:v>
                </c:pt>
                <c:pt idx="25">
                  <c:v>13687.941669523079</c:v>
                </c:pt>
                <c:pt idx="26">
                  <c:v>13687.941669523079</c:v>
                </c:pt>
                <c:pt idx="27">
                  <c:v>13687.941669523079</c:v>
                </c:pt>
                <c:pt idx="28">
                  <c:v>13687.941669523079</c:v>
                </c:pt>
                <c:pt idx="29">
                  <c:v>13687.941669523079</c:v>
                </c:pt>
                <c:pt idx="30">
                  <c:v>13687.941669523076</c:v>
                </c:pt>
                <c:pt idx="31">
                  <c:v>13687.941669523079</c:v>
                </c:pt>
                <c:pt idx="32">
                  <c:v>13687.941669523081</c:v>
                </c:pt>
                <c:pt idx="33">
                  <c:v>13687.941669523076</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7449.3121878932852</c:v>
                </c:pt>
                <c:pt idx="2">
                  <c:v>9116.1397155734267</c:v>
                </c:pt>
                <c:pt idx="3">
                  <c:v>9913.4637184620151</c:v>
                </c:pt>
                <c:pt idx="4">
                  <c:v>11290.993479866895</c:v>
                </c:pt>
                <c:pt idx="5">
                  <c:v>12647.120937152275</c:v>
                </c:pt>
                <c:pt idx="6">
                  <c:v>13918.216416114146</c:v>
                </c:pt>
                <c:pt idx="7">
                  <c:v>15349.055436467395</c:v>
                </c:pt>
                <c:pt idx="8">
                  <c:v>16830.408052767856</c:v>
                </c:pt>
                <c:pt idx="9">
                  <c:v>17704.011594591699</c:v>
                </c:pt>
                <c:pt idx="10">
                  <c:v>18943.383937802279</c:v>
                </c:pt>
                <c:pt idx="11">
                  <c:v>20126.74151796319</c:v>
                </c:pt>
                <c:pt idx="12">
                  <c:v>20799.612276119413</c:v>
                </c:pt>
                <c:pt idx="13">
                  <c:v>21320.525793990855</c:v>
                </c:pt>
                <c:pt idx="14">
                  <c:v>21086.497022534106</c:v>
                </c:pt>
                <c:pt idx="15">
                  <c:v>20673.082577783225</c:v>
                </c:pt>
                <c:pt idx="16">
                  <c:v>20414.257931686781</c:v>
                </c:pt>
                <c:pt idx="17">
                  <c:v>20310.616605573381</c:v>
                </c:pt>
                <c:pt idx="18">
                  <c:v>17142.110238067151</c:v>
                </c:pt>
                <c:pt idx="19">
                  <c:v>13630.459840458792</c:v>
                </c:pt>
                <c:pt idx="20">
                  <c:v>12125.666334098212</c:v>
                </c:pt>
                <c:pt idx="21">
                  <c:v>10744.054155835882</c:v>
                </c:pt>
                <c:pt idx="22">
                  <c:v>9370.078058073861</c:v>
                </c:pt>
                <c:pt idx="23">
                  <c:v>8001.9594221173338</c:v>
                </c:pt>
                <c:pt idx="24">
                  <c:v>7765.1091511029153</c:v>
                </c:pt>
                <c:pt idx="25">
                  <c:v>7519.5383500995285</c:v>
                </c:pt>
                <c:pt idx="26">
                  <c:v>7276.7802451882635</c:v>
                </c:pt>
                <c:pt idx="27">
                  <c:v>7036.9823144278953</c:v>
                </c:pt>
                <c:pt idx="28">
                  <c:v>6803.5097205640423</c:v>
                </c:pt>
                <c:pt idx="29">
                  <c:v>6689.944770124901</c:v>
                </c:pt>
                <c:pt idx="30">
                  <c:v>6519.0670258812952</c:v>
                </c:pt>
                <c:pt idx="31">
                  <c:v>6339.7103211387221</c:v>
                </c:pt>
                <c:pt idx="32">
                  <c:v>6165.7921573456742</c:v>
                </c:pt>
                <c:pt idx="33">
                  <c:v>5985.9495101987231</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1870.6618877196547</c:v>
                </c:pt>
                <c:pt idx="3">
                  <c:v>1913.5469196790364</c:v>
                </c:pt>
                <c:pt idx="4">
                  <c:v>2253.4740718925086</c:v>
                </c:pt>
                <c:pt idx="5">
                  <c:v>2440.3869088169668</c:v>
                </c:pt>
                <c:pt idx="6">
                  <c:v>2473.3341767241886</c:v>
                </c:pt>
                <c:pt idx="7">
                  <c:v>2510.4923620654172</c:v>
                </c:pt>
                <c:pt idx="8">
                  <c:v>2543.9978590052256</c:v>
                </c:pt>
                <c:pt idx="9">
                  <c:v>2582.1853446322916</c:v>
                </c:pt>
                <c:pt idx="10">
                  <c:v>2620.2270434897314</c:v>
                </c:pt>
                <c:pt idx="11">
                  <c:v>2646.7585380287851</c:v>
                </c:pt>
                <c:pt idx="12">
                  <c:v>2675.3394274160801</c:v>
                </c:pt>
                <c:pt idx="13">
                  <c:v>2709.795875944686</c:v>
                </c:pt>
                <c:pt idx="14">
                  <c:v>2757.7445965802553</c:v>
                </c:pt>
                <c:pt idx="15">
                  <c:v>2802.0956343307598</c:v>
                </c:pt>
                <c:pt idx="16">
                  <c:v>2854.5920843191443</c:v>
                </c:pt>
                <c:pt idx="17">
                  <c:v>2920.4880245072482</c:v>
                </c:pt>
                <c:pt idx="18">
                  <c:v>2974.4882959863826</c:v>
                </c:pt>
                <c:pt idx="19">
                  <c:v>3028.9302231111574</c:v>
                </c:pt>
                <c:pt idx="20">
                  <c:v>3094.3681649355021</c:v>
                </c:pt>
                <c:pt idx="21">
                  <c:v>3164.033992993629</c:v>
                </c:pt>
                <c:pt idx="22">
                  <c:v>3238.0089949574353</c:v>
                </c:pt>
                <c:pt idx="23">
                  <c:v>3315.2894651604388</c:v>
                </c:pt>
                <c:pt idx="24">
                  <c:v>3395.1557266364357</c:v>
                </c:pt>
                <c:pt idx="25">
                  <c:v>3470.1008403756309</c:v>
                </c:pt>
                <c:pt idx="26">
                  <c:v>3546.6332077594516</c:v>
                </c:pt>
                <c:pt idx="27">
                  <c:v>3624.8360532382567</c:v>
                </c:pt>
                <c:pt idx="28">
                  <c:v>3706.6083970608752</c:v>
                </c:pt>
                <c:pt idx="29">
                  <c:v>3790.5155384385994</c:v>
                </c:pt>
                <c:pt idx="30">
                  <c:v>3842.0800669387309</c:v>
                </c:pt>
                <c:pt idx="31">
                  <c:v>3888.8597695942517</c:v>
                </c:pt>
                <c:pt idx="32">
                  <c:v>3938.7085361162012</c:v>
                </c:pt>
                <c:pt idx="33">
                  <c:v>3985.2140129658874</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11455.653532484115</c:v>
                </c:pt>
                <c:pt idx="3">
                  <c:v>10739.801960560329</c:v>
                </c:pt>
                <c:pt idx="4">
                  <c:v>11000.578009537285</c:v>
                </c:pt>
                <c:pt idx="5">
                  <c:v>11243.834305614109</c:v>
                </c:pt>
                <c:pt idx="6">
                  <c:v>11463.236273772985</c:v>
                </c:pt>
                <c:pt idx="7">
                  <c:v>11710.679522179353</c:v>
                </c:pt>
                <c:pt idx="8">
                  <c:v>11933.798841008331</c:v>
                </c:pt>
                <c:pt idx="9">
                  <c:v>12188.096390936</c:v>
                </c:pt>
                <c:pt idx="10">
                  <c:v>12441.423119723731</c:v>
                </c:pt>
                <c:pt idx="11">
                  <c:v>12618.101263005801</c:v>
                </c:pt>
                <c:pt idx="12">
                  <c:v>12808.426706710623</c:v>
                </c:pt>
                <c:pt idx="13">
                  <c:v>13037.878588554946</c:v>
                </c:pt>
                <c:pt idx="14">
                  <c:v>13357.178012949347</c:v>
                </c:pt>
                <c:pt idx="15">
                  <c:v>13652.519799702362</c:v>
                </c:pt>
                <c:pt idx="16">
                  <c:v>14002.103397384553</c:v>
                </c:pt>
                <c:pt idx="17">
                  <c:v>14440.916685686996</c:v>
                </c:pt>
                <c:pt idx="18">
                  <c:v>14800.514509609711</c:v>
                </c:pt>
                <c:pt idx="19">
                  <c:v>15163.053400396448</c:v>
                </c:pt>
                <c:pt idx="20">
                  <c:v>15598.816792643614</c:v>
                </c:pt>
                <c:pt idx="21">
                  <c:v>16062.734463523406</c:v>
                </c:pt>
                <c:pt idx="22">
                  <c:v>16555.347722720482</c:v>
                </c:pt>
                <c:pt idx="23">
                  <c:v>17069.9727080312</c:v>
                </c:pt>
                <c:pt idx="24">
                  <c:v>17601.816957049621</c:v>
                </c:pt>
                <c:pt idx="25">
                  <c:v>18100.890370498448</c:v>
                </c:pt>
                <c:pt idx="26">
                  <c:v>18610.533600375722</c:v>
                </c:pt>
                <c:pt idx="27">
                  <c:v>19131.300853733122</c:v>
                </c:pt>
                <c:pt idx="28">
                  <c:v>19675.838058643949</c:v>
                </c:pt>
                <c:pt idx="29">
                  <c:v>20234.591276443305</c:v>
                </c:pt>
                <c:pt idx="30">
                  <c:v>20577.969036079438</c:v>
                </c:pt>
                <c:pt idx="31">
                  <c:v>20889.483752911496</c:v>
                </c:pt>
                <c:pt idx="32">
                  <c:v>21221.435935289894</c:v>
                </c:pt>
                <c:pt idx="33">
                  <c:v>21531.124531616624</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6897.4051340163305</c:v>
                </c:pt>
                <c:pt idx="4">
                  <c:v>6989.1846303072325</c:v>
                </c:pt>
                <c:pt idx="5">
                  <c:v>7075.6754537440611</c:v>
                </c:pt>
                <c:pt idx="6">
                  <c:v>7156.6461111986364</c:v>
                </c:pt>
                <c:pt idx="7">
                  <c:v>7236.1564630847379</c:v>
                </c:pt>
                <c:pt idx="8">
                  <c:v>7314.1367615414974</c:v>
                </c:pt>
                <c:pt idx="9">
                  <c:v>7390.5179914638002</c:v>
                </c:pt>
                <c:pt idx="10">
                  <c:v>7465.231970959695</c:v>
                </c:pt>
                <c:pt idx="11">
                  <c:v>7538.2114515678641</c:v>
                </c:pt>
                <c:pt idx="12">
                  <c:v>7609.926219113896</c:v>
                </c:pt>
                <c:pt idx="13">
                  <c:v>7680.326271530359</c:v>
                </c:pt>
                <c:pt idx="14">
                  <c:v>7749.3621529443453</c:v>
                </c:pt>
                <c:pt idx="15">
                  <c:v>7816.9850109292693</c:v>
                </c:pt>
                <c:pt idx="16">
                  <c:v>7883.1466535245563</c:v>
                </c:pt>
                <c:pt idx="17">
                  <c:v>7947.9557776292586</c:v>
                </c:pt>
                <c:pt idx="18">
                  <c:v>8011.3694895771869</c:v>
                </c:pt>
                <c:pt idx="19">
                  <c:v>8073.3455482638992</c:v>
                </c:pt>
                <c:pt idx="20">
                  <c:v>8133.842411661687</c:v>
                </c:pt>
                <c:pt idx="21">
                  <c:v>8192.8192828802203</c:v>
                </c:pt>
                <c:pt idx="22">
                  <c:v>8250.4047329972072</c:v>
                </c:pt>
                <c:pt idx="23">
                  <c:v>8306.5631017147134</c:v>
                </c:pt>
                <c:pt idx="24">
                  <c:v>8361.259420733204</c:v>
                </c:pt>
                <c:pt idx="25">
                  <c:v>8414.4594498251154</c:v>
                </c:pt>
                <c:pt idx="26">
                  <c:v>8466.1297123617223</c:v>
                </c:pt>
                <c:pt idx="27">
                  <c:v>8516.2445352782725</c:v>
                </c:pt>
                <c:pt idx="28">
                  <c:v>8564.772196118327</c:v>
                </c:pt>
                <c:pt idx="29">
                  <c:v>8611.6818308813381</c:v>
                </c:pt>
                <c:pt idx="30">
                  <c:v>8656.9434666029174</c:v>
                </c:pt>
                <c:pt idx="31">
                  <c:v>8700.5280531496464</c:v>
                </c:pt>
                <c:pt idx="32">
                  <c:v>8742.384001145967</c:v>
                </c:pt>
                <c:pt idx="33">
                  <c:v>8782.4838642058785</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2691.7426737450974</c:v>
                </c:pt>
                <c:pt idx="4">
                  <c:v>2621.8621629110016</c:v>
                </c:pt>
                <c:pt idx="5">
                  <c:v>2554.1243936461024</c:v>
                </c:pt>
                <c:pt idx="6">
                  <c:v>2488.6599288126031</c:v>
                </c:pt>
                <c:pt idx="7">
                  <c:v>2425.2943212876203</c:v>
                </c:pt>
                <c:pt idx="8">
                  <c:v>2364.0296557679653</c:v>
                </c:pt>
                <c:pt idx="9">
                  <c:v>2304.8682556048643</c:v>
                </c:pt>
                <c:pt idx="10">
                  <c:v>2247.8130749886122</c:v>
                </c:pt>
                <c:pt idx="11">
                  <c:v>2124.6167747478203</c:v>
                </c:pt>
                <c:pt idx="12">
                  <c:v>2008.4105208660676</c:v>
                </c:pt>
                <c:pt idx="13">
                  <c:v>1898.7785028885794</c:v>
                </c:pt>
                <c:pt idx="14">
                  <c:v>1803.9975171086269</c:v>
                </c:pt>
                <c:pt idx="15">
                  <c:v>1709.899688435012</c:v>
                </c:pt>
                <c:pt idx="16">
                  <c:v>1616.4476861101075</c:v>
                </c:pt>
                <c:pt idx="17">
                  <c:v>1523.5972051493175</c:v>
                </c:pt>
                <c:pt idx="18">
                  <c:v>1431.316070737121</c:v>
                </c:pt>
                <c:pt idx="19">
                  <c:v>1339.5735037368668</c:v>
                </c:pt>
                <c:pt idx="20">
                  <c:v>1307.0104629007255</c:v>
                </c:pt>
                <c:pt idx="21">
                  <c:v>1248.4611402687246</c:v>
                </c:pt>
                <c:pt idx="22">
                  <c:v>1190.2385635547844</c:v>
                </c:pt>
                <c:pt idx="23">
                  <c:v>1132.3260997931295</c:v>
                </c:pt>
                <c:pt idx="24">
                  <c:v>1074.7077594066334</c:v>
                </c:pt>
                <c:pt idx="25">
                  <c:v>1017.3681562941107</c:v>
                </c:pt>
                <c:pt idx="26">
                  <c:v>960.29247025144207</c:v>
                </c:pt>
                <c:pt idx="27">
                  <c:v>903.46621387578898</c:v>
                </c:pt>
                <c:pt idx="28">
                  <c:v>846.87563551141841</c:v>
                </c:pt>
                <c:pt idx="29">
                  <c:v>790.50744725380912</c:v>
                </c:pt>
                <c:pt idx="30">
                  <c:v>734.34879521015876</c:v>
                </c:pt>
                <c:pt idx="31">
                  <c:v>733.39160141786135</c:v>
                </c:pt>
                <c:pt idx="32">
                  <c:v>732.48366719342437</c:v>
                </c:pt>
                <c:pt idx="33">
                  <c:v>731.62401976573904</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64886.148572305057</c:v>
                </c:pt>
                <c:pt idx="2">
                  <c:v>61517.098453473154</c:v>
                </c:pt>
                <c:pt idx="3">
                  <c:v>58322.977791126905</c:v>
                </c:pt>
                <c:pt idx="4">
                  <c:v>55294.7038130703</c:v>
                </c:pt>
                <c:pt idx="5">
                  <c:v>52423.665347216396</c:v>
                </c:pt>
                <c:pt idx="6">
                  <c:v>49701.698334937471</c:v>
                </c:pt>
                <c:pt idx="7">
                  <c:v>47121.062615822855</c:v>
                </c:pt>
                <c:pt idx="8">
                  <c:v>44674.419917829786</c:v>
                </c:pt>
                <c:pt idx="9">
                  <c:v>42354.812990240433</c:v>
                </c:pt>
                <c:pt idx="10">
                  <c:v>41164.252659930076</c:v>
                </c:pt>
                <c:pt idx="11">
                  <c:v>40155.499529559682</c:v>
                </c:pt>
                <c:pt idx="12">
                  <c:v>38009.98770513614</c:v>
                </c:pt>
                <c:pt idx="13">
                  <c:v>35702.124993780788</c:v>
                </c:pt>
                <c:pt idx="14">
                  <c:v>35064.132192428217</c:v>
                </c:pt>
                <c:pt idx="15">
                  <c:v>34080.118607229233</c:v>
                </c:pt>
                <c:pt idx="16">
                  <c:v>33376.416430253179</c:v>
                </c:pt>
                <c:pt idx="17">
                  <c:v>32935.591704796498</c:v>
                </c:pt>
                <c:pt idx="18">
                  <c:v>28630.384101050156</c:v>
                </c:pt>
                <c:pt idx="19">
                  <c:v>27627.206795850376</c:v>
                </c:pt>
                <c:pt idx="20">
                  <c:v>26659.179724825452</c:v>
                </c:pt>
                <c:pt idx="21">
                  <c:v>25725.071262263606</c:v>
                </c:pt>
                <c:pt idx="22">
                  <c:v>24823.692937269239</c:v>
                </c:pt>
                <c:pt idx="23">
                  <c:v>23953.89792166539</c:v>
                </c:pt>
                <c:pt idx="24">
                  <c:v>22650.218174049238</c:v>
                </c:pt>
                <c:pt idx="25">
                  <c:v>21417.490590039306</c:v>
                </c:pt>
                <c:pt idx="26">
                  <c:v>20251.853631148377</c:v>
                </c:pt>
                <c:pt idx="27">
                  <c:v>19149.655921324491</c:v>
                </c:pt>
                <c:pt idx="28">
                  <c:v>18107.444808958157</c:v>
                </c:pt>
                <c:pt idx="29">
                  <c:v>17121.955551397077</c:v>
                </c:pt>
                <c:pt idx="30">
                  <c:v>16190.101088088575</c:v>
                </c:pt>
                <c:pt idx="31">
                  <c:v>15308.962370313995</c:v>
                </c:pt>
                <c:pt idx="32">
                  <c:v>14475.779217222876</c:v>
                </c:pt>
                <c:pt idx="33">
                  <c:v>13687.941669523079</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6432.32104401378</c:v>
                </c:pt>
                <c:pt idx="2">
                  <c:v>6988.7664970578244</c:v>
                </c:pt>
                <c:pt idx="3">
                  <c:v>6939.30328983458</c:v>
                </c:pt>
                <c:pt idx="4">
                  <c:v>7392.1367874310008</c:v>
                </c:pt>
                <c:pt idx="5">
                  <c:v>7869.0152177991104</c:v>
                </c:pt>
                <c:pt idx="6">
                  <c:v>8342.2640857004826</c:v>
                </c:pt>
                <c:pt idx="7">
                  <c:v>8941.5155742065763</c:v>
                </c:pt>
                <c:pt idx="8">
                  <c:v>9608.1154935988525</c:v>
                </c:pt>
                <c:pt idx="9">
                  <c:v>10045.521698161923</c:v>
                </c:pt>
                <c:pt idx="10">
                  <c:v>10710.806264537416</c:v>
                </c:pt>
                <c:pt idx="11">
                  <c:v>11398.629314904294</c:v>
                </c:pt>
                <c:pt idx="12">
                  <c:v>11903.297917075572</c:v>
                </c:pt>
                <c:pt idx="13">
                  <c:v>12394.994545545656</c:v>
                </c:pt>
                <c:pt idx="14">
                  <c:v>12320.463974427052</c:v>
                </c:pt>
                <c:pt idx="15">
                  <c:v>12153.052925975917</c:v>
                </c:pt>
                <c:pt idx="16">
                  <c:v>12070.153824123488</c:v>
                </c:pt>
                <c:pt idx="17">
                  <c:v>12076.718679374257</c:v>
                </c:pt>
                <c:pt idx="18">
                  <c:v>10540.311141802884</c:v>
                </c:pt>
                <c:pt idx="19">
                  <c:v>8832.7229075789801</c:v>
                </c:pt>
                <c:pt idx="20">
                  <c:v>8138.3058742339672</c:v>
                </c:pt>
                <c:pt idx="21">
                  <c:v>7509.2255221949799</c:v>
                </c:pt>
                <c:pt idx="22">
                  <c:v>6887.7812506563059</c:v>
                </c:pt>
                <c:pt idx="23">
                  <c:v>6272.1944409231228</c:v>
                </c:pt>
                <c:pt idx="24">
                  <c:v>6224.5328920381708</c:v>
                </c:pt>
                <c:pt idx="25">
                  <c:v>6168.1508131642513</c:v>
                </c:pt>
                <c:pt idx="26">
                  <c:v>6114.5814303824536</c:v>
                </c:pt>
                <c:pt idx="27">
                  <c:v>6063.9722217515518</c:v>
                </c:pt>
                <c:pt idx="28">
                  <c:v>6019.6883500171662</c:v>
                </c:pt>
                <c:pt idx="29">
                  <c:v>6037.2497861986949</c:v>
                </c:pt>
                <c:pt idx="30">
                  <c:v>5997.4984285757591</c:v>
                </c:pt>
                <c:pt idx="31">
                  <c:v>5949.2681104538569</c:v>
                </c:pt>
                <c:pt idx="32">
                  <c:v>5906.4763332814782</c:v>
                </c:pt>
                <c:pt idx="33">
                  <c:v>5857.7600727551971</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1789.9687605419947</c:v>
                </c:pt>
                <c:pt idx="2">
                  <c:v>1870.6618877196547</c:v>
                </c:pt>
                <c:pt idx="3">
                  <c:v>1838.3552196790363</c:v>
                </c:pt>
                <c:pt idx="4">
                  <c:v>1952.7072718925085</c:v>
                </c:pt>
                <c:pt idx="5">
                  <c:v>2064.4284088169666</c:v>
                </c:pt>
                <c:pt idx="6">
                  <c:v>2172.5673767241883</c:v>
                </c:pt>
                <c:pt idx="7">
                  <c:v>2284.9172620654172</c:v>
                </c:pt>
                <c:pt idx="8">
                  <c:v>2393.6144590052254</c:v>
                </c:pt>
                <c:pt idx="9">
                  <c:v>2506.9936446322913</c:v>
                </c:pt>
                <c:pt idx="10">
                  <c:v>2620.2270434897314</c:v>
                </c:pt>
                <c:pt idx="11">
                  <c:v>2646.7585380287851</c:v>
                </c:pt>
                <c:pt idx="12">
                  <c:v>2675.3394274160801</c:v>
                </c:pt>
                <c:pt idx="13">
                  <c:v>2709.795875944686</c:v>
                </c:pt>
                <c:pt idx="14">
                  <c:v>2757.7445965802553</c:v>
                </c:pt>
                <c:pt idx="15">
                  <c:v>2802.0956343307598</c:v>
                </c:pt>
                <c:pt idx="16">
                  <c:v>2854.5920843191443</c:v>
                </c:pt>
                <c:pt idx="17">
                  <c:v>2920.4880245072482</c:v>
                </c:pt>
                <c:pt idx="18">
                  <c:v>2974.4882959863826</c:v>
                </c:pt>
                <c:pt idx="19">
                  <c:v>3028.9302231111574</c:v>
                </c:pt>
                <c:pt idx="20">
                  <c:v>3094.3681649355021</c:v>
                </c:pt>
                <c:pt idx="21">
                  <c:v>3164.033992993629</c:v>
                </c:pt>
                <c:pt idx="22">
                  <c:v>3238.0089949574353</c:v>
                </c:pt>
                <c:pt idx="23">
                  <c:v>3315.2894651604388</c:v>
                </c:pt>
                <c:pt idx="24">
                  <c:v>3395.1557266364357</c:v>
                </c:pt>
                <c:pt idx="25">
                  <c:v>3470.1008403756309</c:v>
                </c:pt>
                <c:pt idx="26">
                  <c:v>3546.6332077594516</c:v>
                </c:pt>
                <c:pt idx="27">
                  <c:v>3624.8360532382567</c:v>
                </c:pt>
                <c:pt idx="28">
                  <c:v>3706.6083970608752</c:v>
                </c:pt>
                <c:pt idx="29">
                  <c:v>3790.5155384385994</c:v>
                </c:pt>
                <c:pt idx="30">
                  <c:v>3842.0800669387309</c:v>
                </c:pt>
                <c:pt idx="31">
                  <c:v>3888.8597695942517</c:v>
                </c:pt>
                <c:pt idx="32">
                  <c:v>3938.7085361162012</c:v>
                </c:pt>
                <c:pt idx="33">
                  <c:v>3985.2140129658874</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11419.018508485759</c:v>
                </c:pt>
                <c:pt idx="2">
                  <c:v>11455.653532484115</c:v>
                </c:pt>
                <c:pt idx="3">
                  <c:v>10739.801960560329</c:v>
                </c:pt>
                <c:pt idx="4">
                  <c:v>11000.578009537285</c:v>
                </c:pt>
                <c:pt idx="5">
                  <c:v>11243.834305614109</c:v>
                </c:pt>
                <c:pt idx="6">
                  <c:v>11463.236273772985</c:v>
                </c:pt>
                <c:pt idx="7">
                  <c:v>11710.679522179353</c:v>
                </c:pt>
                <c:pt idx="8">
                  <c:v>11933.798841008331</c:v>
                </c:pt>
                <c:pt idx="9">
                  <c:v>12188.096390936</c:v>
                </c:pt>
                <c:pt idx="10">
                  <c:v>12441.423119723731</c:v>
                </c:pt>
                <c:pt idx="11">
                  <c:v>12618.101263005801</c:v>
                </c:pt>
                <c:pt idx="12">
                  <c:v>12808.426706710623</c:v>
                </c:pt>
                <c:pt idx="13">
                  <c:v>13037.878588554946</c:v>
                </c:pt>
                <c:pt idx="14">
                  <c:v>13357.178012949347</c:v>
                </c:pt>
                <c:pt idx="15">
                  <c:v>13652.519799702362</c:v>
                </c:pt>
                <c:pt idx="16">
                  <c:v>14002.103397384553</c:v>
                </c:pt>
                <c:pt idx="17">
                  <c:v>14440.916685686996</c:v>
                </c:pt>
                <c:pt idx="18">
                  <c:v>14800.514509609711</c:v>
                </c:pt>
                <c:pt idx="19">
                  <c:v>15163.053400396448</c:v>
                </c:pt>
                <c:pt idx="20">
                  <c:v>15598.816792643614</c:v>
                </c:pt>
                <c:pt idx="21">
                  <c:v>16062.734463523406</c:v>
                </c:pt>
                <c:pt idx="22">
                  <c:v>16555.347722720482</c:v>
                </c:pt>
                <c:pt idx="23">
                  <c:v>17069.9727080312</c:v>
                </c:pt>
                <c:pt idx="24">
                  <c:v>17601.816957049621</c:v>
                </c:pt>
                <c:pt idx="25">
                  <c:v>18100.890370498448</c:v>
                </c:pt>
                <c:pt idx="26">
                  <c:v>18610.533600375722</c:v>
                </c:pt>
                <c:pt idx="27">
                  <c:v>19131.300853733122</c:v>
                </c:pt>
                <c:pt idx="28">
                  <c:v>19675.838058643949</c:v>
                </c:pt>
                <c:pt idx="29">
                  <c:v>20234.591276443305</c:v>
                </c:pt>
                <c:pt idx="30">
                  <c:v>20577.969036079438</c:v>
                </c:pt>
                <c:pt idx="31">
                  <c:v>20889.483752911496</c:v>
                </c:pt>
                <c:pt idx="32">
                  <c:v>21221.435935289894</c:v>
                </c:pt>
                <c:pt idx="33">
                  <c:v>21531.124531616624</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64886.148572305057</c:v>
                </c:pt>
                <c:pt idx="2">
                  <c:v>61517.098453473154</c:v>
                </c:pt>
                <c:pt idx="3">
                  <c:v>58322.977791126905</c:v>
                </c:pt>
                <c:pt idx="4">
                  <c:v>55294.7038130703</c:v>
                </c:pt>
                <c:pt idx="5">
                  <c:v>52423.665347216396</c:v>
                </c:pt>
                <c:pt idx="6">
                  <c:v>49701.698334937471</c:v>
                </c:pt>
                <c:pt idx="7">
                  <c:v>47121.062615822855</c:v>
                </c:pt>
                <c:pt idx="8">
                  <c:v>44674.419917829786</c:v>
                </c:pt>
                <c:pt idx="9">
                  <c:v>42354.812990240433</c:v>
                </c:pt>
                <c:pt idx="10">
                  <c:v>41164.252659930076</c:v>
                </c:pt>
                <c:pt idx="11">
                  <c:v>40155.499529559682</c:v>
                </c:pt>
                <c:pt idx="12">
                  <c:v>38009.98770513614</c:v>
                </c:pt>
                <c:pt idx="13">
                  <c:v>35702.124993780788</c:v>
                </c:pt>
                <c:pt idx="14">
                  <c:v>35064.132192428217</c:v>
                </c:pt>
                <c:pt idx="15">
                  <c:v>34080.118607229233</c:v>
                </c:pt>
                <c:pt idx="16">
                  <c:v>33376.416430253179</c:v>
                </c:pt>
                <c:pt idx="17">
                  <c:v>32935.591704796498</c:v>
                </c:pt>
                <c:pt idx="18">
                  <c:v>28630.384101050156</c:v>
                </c:pt>
                <c:pt idx="19">
                  <c:v>27627.206795850376</c:v>
                </c:pt>
                <c:pt idx="20">
                  <c:v>26659.179724825452</c:v>
                </c:pt>
                <c:pt idx="21">
                  <c:v>25725.071262263606</c:v>
                </c:pt>
                <c:pt idx="22">
                  <c:v>24823.692937269239</c:v>
                </c:pt>
                <c:pt idx="23">
                  <c:v>23953.89792166539</c:v>
                </c:pt>
                <c:pt idx="24">
                  <c:v>22650.218174049238</c:v>
                </c:pt>
                <c:pt idx="25">
                  <c:v>21417.490590039306</c:v>
                </c:pt>
                <c:pt idx="26">
                  <c:v>20251.853631148377</c:v>
                </c:pt>
                <c:pt idx="27">
                  <c:v>19149.655921324491</c:v>
                </c:pt>
                <c:pt idx="28">
                  <c:v>18107.444808958157</c:v>
                </c:pt>
                <c:pt idx="29">
                  <c:v>17121.955551397077</c:v>
                </c:pt>
                <c:pt idx="30">
                  <c:v>16190.101088088575</c:v>
                </c:pt>
                <c:pt idx="31">
                  <c:v>15308.962370313995</c:v>
                </c:pt>
                <c:pt idx="32">
                  <c:v>14475.779217222876</c:v>
                </c:pt>
                <c:pt idx="33">
                  <c:v>13687.941669523079</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6432.32104401378</c:v>
                </c:pt>
                <c:pt idx="2">
                  <c:v>6988.7664970578244</c:v>
                </c:pt>
                <c:pt idx="3">
                  <c:v>6939.30328983458</c:v>
                </c:pt>
                <c:pt idx="4">
                  <c:v>7392.1367874310008</c:v>
                </c:pt>
                <c:pt idx="5">
                  <c:v>7869.0152177991104</c:v>
                </c:pt>
                <c:pt idx="6">
                  <c:v>8342.2640857004826</c:v>
                </c:pt>
                <c:pt idx="7">
                  <c:v>8941.5155742065763</c:v>
                </c:pt>
                <c:pt idx="8">
                  <c:v>9608.1154935988525</c:v>
                </c:pt>
                <c:pt idx="9">
                  <c:v>10045.521698161923</c:v>
                </c:pt>
                <c:pt idx="10">
                  <c:v>10710.806264537416</c:v>
                </c:pt>
                <c:pt idx="11">
                  <c:v>11398.629314904294</c:v>
                </c:pt>
                <c:pt idx="12">
                  <c:v>11903.297917075572</c:v>
                </c:pt>
                <c:pt idx="13">
                  <c:v>12394.994545545656</c:v>
                </c:pt>
                <c:pt idx="14">
                  <c:v>12320.463974427052</c:v>
                </c:pt>
                <c:pt idx="15">
                  <c:v>12153.052925975917</c:v>
                </c:pt>
                <c:pt idx="16">
                  <c:v>12070.153824123488</c:v>
                </c:pt>
                <c:pt idx="17">
                  <c:v>12076.718679374257</c:v>
                </c:pt>
                <c:pt idx="18">
                  <c:v>10540.311141802884</c:v>
                </c:pt>
                <c:pt idx="19">
                  <c:v>8832.7229075789801</c:v>
                </c:pt>
                <c:pt idx="20">
                  <c:v>8138.3058742339672</c:v>
                </c:pt>
                <c:pt idx="21">
                  <c:v>7509.2255221949799</c:v>
                </c:pt>
                <c:pt idx="22">
                  <c:v>6887.7812506563059</c:v>
                </c:pt>
                <c:pt idx="23">
                  <c:v>6272.1944409231228</c:v>
                </c:pt>
                <c:pt idx="24">
                  <c:v>6224.5328920381708</c:v>
                </c:pt>
                <c:pt idx="25">
                  <c:v>6168.1508131642513</c:v>
                </c:pt>
                <c:pt idx="26">
                  <c:v>6114.5814303824536</c:v>
                </c:pt>
                <c:pt idx="27">
                  <c:v>6063.9722217515518</c:v>
                </c:pt>
                <c:pt idx="28">
                  <c:v>6019.6883500171662</c:v>
                </c:pt>
                <c:pt idx="29">
                  <c:v>6037.2497861986949</c:v>
                </c:pt>
                <c:pt idx="30">
                  <c:v>5997.4984285757591</c:v>
                </c:pt>
                <c:pt idx="31">
                  <c:v>5949.2681104538569</c:v>
                </c:pt>
                <c:pt idx="32">
                  <c:v>5906.4763332814782</c:v>
                </c:pt>
                <c:pt idx="33">
                  <c:v>5857.7600727551971</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1870.6618877196547</c:v>
                </c:pt>
                <c:pt idx="3">
                  <c:v>1838.3552196790363</c:v>
                </c:pt>
                <c:pt idx="4">
                  <c:v>1952.7072718925085</c:v>
                </c:pt>
                <c:pt idx="5">
                  <c:v>2064.4284088169666</c:v>
                </c:pt>
                <c:pt idx="6">
                  <c:v>2172.5673767241883</c:v>
                </c:pt>
                <c:pt idx="7">
                  <c:v>2284.9172620654172</c:v>
                </c:pt>
                <c:pt idx="8">
                  <c:v>2393.6144590052254</c:v>
                </c:pt>
                <c:pt idx="9">
                  <c:v>2506.9936446322913</c:v>
                </c:pt>
                <c:pt idx="10">
                  <c:v>2620.2270434897314</c:v>
                </c:pt>
                <c:pt idx="11">
                  <c:v>2646.7585380287851</c:v>
                </c:pt>
                <c:pt idx="12">
                  <c:v>2675.3394274160801</c:v>
                </c:pt>
                <c:pt idx="13">
                  <c:v>2709.795875944686</c:v>
                </c:pt>
                <c:pt idx="14">
                  <c:v>2757.7445965802553</c:v>
                </c:pt>
                <c:pt idx="15">
                  <c:v>2802.0956343307598</c:v>
                </c:pt>
                <c:pt idx="16">
                  <c:v>2854.5920843191443</c:v>
                </c:pt>
                <c:pt idx="17">
                  <c:v>2920.4880245072482</c:v>
                </c:pt>
                <c:pt idx="18">
                  <c:v>2974.4882959863826</c:v>
                </c:pt>
                <c:pt idx="19">
                  <c:v>3028.9302231111574</c:v>
                </c:pt>
                <c:pt idx="20">
                  <c:v>3094.3681649355021</c:v>
                </c:pt>
                <c:pt idx="21">
                  <c:v>3164.033992993629</c:v>
                </c:pt>
                <c:pt idx="22">
                  <c:v>3238.0089949574353</c:v>
                </c:pt>
                <c:pt idx="23">
                  <c:v>3315.2894651604388</c:v>
                </c:pt>
                <c:pt idx="24">
                  <c:v>3395.1557266364357</c:v>
                </c:pt>
                <c:pt idx="25">
                  <c:v>3470.1008403756309</c:v>
                </c:pt>
                <c:pt idx="26">
                  <c:v>3546.6332077594516</c:v>
                </c:pt>
                <c:pt idx="27">
                  <c:v>3624.8360532382567</c:v>
                </c:pt>
                <c:pt idx="28">
                  <c:v>3706.6083970608752</c:v>
                </c:pt>
                <c:pt idx="29">
                  <c:v>3790.5155384385994</c:v>
                </c:pt>
                <c:pt idx="30">
                  <c:v>3842.0800669387309</c:v>
                </c:pt>
                <c:pt idx="31">
                  <c:v>3888.8597695942517</c:v>
                </c:pt>
                <c:pt idx="32">
                  <c:v>3938.7085361162012</c:v>
                </c:pt>
                <c:pt idx="33">
                  <c:v>3985.2140129658874</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11455.653532484115</c:v>
                </c:pt>
                <c:pt idx="3">
                  <c:v>10739.801960560329</c:v>
                </c:pt>
                <c:pt idx="4">
                  <c:v>11000.578009537285</c:v>
                </c:pt>
                <c:pt idx="5">
                  <c:v>11243.834305614109</c:v>
                </c:pt>
                <c:pt idx="6">
                  <c:v>11463.236273772985</c:v>
                </c:pt>
                <c:pt idx="7">
                  <c:v>11710.679522179353</c:v>
                </c:pt>
                <c:pt idx="8">
                  <c:v>11933.798841008331</c:v>
                </c:pt>
                <c:pt idx="9">
                  <c:v>12188.096390936</c:v>
                </c:pt>
                <c:pt idx="10">
                  <c:v>12441.423119723731</c:v>
                </c:pt>
                <c:pt idx="11">
                  <c:v>12618.101263005801</c:v>
                </c:pt>
                <c:pt idx="12">
                  <c:v>12808.426706710623</c:v>
                </c:pt>
                <c:pt idx="13">
                  <c:v>13037.878588554946</c:v>
                </c:pt>
                <c:pt idx="14">
                  <c:v>13357.178012949347</c:v>
                </c:pt>
                <c:pt idx="15">
                  <c:v>13652.519799702362</c:v>
                </c:pt>
                <c:pt idx="16">
                  <c:v>14002.103397384553</c:v>
                </c:pt>
                <c:pt idx="17">
                  <c:v>14440.916685686996</c:v>
                </c:pt>
                <c:pt idx="18">
                  <c:v>14800.514509609711</c:v>
                </c:pt>
                <c:pt idx="19">
                  <c:v>15163.053400396448</c:v>
                </c:pt>
                <c:pt idx="20">
                  <c:v>15598.816792643614</c:v>
                </c:pt>
                <c:pt idx="21">
                  <c:v>16062.734463523406</c:v>
                </c:pt>
                <c:pt idx="22">
                  <c:v>16555.347722720482</c:v>
                </c:pt>
                <c:pt idx="23">
                  <c:v>17069.9727080312</c:v>
                </c:pt>
                <c:pt idx="24">
                  <c:v>17601.816957049621</c:v>
                </c:pt>
                <c:pt idx="25">
                  <c:v>18100.890370498448</c:v>
                </c:pt>
                <c:pt idx="26">
                  <c:v>18610.533600375722</c:v>
                </c:pt>
                <c:pt idx="27">
                  <c:v>19131.300853733122</c:v>
                </c:pt>
                <c:pt idx="28">
                  <c:v>19675.838058643949</c:v>
                </c:pt>
                <c:pt idx="29">
                  <c:v>20234.591276443305</c:v>
                </c:pt>
                <c:pt idx="30">
                  <c:v>20577.969036079438</c:v>
                </c:pt>
                <c:pt idx="31">
                  <c:v>20889.483752911496</c:v>
                </c:pt>
                <c:pt idx="32">
                  <c:v>21221.435935289894</c:v>
                </c:pt>
                <c:pt idx="33">
                  <c:v>21531.124531616624</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7215.5760361663397</c:v>
                </c:pt>
                <c:pt idx="4">
                  <c:v>7419.0574372368628</c:v>
                </c:pt>
                <c:pt idx="5">
                  <c:v>7619.6660315280851</c:v>
                </c:pt>
                <c:pt idx="6">
                  <c:v>7816.9050072111759</c:v>
                </c:pt>
                <c:pt idx="7">
                  <c:v>8015.016565619344</c:v>
                </c:pt>
                <c:pt idx="8">
                  <c:v>8213.8550166057721</c:v>
                </c:pt>
                <c:pt idx="9">
                  <c:v>8413.2712143112476</c:v>
                </c:pt>
                <c:pt idx="10">
                  <c:v>8613.112729403827</c:v>
                </c:pt>
                <c:pt idx="11">
                  <c:v>8813.224030306008</c:v>
                </c:pt>
                <c:pt idx="12">
                  <c:v>9014.0815751560822</c:v>
                </c:pt>
                <c:pt idx="13">
                  <c:v>9215.5670268003014</c:v>
                </c:pt>
                <c:pt idx="14">
                  <c:v>9298.4026733512983</c:v>
                </c:pt>
                <c:pt idx="15">
                  <c:v>9379.5428434784317</c:v>
                </c:pt>
                <c:pt idx="16">
                  <c:v>9458.9297120025185</c:v>
                </c:pt>
                <c:pt idx="17">
                  <c:v>9536.6937035335832</c:v>
                </c:pt>
                <c:pt idx="18">
                  <c:v>9612.7833502769245</c:v>
                </c:pt>
                <c:pt idx="19">
                  <c:v>9687.1479674418806</c:v>
                </c:pt>
                <c:pt idx="20">
                  <c:v>9759.7377090548234</c:v>
                </c:pt>
                <c:pt idx="21">
                  <c:v>9830.5036232269922</c:v>
                </c:pt>
                <c:pt idx="22">
                  <c:v>9899.5999814492607</c:v>
                </c:pt>
                <c:pt idx="23">
                  <c:v>9966.983995192315</c:v>
                </c:pt>
                <c:pt idx="24">
                  <c:v>10032.613706250633</c:v>
                </c:pt>
                <c:pt idx="25">
                  <c:v>10096.448030026901</c:v>
                </c:pt>
                <c:pt idx="26">
                  <c:v>10158.446798160428</c:v>
                </c:pt>
                <c:pt idx="27">
                  <c:v>10218.579205729577</c:v>
                </c:pt>
                <c:pt idx="28">
                  <c:v>10276.807189192088</c:v>
                </c:pt>
                <c:pt idx="29">
                  <c:v>10333.093715060619</c:v>
                </c:pt>
                <c:pt idx="30">
                  <c:v>10387.402818995562</c:v>
                </c:pt>
                <c:pt idx="31">
                  <c:v>10439.699643955413</c:v>
                </c:pt>
                <c:pt idx="32">
                  <c:v>10489.922288227726</c:v>
                </c:pt>
                <c:pt idx="33">
                  <c:v>10538.037819095725</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2714.9921597943135</c:v>
                </c:pt>
                <c:pt idx="4">
                  <c:v>2494.8064858860807</c:v>
                </c:pt>
                <c:pt idx="5">
                  <c:v>2075.3453638761698</c:v>
                </c:pt>
                <c:pt idx="6">
                  <c:v>1968.2378886170527</c:v>
                </c:pt>
                <c:pt idx="7">
                  <c:v>1859.5083534018886</c:v>
                </c:pt>
                <c:pt idx="8">
                  <c:v>1749.0495275083481</c:v>
                </c:pt>
                <c:pt idx="9">
                  <c:v>1636.7507386211962</c:v>
                </c:pt>
                <c:pt idx="10">
                  <c:v>1522.4974752674802</c:v>
                </c:pt>
                <c:pt idx="11">
                  <c:v>1406.1709663003417</c:v>
                </c:pt>
                <c:pt idx="12">
                  <c:v>1287.6152261868533</c:v>
                </c:pt>
                <c:pt idx="13">
                  <c:v>1166.7106007098362</c:v>
                </c:pt>
                <c:pt idx="14">
                  <c:v>1028.8007283738625</c:v>
                </c:pt>
                <c:pt idx="15">
                  <c:v>891.87365805108493</c:v>
                </c:pt>
                <c:pt idx="16">
                  <c:v>889.25826204258135</c:v>
                </c:pt>
                <c:pt idx="17">
                  <c:v>886.75301531348384</c:v>
                </c:pt>
                <c:pt idx="18">
                  <c:v>884.35424466052859</c:v>
                </c:pt>
                <c:pt idx="19">
                  <c:v>882.05848661287541</c:v>
                </c:pt>
                <c:pt idx="20">
                  <c:v>879.86247537060865</c:v>
                </c:pt>
                <c:pt idx="21">
                  <c:v>877.76313165975205</c:v>
                </c:pt>
                <c:pt idx="22">
                  <c:v>875.75171849957303</c:v>
                </c:pt>
                <c:pt idx="23">
                  <c:v>873.82569099040768</c:v>
                </c:pt>
                <c:pt idx="24">
                  <c:v>871.98264361125325</c:v>
                </c:pt>
                <c:pt idx="25">
                  <c:v>870.22030312308186</c:v>
                </c:pt>
                <c:pt idx="26">
                  <c:v>868.53652197774227</c:v>
                </c:pt>
                <c:pt idx="27">
                  <c:v>866.9290492384863</c:v>
                </c:pt>
                <c:pt idx="28">
                  <c:v>865.39597684674754</c:v>
                </c:pt>
                <c:pt idx="29">
                  <c:v>863.93550472719085</c:v>
                </c:pt>
                <c:pt idx="30">
                  <c:v>862.54593590820514</c:v>
                </c:pt>
                <c:pt idx="31">
                  <c:v>861.22567198914794</c:v>
                </c:pt>
                <c:pt idx="32">
                  <c:v>859.97390714295341</c:v>
                </c:pt>
                <c:pt idx="33">
                  <c:v>858.78921277892312</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64333.325846758482</c:v>
                </c:pt>
                <c:pt idx="2">
                  <c:v>60911.34042937772</c:v>
                </c:pt>
                <c:pt idx="3">
                  <c:v>55436.163761568474</c:v>
                </c:pt>
                <c:pt idx="4">
                  <c:v>44485.810425950018</c:v>
                </c:pt>
                <c:pt idx="5">
                  <c:v>40704.728491659087</c:v>
                </c:pt>
                <c:pt idx="6">
                  <c:v>39040.157505603231</c:v>
                </c:pt>
                <c:pt idx="7">
                  <c:v>37944.453527465099</c:v>
                </c:pt>
                <c:pt idx="8">
                  <c:v>36950.993914491351</c:v>
                </c:pt>
                <c:pt idx="9">
                  <c:v>34415.94874142437</c:v>
                </c:pt>
                <c:pt idx="10">
                  <c:v>32931.674986665217</c:v>
                </c:pt>
                <c:pt idx="11">
                  <c:v>31427.387326500782</c:v>
                </c:pt>
                <c:pt idx="12">
                  <c:v>29113.673346092295</c:v>
                </c:pt>
                <c:pt idx="13">
                  <c:v>26776.593745335587</c:v>
                </c:pt>
                <c:pt idx="14">
                  <c:v>26298.099144321164</c:v>
                </c:pt>
                <c:pt idx="15">
                  <c:v>25560.088955421925</c:v>
                </c:pt>
                <c:pt idx="16">
                  <c:v>25032.312322689886</c:v>
                </c:pt>
                <c:pt idx="17">
                  <c:v>24701.693778597375</c:v>
                </c:pt>
                <c:pt idx="18">
                  <c:v>19805.397288792796</c:v>
                </c:pt>
                <c:pt idx="19">
                  <c:v>14393.210798639435</c:v>
                </c:pt>
                <c:pt idx="20">
                  <c:v>13687.941669523079</c:v>
                </c:pt>
                <c:pt idx="21">
                  <c:v>13687.941669523081</c:v>
                </c:pt>
                <c:pt idx="22">
                  <c:v>13687.941669523079</c:v>
                </c:pt>
                <c:pt idx="23">
                  <c:v>13687.941669523079</c:v>
                </c:pt>
                <c:pt idx="24">
                  <c:v>13687.941669523079</c:v>
                </c:pt>
                <c:pt idx="25">
                  <c:v>13687.941669523079</c:v>
                </c:pt>
                <c:pt idx="26">
                  <c:v>13687.941669523079</c:v>
                </c:pt>
                <c:pt idx="27">
                  <c:v>13687.941669523079</c:v>
                </c:pt>
                <c:pt idx="28">
                  <c:v>13687.941669523079</c:v>
                </c:pt>
                <c:pt idx="29">
                  <c:v>13687.941669523079</c:v>
                </c:pt>
                <c:pt idx="30">
                  <c:v>13687.941669523076</c:v>
                </c:pt>
                <c:pt idx="31">
                  <c:v>13687.941669523079</c:v>
                </c:pt>
                <c:pt idx="32">
                  <c:v>13687.941669523081</c:v>
                </c:pt>
                <c:pt idx="33">
                  <c:v>13687.941669523076</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7449.3121878932852</c:v>
                </c:pt>
                <c:pt idx="2">
                  <c:v>9116.1397155734267</c:v>
                </c:pt>
                <c:pt idx="3">
                  <c:v>9913.4637184620151</c:v>
                </c:pt>
                <c:pt idx="4">
                  <c:v>11290.993479866895</c:v>
                </c:pt>
                <c:pt idx="5">
                  <c:v>12647.120937152275</c:v>
                </c:pt>
                <c:pt idx="6">
                  <c:v>13918.216416114146</c:v>
                </c:pt>
                <c:pt idx="7">
                  <c:v>15349.055436467395</c:v>
                </c:pt>
                <c:pt idx="8">
                  <c:v>16830.408052767856</c:v>
                </c:pt>
                <c:pt idx="9">
                  <c:v>17704.011594591699</c:v>
                </c:pt>
                <c:pt idx="10">
                  <c:v>18943.383937802279</c:v>
                </c:pt>
                <c:pt idx="11">
                  <c:v>20126.74151796319</c:v>
                </c:pt>
                <c:pt idx="12">
                  <c:v>20799.612276119413</c:v>
                </c:pt>
                <c:pt idx="13">
                  <c:v>21320.525793990855</c:v>
                </c:pt>
                <c:pt idx="14">
                  <c:v>21086.497022534106</c:v>
                </c:pt>
                <c:pt idx="15">
                  <c:v>20673.082577783225</c:v>
                </c:pt>
                <c:pt idx="16">
                  <c:v>20414.257931686781</c:v>
                </c:pt>
                <c:pt idx="17">
                  <c:v>20310.616605573381</c:v>
                </c:pt>
                <c:pt idx="18">
                  <c:v>17142.110238067151</c:v>
                </c:pt>
                <c:pt idx="19">
                  <c:v>13630.459840458792</c:v>
                </c:pt>
                <c:pt idx="20">
                  <c:v>12125.666334098212</c:v>
                </c:pt>
                <c:pt idx="21">
                  <c:v>10744.054155835882</c:v>
                </c:pt>
                <c:pt idx="22">
                  <c:v>9370.078058073861</c:v>
                </c:pt>
                <c:pt idx="23">
                  <c:v>8001.9594221173338</c:v>
                </c:pt>
                <c:pt idx="24">
                  <c:v>7765.1091511029153</c:v>
                </c:pt>
                <c:pt idx="25">
                  <c:v>7519.5383500995285</c:v>
                </c:pt>
                <c:pt idx="26">
                  <c:v>7276.7802451882635</c:v>
                </c:pt>
                <c:pt idx="27">
                  <c:v>7036.9823144278953</c:v>
                </c:pt>
                <c:pt idx="28">
                  <c:v>6803.5097205640423</c:v>
                </c:pt>
                <c:pt idx="29">
                  <c:v>6689.944770124901</c:v>
                </c:pt>
                <c:pt idx="30">
                  <c:v>6519.0670258812952</c:v>
                </c:pt>
                <c:pt idx="31">
                  <c:v>6339.7103211387221</c:v>
                </c:pt>
                <c:pt idx="32">
                  <c:v>6165.7921573456742</c:v>
                </c:pt>
                <c:pt idx="33">
                  <c:v>5985.9495101987231</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1789.9687605419947</c:v>
                </c:pt>
                <c:pt idx="2">
                  <c:v>1870.6618877196547</c:v>
                </c:pt>
                <c:pt idx="3">
                  <c:v>1913.5469196790364</c:v>
                </c:pt>
                <c:pt idx="4">
                  <c:v>2253.4740718925086</c:v>
                </c:pt>
                <c:pt idx="5">
                  <c:v>2440.3869088169668</c:v>
                </c:pt>
                <c:pt idx="6">
                  <c:v>2473.3341767241886</c:v>
                </c:pt>
                <c:pt idx="7">
                  <c:v>2510.4923620654172</c:v>
                </c:pt>
                <c:pt idx="8">
                  <c:v>2543.9978590052256</c:v>
                </c:pt>
                <c:pt idx="9">
                  <c:v>2582.1853446322916</c:v>
                </c:pt>
                <c:pt idx="10">
                  <c:v>2620.2270434897314</c:v>
                </c:pt>
                <c:pt idx="11">
                  <c:v>2646.7585380287851</c:v>
                </c:pt>
                <c:pt idx="12">
                  <c:v>2675.3394274160801</c:v>
                </c:pt>
                <c:pt idx="13">
                  <c:v>2709.795875944686</c:v>
                </c:pt>
                <c:pt idx="14">
                  <c:v>2757.7445965802553</c:v>
                </c:pt>
                <c:pt idx="15">
                  <c:v>2802.0956343307598</c:v>
                </c:pt>
                <c:pt idx="16">
                  <c:v>2854.5920843191443</c:v>
                </c:pt>
                <c:pt idx="17">
                  <c:v>2920.4880245072482</c:v>
                </c:pt>
                <c:pt idx="18">
                  <c:v>2974.4882959863826</c:v>
                </c:pt>
                <c:pt idx="19">
                  <c:v>3028.9302231111574</c:v>
                </c:pt>
                <c:pt idx="20">
                  <c:v>3094.3681649355021</c:v>
                </c:pt>
                <c:pt idx="21">
                  <c:v>3164.033992993629</c:v>
                </c:pt>
                <c:pt idx="22">
                  <c:v>3238.0089949574353</c:v>
                </c:pt>
                <c:pt idx="23">
                  <c:v>3315.2894651604388</c:v>
                </c:pt>
                <c:pt idx="24">
                  <c:v>3395.1557266364357</c:v>
                </c:pt>
                <c:pt idx="25">
                  <c:v>3470.1008403756309</c:v>
                </c:pt>
                <c:pt idx="26">
                  <c:v>3546.6332077594516</c:v>
                </c:pt>
                <c:pt idx="27">
                  <c:v>3624.8360532382567</c:v>
                </c:pt>
                <c:pt idx="28">
                  <c:v>3706.6083970608752</c:v>
                </c:pt>
                <c:pt idx="29">
                  <c:v>3790.5155384385994</c:v>
                </c:pt>
                <c:pt idx="30">
                  <c:v>3842.0800669387309</c:v>
                </c:pt>
                <c:pt idx="31">
                  <c:v>3888.8597695942517</c:v>
                </c:pt>
                <c:pt idx="32">
                  <c:v>3938.7085361162012</c:v>
                </c:pt>
                <c:pt idx="33">
                  <c:v>3985.2140129658874</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11419.018508485759</c:v>
                </c:pt>
                <c:pt idx="2">
                  <c:v>11455.653532484115</c:v>
                </c:pt>
                <c:pt idx="3">
                  <c:v>10739.801960560329</c:v>
                </c:pt>
                <c:pt idx="4">
                  <c:v>11000.578009537285</c:v>
                </c:pt>
                <c:pt idx="5">
                  <c:v>11243.834305614109</c:v>
                </c:pt>
                <c:pt idx="6">
                  <c:v>11463.236273772985</c:v>
                </c:pt>
                <c:pt idx="7">
                  <c:v>11710.679522179353</c:v>
                </c:pt>
                <c:pt idx="8">
                  <c:v>11933.798841008331</c:v>
                </c:pt>
                <c:pt idx="9">
                  <c:v>12188.096390936</c:v>
                </c:pt>
                <c:pt idx="10">
                  <c:v>12441.423119723731</c:v>
                </c:pt>
                <c:pt idx="11">
                  <c:v>12618.101263005801</c:v>
                </c:pt>
                <c:pt idx="12">
                  <c:v>12808.426706710623</c:v>
                </c:pt>
                <c:pt idx="13">
                  <c:v>13037.878588554946</c:v>
                </c:pt>
                <c:pt idx="14">
                  <c:v>13357.178012949347</c:v>
                </c:pt>
                <c:pt idx="15">
                  <c:v>13652.519799702362</c:v>
                </c:pt>
                <c:pt idx="16">
                  <c:v>14002.103397384553</c:v>
                </c:pt>
                <c:pt idx="17">
                  <c:v>14440.916685686996</c:v>
                </c:pt>
                <c:pt idx="18">
                  <c:v>14800.514509609711</c:v>
                </c:pt>
                <c:pt idx="19">
                  <c:v>15163.053400396448</c:v>
                </c:pt>
                <c:pt idx="20">
                  <c:v>15598.816792643614</c:v>
                </c:pt>
                <c:pt idx="21">
                  <c:v>16062.734463523406</c:v>
                </c:pt>
                <c:pt idx="22">
                  <c:v>16555.347722720482</c:v>
                </c:pt>
                <c:pt idx="23">
                  <c:v>17069.9727080312</c:v>
                </c:pt>
                <c:pt idx="24">
                  <c:v>17601.816957049621</c:v>
                </c:pt>
                <c:pt idx="25">
                  <c:v>18100.890370498448</c:v>
                </c:pt>
                <c:pt idx="26">
                  <c:v>18610.533600375722</c:v>
                </c:pt>
                <c:pt idx="27">
                  <c:v>19131.300853733122</c:v>
                </c:pt>
                <c:pt idx="28">
                  <c:v>19675.838058643949</c:v>
                </c:pt>
                <c:pt idx="29">
                  <c:v>20234.591276443305</c:v>
                </c:pt>
                <c:pt idx="30">
                  <c:v>20577.969036079438</c:v>
                </c:pt>
                <c:pt idx="31">
                  <c:v>20889.483752911496</c:v>
                </c:pt>
                <c:pt idx="32">
                  <c:v>21221.435935289894</c:v>
                </c:pt>
                <c:pt idx="33">
                  <c:v>21531.124531616624</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64333.325846758482</c:v>
                </c:pt>
                <c:pt idx="2">
                  <c:v>60911.34042937772</c:v>
                </c:pt>
                <c:pt idx="3">
                  <c:v>55436.163761568474</c:v>
                </c:pt>
                <c:pt idx="4">
                  <c:v>44485.810425950018</c:v>
                </c:pt>
                <c:pt idx="5">
                  <c:v>40704.728491659087</c:v>
                </c:pt>
                <c:pt idx="6">
                  <c:v>39040.157505603231</c:v>
                </c:pt>
                <c:pt idx="7">
                  <c:v>37944.453527465099</c:v>
                </c:pt>
                <c:pt idx="8">
                  <c:v>36950.993914491351</c:v>
                </c:pt>
                <c:pt idx="9">
                  <c:v>34415.94874142437</c:v>
                </c:pt>
                <c:pt idx="10">
                  <c:v>32931.674986665217</c:v>
                </c:pt>
                <c:pt idx="11">
                  <c:v>31427.387326500782</c:v>
                </c:pt>
                <c:pt idx="12">
                  <c:v>29113.673346092295</c:v>
                </c:pt>
                <c:pt idx="13">
                  <c:v>26776.593745335587</c:v>
                </c:pt>
                <c:pt idx="14">
                  <c:v>26298.099144321164</c:v>
                </c:pt>
                <c:pt idx="15">
                  <c:v>25560.088955421925</c:v>
                </c:pt>
                <c:pt idx="16">
                  <c:v>25032.312322689886</c:v>
                </c:pt>
                <c:pt idx="17">
                  <c:v>24701.693778597375</c:v>
                </c:pt>
                <c:pt idx="18">
                  <c:v>19805.397288792796</c:v>
                </c:pt>
                <c:pt idx="19">
                  <c:v>14393.210798639435</c:v>
                </c:pt>
                <c:pt idx="20">
                  <c:v>13687.941669523079</c:v>
                </c:pt>
                <c:pt idx="21">
                  <c:v>13687.941669523081</c:v>
                </c:pt>
                <c:pt idx="22">
                  <c:v>13687.941669523079</c:v>
                </c:pt>
                <c:pt idx="23">
                  <c:v>13687.941669523079</c:v>
                </c:pt>
                <c:pt idx="24">
                  <c:v>13687.941669523079</c:v>
                </c:pt>
                <c:pt idx="25">
                  <c:v>13687.941669523079</c:v>
                </c:pt>
                <c:pt idx="26">
                  <c:v>13687.941669523079</c:v>
                </c:pt>
                <c:pt idx="27">
                  <c:v>13687.941669523079</c:v>
                </c:pt>
                <c:pt idx="28">
                  <c:v>13687.941669523079</c:v>
                </c:pt>
                <c:pt idx="29">
                  <c:v>13687.941669523079</c:v>
                </c:pt>
                <c:pt idx="30">
                  <c:v>13687.941669523076</c:v>
                </c:pt>
                <c:pt idx="31">
                  <c:v>13687.941669523079</c:v>
                </c:pt>
                <c:pt idx="32">
                  <c:v>13687.941669523081</c:v>
                </c:pt>
                <c:pt idx="33">
                  <c:v>13687.941669523076</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7449.3121878932852</c:v>
                </c:pt>
                <c:pt idx="2">
                  <c:v>9116.1397155734267</c:v>
                </c:pt>
                <c:pt idx="3">
                  <c:v>9913.4637184620151</c:v>
                </c:pt>
                <c:pt idx="4">
                  <c:v>11290.993479866895</c:v>
                </c:pt>
                <c:pt idx="5">
                  <c:v>12647.120937152275</c:v>
                </c:pt>
                <c:pt idx="6">
                  <c:v>13918.216416114146</c:v>
                </c:pt>
                <c:pt idx="7">
                  <c:v>15349.055436467395</c:v>
                </c:pt>
                <c:pt idx="8">
                  <c:v>16830.408052767856</c:v>
                </c:pt>
                <c:pt idx="9">
                  <c:v>17704.011594591699</c:v>
                </c:pt>
                <c:pt idx="10">
                  <c:v>18943.383937802279</c:v>
                </c:pt>
                <c:pt idx="11">
                  <c:v>20126.74151796319</c:v>
                </c:pt>
                <c:pt idx="12">
                  <c:v>20799.612276119413</c:v>
                </c:pt>
                <c:pt idx="13">
                  <c:v>21320.525793990855</c:v>
                </c:pt>
                <c:pt idx="14">
                  <c:v>21086.497022534106</c:v>
                </c:pt>
                <c:pt idx="15">
                  <c:v>20673.082577783225</c:v>
                </c:pt>
                <c:pt idx="16">
                  <c:v>20414.257931686781</c:v>
                </c:pt>
                <c:pt idx="17">
                  <c:v>20310.616605573381</c:v>
                </c:pt>
                <c:pt idx="18">
                  <c:v>17142.110238067151</c:v>
                </c:pt>
                <c:pt idx="19">
                  <c:v>13630.459840458792</c:v>
                </c:pt>
                <c:pt idx="20">
                  <c:v>12125.666334098212</c:v>
                </c:pt>
                <c:pt idx="21">
                  <c:v>10744.054155835882</c:v>
                </c:pt>
                <c:pt idx="22">
                  <c:v>9370.078058073861</c:v>
                </c:pt>
                <c:pt idx="23">
                  <c:v>8001.9594221173338</c:v>
                </c:pt>
                <c:pt idx="24">
                  <c:v>7765.1091511029153</c:v>
                </c:pt>
                <c:pt idx="25">
                  <c:v>7519.5383500995285</c:v>
                </c:pt>
                <c:pt idx="26">
                  <c:v>7276.7802451882635</c:v>
                </c:pt>
                <c:pt idx="27">
                  <c:v>7036.9823144278953</c:v>
                </c:pt>
                <c:pt idx="28">
                  <c:v>6803.5097205640423</c:v>
                </c:pt>
                <c:pt idx="29">
                  <c:v>6689.944770124901</c:v>
                </c:pt>
                <c:pt idx="30">
                  <c:v>6519.0670258812952</c:v>
                </c:pt>
                <c:pt idx="31">
                  <c:v>6339.7103211387221</c:v>
                </c:pt>
                <c:pt idx="32">
                  <c:v>6165.7921573456742</c:v>
                </c:pt>
                <c:pt idx="33">
                  <c:v>5985.9495101987231</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1870.6618877196547</c:v>
                </c:pt>
                <c:pt idx="3">
                  <c:v>1913.5469196790364</c:v>
                </c:pt>
                <c:pt idx="4">
                  <c:v>2253.4740718925086</c:v>
                </c:pt>
                <c:pt idx="5">
                  <c:v>2440.3869088169668</c:v>
                </c:pt>
                <c:pt idx="6">
                  <c:v>2473.3341767241886</c:v>
                </c:pt>
                <c:pt idx="7">
                  <c:v>2510.4923620654172</c:v>
                </c:pt>
                <c:pt idx="8">
                  <c:v>2543.9978590052256</c:v>
                </c:pt>
                <c:pt idx="9">
                  <c:v>2582.1853446322916</c:v>
                </c:pt>
                <c:pt idx="10">
                  <c:v>2620.2270434897314</c:v>
                </c:pt>
                <c:pt idx="11">
                  <c:v>2646.7585380287851</c:v>
                </c:pt>
                <c:pt idx="12">
                  <c:v>2675.3394274160801</c:v>
                </c:pt>
                <c:pt idx="13">
                  <c:v>2709.795875944686</c:v>
                </c:pt>
                <c:pt idx="14">
                  <c:v>2757.7445965802553</c:v>
                </c:pt>
                <c:pt idx="15">
                  <c:v>2802.0956343307598</c:v>
                </c:pt>
                <c:pt idx="16">
                  <c:v>2854.5920843191443</c:v>
                </c:pt>
                <c:pt idx="17">
                  <c:v>2920.4880245072482</c:v>
                </c:pt>
                <c:pt idx="18">
                  <c:v>2974.4882959863826</c:v>
                </c:pt>
                <c:pt idx="19">
                  <c:v>3028.9302231111574</c:v>
                </c:pt>
                <c:pt idx="20">
                  <c:v>3094.3681649355021</c:v>
                </c:pt>
                <c:pt idx="21">
                  <c:v>3164.033992993629</c:v>
                </c:pt>
                <c:pt idx="22">
                  <c:v>3238.0089949574353</c:v>
                </c:pt>
                <c:pt idx="23">
                  <c:v>3315.2894651604388</c:v>
                </c:pt>
                <c:pt idx="24">
                  <c:v>3395.1557266364357</c:v>
                </c:pt>
                <c:pt idx="25">
                  <c:v>3470.1008403756309</c:v>
                </c:pt>
                <c:pt idx="26">
                  <c:v>3546.6332077594516</c:v>
                </c:pt>
                <c:pt idx="27">
                  <c:v>3624.8360532382567</c:v>
                </c:pt>
                <c:pt idx="28">
                  <c:v>3706.6083970608752</c:v>
                </c:pt>
                <c:pt idx="29">
                  <c:v>3790.5155384385994</c:v>
                </c:pt>
                <c:pt idx="30">
                  <c:v>3842.0800669387309</c:v>
                </c:pt>
                <c:pt idx="31">
                  <c:v>3888.8597695942517</c:v>
                </c:pt>
                <c:pt idx="32">
                  <c:v>3938.7085361162012</c:v>
                </c:pt>
                <c:pt idx="33">
                  <c:v>3985.2140129658874</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11455.653532484115</c:v>
                </c:pt>
                <c:pt idx="3">
                  <c:v>10739.801960560329</c:v>
                </c:pt>
                <c:pt idx="4">
                  <c:v>11000.578009537285</c:v>
                </c:pt>
                <c:pt idx="5">
                  <c:v>11243.834305614109</c:v>
                </c:pt>
                <c:pt idx="6">
                  <c:v>11463.236273772985</c:v>
                </c:pt>
                <c:pt idx="7">
                  <c:v>11710.679522179353</c:v>
                </c:pt>
                <c:pt idx="8">
                  <c:v>11933.798841008331</c:v>
                </c:pt>
                <c:pt idx="9">
                  <c:v>12188.096390936</c:v>
                </c:pt>
                <c:pt idx="10">
                  <c:v>12441.423119723731</c:v>
                </c:pt>
                <c:pt idx="11">
                  <c:v>12618.101263005801</c:v>
                </c:pt>
                <c:pt idx="12">
                  <c:v>12808.426706710623</c:v>
                </c:pt>
                <c:pt idx="13">
                  <c:v>13037.878588554946</c:v>
                </c:pt>
                <c:pt idx="14">
                  <c:v>13357.178012949347</c:v>
                </c:pt>
                <c:pt idx="15">
                  <c:v>13652.519799702362</c:v>
                </c:pt>
                <c:pt idx="16">
                  <c:v>14002.103397384553</c:v>
                </c:pt>
                <c:pt idx="17">
                  <c:v>14440.916685686996</c:v>
                </c:pt>
                <c:pt idx="18">
                  <c:v>14800.514509609711</c:v>
                </c:pt>
                <c:pt idx="19">
                  <c:v>15163.053400396448</c:v>
                </c:pt>
                <c:pt idx="20">
                  <c:v>15598.816792643614</c:v>
                </c:pt>
                <c:pt idx="21">
                  <c:v>16062.734463523406</c:v>
                </c:pt>
                <c:pt idx="22">
                  <c:v>16555.347722720482</c:v>
                </c:pt>
                <c:pt idx="23">
                  <c:v>17069.9727080312</c:v>
                </c:pt>
                <c:pt idx="24">
                  <c:v>17601.816957049621</c:v>
                </c:pt>
                <c:pt idx="25">
                  <c:v>18100.890370498448</c:v>
                </c:pt>
                <c:pt idx="26">
                  <c:v>18610.533600375722</c:v>
                </c:pt>
                <c:pt idx="27">
                  <c:v>19131.300853733122</c:v>
                </c:pt>
                <c:pt idx="28">
                  <c:v>19675.838058643949</c:v>
                </c:pt>
                <c:pt idx="29">
                  <c:v>20234.591276443305</c:v>
                </c:pt>
                <c:pt idx="30">
                  <c:v>20577.969036079438</c:v>
                </c:pt>
                <c:pt idx="31">
                  <c:v>20889.483752911496</c:v>
                </c:pt>
                <c:pt idx="32">
                  <c:v>21221.435935289894</c:v>
                </c:pt>
                <c:pt idx="33">
                  <c:v>21531.124531616624</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21825.983373377483</c:v>
                </c:pt>
                <c:pt idx="10">
                  <c:v>21511.585776615277</c:v>
                </c:pt>
                <c:pt idx="11">
                  <c:v>21208.608782928775</c:v>
                </c:pt>
                <c:pt idx="12">
                  <c:v>20890.73553838069</c:v>
                </c:pt>
                <c:pt idx="13">
                  <c:v>20569.2088608052</c:v>
                </c:pt>
                <c:pt idx="14">
                  <c:v>20245.622337773795</c:v>
                </c:pt>
                <c:pt idx="15">
                  <c:v>19918.454057479132</c:v>
                </c:pt>
                <c:pt idx="16">
                  <c:v>19591.017744931905</c:v>
                </c:pt>
                <c:pt idx="17">
                  <c:v>19272.701680303966</c:v>
                </c:pt>
                <c:pt idx="18">
                  <c:v>18899.585732144871</c:v>
                </c:pt>
                <c:pt idx="19">
                  <c:v>18542.043751352081</c:v>
                </c:pt>
                <c:pt idx="20">
                  <c:v>18200.051926718577</c:v>
                </c:pt>
                <c:pt idx="21">
                  <c:v>17875.110794826134</c:v>
                </c:pt>
                <c:pt idx="22">
                  <c:v>17562.805301188506</c:v>
                </c:pt>
                <c:pt idx="23">
                  <c:v>17263.959733004398</c:v>
                </c:pt>
                <c:pt idx="24">
                  <c:v>16978.601391782016</c:v>
                </c:pt>
                <c:pt idx="25">
                  <c:v>16702.297433033091</c:v>
                </c:pt>
                <c:pt idx="26">
                  <c:v>16445.720984667038</c:v>
                </c:pt>
                <c:pt idx="27">
                  <c:v>16233.501670520385</c:v>
                </c:pt>
                <c:pt idx="28">
                  <c:v>16042.244226399205</c:v>
                </c:pt>
                <c:pt idx="29">
                  <c:v>15870.569576035876</c:v>
                </c:pt>
                <c:pt idx="30">
                  <c:v>15717.685145638119</c:v>
                </c:pt>
                <c:pt idx="31">
                  <c:v>15582.849465647592</c:v>
                </c:pt>
                <c:pt idx="32">
                  <c:v>15451.464702455314</c:v>
                </c:pt>
                <c:pt idx="33">
                  <c:v>15324.243913212627</c:v>
                </c:pt>
                <c:pt idx="34">
                  <c:v>15201.080203837471</c:v>
                </c:pt>
                <c:pt idx="35">
                  <c:v>15082.126335756877</c:v>
                </c:pt>
                <c:pt idx="36">
                  <c:v>14967.07290392277</c:v>
                </c:pt>
                <c:pt idx="37">
                  <c:v>14849.661488184647</c:v>
                </c:pt>
                <c:pt idx="38">
                  <c:v>14739.566044193534</c:v>
                </c:pt>
                <c:pt idx="39">
                  <c:v>14637.674006954454</c:v>
                </c:pt>
                <c:pt idx="40">
                  <c:v>14542.830925330065</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21935.159609571587</c:v>
                </c:pt>
                <c:pt idx="10">
                  <c:v>21745.203971047915</c:v>
                </c:pt>
                <c:pt idx="11">
                  <c:v>21635.038240110705</c:v>
                </c:pt>
                <c:pt idx="12">
                  <c:v>21289.718243646883</c:v>
                </c:pt>
                <c:pt idx="13">
                  <c:v>20840.539700663641</c:v>
                </c:pt>
                <c:pt idx="14">
                  <c:v>20416.417103815846</c:v>
                </c:pt>
                <c:pt idx="15">
                  <c:v>20014.390655634426</c:v>
                </c:pt>
                <c:pt idx="16">
                  <c:v>19633.909227056691</c:v>
                </c:pt>
                <c:pt idx="17">
                  <c:v>19272.591588009636</c:v>
                </c:pt>
                <c:pt idx="18">
                  <c:v>18927.178504817392</c:v>
                </c:pt>
                <c:pt idx="19">
                  <c:v>18598.438707182711</c:v>
                </c:pt>
                <c:pt idx="20">
                  <c:v>18285.457860113747</c:v>
                </c:pt>
                <c:pt idx="21">
                  <c:v>17891.758769106444</c:v>
                </c:pt>
                <c:pt idx="22">
                  <c:v>17505.845720655772</c:v>
                </c:pt>
                <c:pt idx="23">
                  <c:v>17143.578669809562</c:v>
                </c:pt>
                <c:pt idx="24">
                  <c:v>16802.854573741053</c:v>
                </c:pt>
                <c:pt idx="25">
                  <c:v>16478.983347200796</c:v>
                </c:pt>
                <c:pt idx="26">
                  <c:v>16172.752863212987</c:v>
                </c:pt>
                <c:pt idx="27">
                  <c:v>15884.741286224047</c:v>
                </c:pt>
                <c:pt idx="28">
                  <c:v>15620.78310159902</c:v>
                </c:pt>
                <c:pt idx="29">
                  <c:v>15382.430625379078</c:v>
                </c:pt>
                <c:pt idx="30">
                  <c:v>15168.55472687271</c:v>
                </c:pt>
                <c:pt idx="31">
                  <c:v>14978.103760226522</c:v>
                </c:pt>
                <c:pt idx="32">
                  <c:v>14801.063139827307</c:v>
                </c:pt>
                <c:pt idx="33">
                  <c:v>14637.601704105135</c:v>
                </c:pt>
                <c:pt idx="34">
                  <c:v>14487.047886324206</c:v>
                </c:pt>
                <c:pt idx="35">
                  <c:v>14349.018114835975</c:v>
                </c:pt>
                <c:pt idx="36">
                  <c:v>14222.690782918346</c:v>
                </c:pt>
                <c:pt idx="37">
                  <c:v>14101.620650320838</c:v>
                </c:pt>
                <c:pt idx="38">
                  <c:v>13988.993778320168</c:v>
                </c:pt>
                <c:pt idx="39">
                  <c:v>13885.373693672023</c:v>
                </c:pt>
                <c:pt idx="40">
                  <c:v>13789.364422812218</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21801.915155472008</c:v>
                </c:pt>
                <c:pt idx="10">
                  <c:v>21523.273064201418</c:v>
                </c:pt>
                <c:pt idx="11">
                  <c:v>21268.760921143075</c:v>
                </c:pt>
                <c:pt idx="12">
                  <c:v>20786.939470958685</c:v>
                </c:pt>
                <c:pt idx="13">
                  <c:v>20335.930640719453</c:v>
                </c:pt>
                <c:pt idx="14">
                  <c:v>19909.745743143267</c:v>
                </c:pt>
                <c:pt idx="15">
                  <c:v>19505.870169442132</c:v>
                </c:pt>
                <c:pt idx="16">
                  <c:v>19123.280514878992</c:v>
                </c:pt>
                <c:pt idx="17">
                  <c:v>18759.868800726865</c:v>
                </c:pt>
                <c:pt idx="18">
                  <c:v>18413.019285135946</c:v>
                </c:pt>
                <c:pt idx="19">
                  <c:v>18082.732497807079</c:v>
                </c:pt>
                <c:pt idx="20">
                  <c:v>17767.877216723246</c:v>
                </c:pt>
                <c:pt idx="21">
                  <c:v>17371.544668714763</c:v>
                </c:pt>
                <c:pt idx="22">
                  <c:v>16983.198158232433</c:v>
                </c:pt>
                <c:pt idx="23">
                  <c:v>16618.032710573094</c:v>
                </c:pt>
                <c:pt idx="24">
                  <c:v>16273.647878782094</c:v>
                </c:pt>
                <c:pt idx="25">
                  <c:v>15946.786472980726</c:v>
                </c:pt>
                <c:pt idx="26">
                  <c:v>15637.537746738277</c:v>
                </c:pt>
                <c:pt idx="27">
                  <c:v>15345.882221875921</c:v>
                </c:pt>
                <c:pt idx="28">
                  <c:v>15078.037877113205</c:v>
                </c:pt>
                <c:pt idx="29">
                  <c:v>14835.552561779066</c:v>
                </c:pt>
                <c:pt idx="30">
                  <c:v>14617.354126386277</c:v>
                </c:pt>
                <c:pt idx="31">
                  <c:v>14422.431810726886</c:v>
                </c:pt>
                <c:pt idx="32">
                  <c:v>14241.196337668191</c:v>
                </c:pt>
                <c:pt idx="33">
                  <c:v>14073.448018012343</c:v>
                </c:pt>
                <c:pt idx="34">
                  <c:v>13918.510672620541</c:v>
                </c:pt>
                <c:pt idx="35">
                  <c:v>13775.893264481678</c:v>
                </c:pt>
                <c:pt idx="36">
                  <c:v>13644.855537461928</c:v>
                </c:pt>
                <c:pt idx="37">
                  <c:v>13520.905135327157</c:v>
                </c:pt>
                <c:pt idx="38">
                  <c:v>13405.667324481794</c:v>
                </c:pt>
                <c:pt idx="39">
                  <c:v>13299.260860571829</c:v>
                </c:pt>
                <c:pt idx="40">
                  <c:v>13200.653033916995</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21825.983373377483</c:v>
                </c:pt>
                <c:pt idx="10">
                  <c:v>21511.585776615277</c:v>
                </c:pt>
                <c:pt idx="11">
                  <c:v>21208.608782928775</c:v>
                </c:pt>
                <c:pt idx="12">
                  <c:v>20890.73553838069</c:v>
                </c:pt>
                <c:pt idx="13">
                  <c:v>20569.2088608052</c:v>
                </c:pt>
                <c:pt idx="14">
                  <c:v>20245.622337773795</c:v>
                </c:pt>
                <c:pt idx="15">
                  <c:v>19918.454057479132</c:v>
                </c:pt>
                <c:pt idx="16">
                  <c:v>19591.017744931905</c:v>
                </c:pt>
                <c:pt idx="17">
                  <c:v>19272.701680303966</c:v>
                </c:pt>
                <c:pt idx="18">
                  <c:v>18899.585732144871</c:v>
                </c:pt>
                <c:pt idx="19">
                  <c:v>18542.043751352081</c:v>
                </c:pt>
                <c:pt idx="20">
                  <c:v>18200.051926718577</c:v>
                </c:pt>
                <c:pt idx="21">
                  <c:v>17875.110794826134</c:v>
                </c:pt>
                <c:pt idx="22">
                  <c:v>17562.805301188506</c:v>
                </c:pt>
                <c:pt idx="23">
                  <c:v>17263.959733004398</c:v>
                </c:pt>
                <c:pt idx="24">
                  <c:v>16978.601391782016</c:v>
                </c:pt>
                <c:pt idx="25">
                  <c:v>16702.297433033091</c:v>
                </c:pt>
                <c:pt idx="26">
                  <c:v>16445.720984667038</c:v>
                </c:pt>
                <c:pt idx="27">
                  <c:v>16233.501670520385</c:v>
                </c:pt>
                <c:pt idx="28">
                  <c:v>16042.244226399205</c:v>
                </c:pt>
                <c:pt idx="29">
                  <c:v>15870.569576035876</c:v>
                </c:pt>
                <c:pt idx="30">
                  <c:v>15717.685145638119</c:v>
                </c:pt>
                <c:pt idx="31">
                  <c:v>15582.849465647592</c:v>
                </c:pt>
                <c:pt idx="32">
                  <c:v>15451.464702455314</c:v>
                </c:pt>
                <c:pt idx="33">
                  <c:v>15324.243913212627</c:v>
                </c:pt>
                <c:pt idx="34">
                  <c:v>15201.080203837471</c:v>
                </c:pt>
                <c:pt idx="35">
                  <c:v>15082.126335756877</c:v>
                </c:pt>
                <c:pt idx="36">
                  <c:v>14967.07290392277</c:v>
                </c:pt>
                <c:pt idx="37">
                  <c:v>14849.661488184647</c:v>
                </c:pt>
                <c:pt idx="38">
                  <c:v>14739.566044193534</c:v>
                </c:pt>
                <c:pt idx="39">
                  <c:v>14637.674006954454</c:v>
                </c:pt>
                <c:pt idx="40">
                  <c:v>14542.830925330065</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21935.159609571587</c:v>
                </c:pt>
                <c:pt idx="10">
                  <c:v>21745.203971047915</c:v>
                </c:pt>
                <c:pt idx="11">
                  <c:v>21635.038240110705</c:v>
                </c:pt>
                <c:pt idx="12">
                  <c:v>21289.718243646883</c:v>
                </c:pt>
                <c:pt idx="13">
                  <c:v>20840.539700663641</c:v>
                </c:pt>
                <c:pt idx="14">
                  <c:v>20416.417103815846</c:v>
                </c:pt>
                <c:pt idx="15">
                  <c:v>20014.390655634426</c:v>
                </c:pt>
                <c:pt idx="16">
                  <c:v>19633.909227056691</c:v>
                </c:pt>
                <c:pt idx="17">
                  <c:v>19272.591588009636</c:v>
                </c:pt>
                <c:pt idx="18">
                  <c:v>18927.178504817392</c:v>
                </c:pt>
                <c:pt idx="19">
                  <c:v>18598.438707182711</c:v>
                </c:pt>
                <c:pt idx="20">
                  <c:v>18285.457860113747</c:v>
                </c:pt>
                <c:pt idx="21">
                  <c:v>17891.758769106444</c:v>
                </c:pt>
                <c:pt idx="22">
                  <c:v>17505.845720655772</c:v>
                </c:pt>
                <c:pt idx="23">
                  <c:v>17143.578669809562</c:v>
                </c:pt>
                <c:pt idx="24">
                  <c:v>16802.854573741053</c:v>
                </c:pt>
                <c:pt idx="25">
                  <c:v>16478.983347200796</c:v>
                </c:pt>
                <c:pt idx="26">
                  <c:v>16172.752863212987</c:v>
                </c:pt>
                <c:pt idx="27">
                  <c:v>15884.741286224047</c:v>
                </c:pt>
                <c:pt idx="28">
                  <c:v>15620.78310159902</c:v>
                </c:pt>
                <c:pt idx="29">
                  <c:v>15382.430625379078</c:v>
                </c:pt>
                <c:pt idx="30">
                  <c:v>15168.55472687271</c:v>
                </c:pt>
                <c:pt idx="31">
                  <c:v>14978.103760226522</c:v>
                </c:pt>
                <c:pt idx="32">
                  <c:v>14801.063139827307</c:v>
                </c:pt>
                <c:pt idx="33">
                  <c:v>14637.601704105135</c:v>
                </c:pt>
                <c:pt idx="34">
                  <c:v>14487.047886324206</c:v>
                </c:pt>
                <c:pt idx="35">
                  <c:v>14349.018114835975</c:v>
                </c:pt>
                <c:pt idx="36">
                  <c:v>14222.690782918346</c:v>
                </c:pt>
                <c:pt idx="37">
                  <c:v>14101.620650320838</c:v>
                </c:pt>
                <c:pt idx="38">
                  <c:v>13988.993778320168</c:v>
                </c:pt>
                <c:pt idx="39">
                  <c:v>13885.373693672023</c:v>
                </c:pt>
                <c:pt idx="40">
                  <c:v>13789.364422812218</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21801.915155472008</c:v>
                </c:pt>
                <c:pt idx="10">
                  <c:v>21523.273064201418</c:v>
                </c:pt>
                <c:pt idx="11">
                  <c:v>21268.760921143075</c:v>
                </c:pt>
                <c:pt idx="12">
                  <c:v>20786.939470958685</c:v>
                </c:pt>
                <c:pt idx="13">
                  <c:v>20335.930640719453</c:v>
                </c:pt>
                <c:pt idx="14">
                  <c:v>19909.745743143267</c:v>
                </c:pt>
                <c:pt idx="15">
                  <c:v>19505.870169442132</c:v>
                </c:pt>
                <c:pt idx="16">
                  <c:v>19123.280514878992</c:v>
                </c:pt>
                <c:pt idx="17">
                  <c:v>18759.868800726865</c:v>
                </c:pt>
                <c:pt idx="18">
                  <c:v>18413.019285135946</c:v>
                </c:pt>
                <c:pt idx="19">
                  <c:v>18082.732497807079</c:v>
                </c:pt>
                <c:pt idx="20">
                  <c:v>17767.877216723246</c:v>
                </c:pt>
                <c:pt idx="21">
                  <c:v>17371.544668714763</c:v>
                </c:pt>
                <c:pt idx="22">
                  <c:v>16983.198158232433</c:v>
                </c:pt>
                <c:pt idx="23">
                  <c:v>16618.032710573094</c:v>
                </c:pt>
                <c:pt idx="24">
                  <c:v>16273.647878782094</c:v>
                </c:pt>
                <c:pt idx="25">
                  <c:v>15946.786472980726</c:v>
                </c:pt>
                <c:pt idx="26">
                  <c:v>15637.537746738277</c:v>
                </c:pt>
                <c:pt idx="27">
                  <c:v>15345.882221875921</c:v>
                </c:pt>
                <c:pt idx="28">
                  <c:v>15078.037877113205</c:v>
                </c:pt>
                <c:pt idx="29">
                  <c:v>14835.552561779066</c:v>
                </c:pt>
                <c:pt idx="30">
                  <c:v>14617.354126386277</c:v>
                </c:pt>
                <c:pt idx="31">
                  <c:v>14422.431810726886</c:v>
                </c:pt>
                <c:pt idx="32">
                  <c:v>14241.196337668191</c:v>
                </c:pt>
                <c:pt idx="33">
                  <c:v>14073.448018012343</c:v>
                </c:pt>
                <c:pt idx="34">
                  <c:v>13918.510672620541</c:v>
                </c:pt>
                <c:pt idx="35">
                  <c:v>13775.893264481678</c:v>
                </c:pt>
                <c:pt idx="36">
                  <c:v>13644.855537461928</c:v>
                </c:pt>
                <c:pt idx="37">
                  <c:v>13520.905135327157</c:v>
                </c:pt>
                <c:pt idx="38">
                  <c:v>13405.667324481794</c:v>
                </c:pt>
                <c:pt idx="39">
                  <c:v>13299.260860571829</c:v>
                </c:pt>
                <c:pt idx="40">
                  <c:v>13200.653033916995</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105.41143564628373</c:v>
                </c:pt>
                <c:pt idx="10">
                  <c:v>101.24053187147528</c:v>
                </c:pt>
                <c:pt idx="11">
                  <c:v>98.87237344843038</c:v>
                </c:pt>
                <c:pt idx="12">
                  <c:v>96.687801515028738</c:v>
                </c:pt>
                <c:pt idx="13">
                  <c:v>94.64226140546883</c:v>
                </c:pt>
                <c:pt idx="14">
                  <c:v>92.919958920703763</c:v>
                </c:pt>
                <c:pt idx="15">
                  <c:v>91.393410229978926</c:v>
                </c:pt>
                <c:pt idx="16">
                  <c:v>89.821753234370718</c:v>
                </c:pt>
                <c:pt idx="17">
                  <c:v>89.625954753807719</c:v>
                </c:pt>
                <c:pt idx="18">
                  <c:v>89.118520234574603</c:v>
                </c:pt>
                <c:pt idx="19">
                  <c:v>87.330222143140816</c:v>
                </c:pt>
                <c:pt idx="20">
                  <c:v>85.433574984839993</c:v>
                </c:pt>
                <c:pt idx="21">
                  <c:v>84.798741739445063</c:v>
                </c:pt>
                <c:pt idx="22">
                  <c:v>83.696722046022018</c:v>
                </c:pt>
                <c:pt idx="23">
                  <c:v>83.021097541546737</c:v>
                </c:pt>
                <c:pt idx="24">
                  <c:v>82.799692629387508</c:v>
                </c:pt>
                <c:pt idx="25">
                  <c:v>77.078995247419613</c:v>
                </c:pt>
                <c:pt idx="26">
                  <c:v>74.491631104006146</c:v>
                </c:pt>
                <c:pt idx="27">
                  <c:v>73.269594915501798</c:v>
                </c:pt>
                <c:pt idx="28">
                  <c:v>72.073256676196024</c:v>
                </c:pt>
                <c:pt idx="29">
                  <c:v>70.949224741997497</c:v>
                </c:pt>
                <c:pt idx="30">
                  <c:v>69.886833804900618</c:v>
                </c:pt>
                <c:pt idx="31">
                  <c:v>68.977120525296513</c:v>
                </c:pt>
                <c:pt idx="32">
                  <c:v>68.09072934335066</c:v>
                </c:pt>
                <c:pt idx="33">
                  <c:v>67.285132703203558</c:v>
                </c:pt>
                <c:pt idx="34">
                  <c:v>66.557423977896448</c:v>
                </c:pt>
                <c:pt idx="35">
                  <c:v>65.922015152775458</c:v>
                </c:pt>
                <c:pt idx="36">
                  <c:v>65.420128664848974</c:v>
                </c:pt>
                <c:pt idx="37">
                  <c:v>64.66540764350232</c:v>
                </c:pt>
                <c:pt idx="38">
                  <c:v>64.136960419847853</c:v>
                </c:pt>
                <c:pt idx="39">
                  <c:v>63.683734452256573</c:v>
                </c:pt>
                <c:pt idx="40">
                  <c:v>63.242614932839146</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105.41143564628373</c:v>
                </c:pt>
                <c:pt idx="10">
                  <c:v>101.24053187147528</c:v>
                </c:pt>
                <c:pt idx="11">
                  <c:v>98.87237344843038</c:v>
                </c:pt>
                <c:pt idx="12">
                  <c:v>96.687801515028738</c:v>
                </c:pt>
                <c:pt idx="13">
                  <c:v>94.64226140546883</c:v>
                </c:pt>
                <c:pt idx="14">
                  <c:v>92.919958920703763</c:v>
                </c:pt>
                <c:pt idx="15">
                  <c:v>91.393410229978926</c:v>
                </c:pt>
                <c:pt idx="16">
                  <c:v>89.821753234370718</c:v>
                </c:pt>
                <c:pt idx="17">
                  <c:v>89.625954753807719</c:v>
                </c:pt>
                <c:pt idx="18">
                  <c:v>89.118520234574603</c:v>
                </c:pt>
                <c:pt idx="19">
                  <c:v>87.330222143140816</c:v>
                </c:pt>
                <c:pt idx="20">
                  <c:v>85.433574984839993</c:v>
                </c:pt>
                <c:pt idx="21">
                  <c:v>84.798741739445063</c:v>
                </c:pt>
                <c:pt idx="22">
                  <c:v>83.696722046022018</c:v>
                </c:pt>
                <c:pt idx="23">
                  <c:v>83.021097541546737</c:v>
                </c:pt>
                <c:pt idx="24">
                  <c:v>82.799692629387508</c:v>
                </c:pt>
                <c:pt idx="25">
                  <c:v>77.078995247419613</c:v>
                </c:pt>
                <c:pt idx="26">
                  <c:v>74.491631104006146</c:v>
                </c:pt>
                <c:pt idx="27">
                  <c:v>73.269594915501798</c:v>
                </c:pt>
                <c:pt idx="28">
                  <c:v>72.073256676196024</c:v>
                </c:pt>
                <c:pt idx="29">
                  <c:v>70.949224741997497</c:v>
                </c:pt>
                <c:pt idx="30">
                  <c:v>69.886833804900618</c:v>
                </c:pt>
                <c:pt idx="31">
                  <c:v>68.977120525296513</c:v>
                </c:pt>
                <c:pt idx="32">
                  <c:v>68.09072934335066</c:v>
                </c:pt>
                <c:pt idx="33">
                  <c:v>67.285132703203558</c:v>
                </c:pt>
                <c:pt idx="34">
                  <c:v>66.557423977896448</c:v>
                </c:pt>
                <c:pt idx="35">
                  <c:v>65.922015152775458</c:v>
                </c:pt>
                <c:pt idx="36">
                  <c:v>65.420128664848974</c:v>
                </c:pt>
                <c:pt idx="37">
                  <c:v>64.66540764350232</c:v>
                </c:pt>
                <c:pt idx="38">
                  <c:v>64.136960419847853</c:v>
                </c:pt>
                <c:pt idx="39">
                  <c:v>63.683734452256573</c:v>
                </c:pt>
                <c:pt idx="40">
                  <c:v>63.242614932839146</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107.06936587159521</c:v>
                </c:pt>
                <c:pt idx="10">
                  <c:v>101.57777924005211</c:v>
                </c:pt>
                <c:pt idx="11">
                  <c:v>92.019303745198329</c:v>
                </c:pt>
                <c:pt idx="12">
                  <c:v>88.740758245241665</c:v>
                </c:pt>
                <c:pt idx="13">
                  <c:v>88.355442530178934</c:v>
                </c:pt>
                <c:pt idx="14">
                  <c:v>88.730240084875817</c:v>
                </c:pt>
                <c:pt idx="15">
                  <c:v>89.228816584605397</c:v>
                </c:pt>
                <c:pt idx="16">
                  <c:v>87.612656453276486</c:v>
                </c:pt>
                <c:pt idx="17">
                  <c:v>87.410390776653131</c:v>
                </c:pt>
                <c:pt idx="18">
                  <c:v>87.042134181946935</c:v>
                </c:pt>
                <c:pt idx="19">
                  <c:v>85.368178153064562</c:v>
                </c:pt>
                <c:pt idx="20">
                  <c:v>83.562180282260599</c:v>
                </c:pt>
                <c:pt idx="21">
                  <c:v>82.827509884575605</c:v>
                </c:pt>
                <c:pt idx="22">
                  <c:v>81.625670230774517</c:v>
                </c:pt>
                <c:pt idx="23">
                  <c:v>81.317920472132201</c:v>
                </c:pt>
                <c:pt idx="24">
                  <c:v>81.463628575218806</c:v>
                </c:pt>
                <c:pt idx="25">
                  <c:v>73.88611468940023</c:v>
                </c:pt>
                <c:pt idx="26">
                  <c:v>65.451327478667324</c:v>
                </c:pt>
                <c:pt idx="27">
                  <c:v>63.812859907632571</c:v>
                </c:pt>
                <c:pt idx="28">
                  <c:v>63.033497798769481</c:v>
                </c:pt>
                <c:pt idx="29">
                  <c:v>62.293194907230429</c:v>
                </c:pt>
                <c:pt idx="30">
                  <c:v>61.582439713021515</c:v>
                </c:pt>
                <c:pt idx="31">
                  <c:v>62.021086616180682</c:v>
                </c:pt>
                <c:pt idx="32">
                  <c:v>62.411606325653402</c:v>
                </c:pt>
                <c:pt idx="33">
                  <c:v>62.815338804991427</c:v>
                </c:pt>
                <c:pt idx="34">
                  <c:v>63.233035907897154</c:v>
                </c:pt>
                <c:pt idx="35">
                  <c:v>63.682567773837512</c:v>
                </c:pt>
                <c:pt idx="36">
                  <c:v>64.266489236324432</c:v>
                </c:pt>
                <c:pt idx="37">
                  <c:v>64.543473315333046</c:v>
                </c:pt>
                <c:pt idx="38">
                  <c:v>64.773387591118848</c:v>
                </c:pt>
                <c:pt idx="39">
                  <c:v>65.030241255652285</c:v>
                </c:pt>
                <c:pt idx="40">
                  <c:v>65.253523518185702</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107.06936587159521</c:v>
                </c:pt>
                <c:pt idx="10">
                  <c:v>101.57777924005211</c:v>
                </c:pt>
                <c:pt idx="11">
                  <c:v>92.019303745198329</c:v>
                </c:pt>
                <c:pt idx="12">
                  <c:v>88.740758245241665</c:v>
                </c:pt>
                <c:pt idx="13">
                  <c:v>88.355442530178934</c:v>
                </c:pt>
                <c:pt idx="14">
                  <c:v>88.730240084875817</c:v>
                </c:pt>
                <c:pt idx="15">
                  <c:v>89.228816584605397</c:v>
                </c:pt>
                <c:pt idx="16">
                  <c:v>87.612656453276486</c:v>
                </c:pt>
                <c:pt idx="17">
                  <c:v>87.410390776653131</c:v>
                </c:pt>
                <c:pt idx="18">
                  <c:v>87.042134181946935</c:v>
                </c:pt>
                <c:pt idx="19">
                  <c:v>85.368178153064562</c:v>
                </c:pt>
                <c:pt idx="20">
                  <c:v>83.562180282260599</c:v>
                </c:pt>
                <c:pt idx="21">
                  <c:v>82.827509884575605</c:v>
                </c:pt>
                <c:pt idx="22">
                  <c:v>81.625670230774517</c:v>
                </c:pt>
                <c:pt idx="23">
                  <c:v>81.317920472132201</c:v>
                </c:pt>
                <c:pt idx="24">
                  <c:v>81.463628575218806</c:v>
                </c:pt>
                <c:pt idx="25">
                  <c:v>73.88611468940023</c:v>
                </c:pt>
                <c:pt idx="26">
                  <c:v>65.451327478667324</c:v>
                </c:pt>
                <c:pt idx="27">
                  <c:v>63.812859907632571</c:v>
                </c:pt>
                <c:pt idx="28">
                  <c:v>63.033497798769481</c:v>
                </c:pt>
                <c:pt idx="29">
                  <c:v>62.293194907230429</c:v>
                </c:pt>
                <c:pt idx="30">
                  <c:v>61.582439713021515</c:v>
                </c:pt>
                <c:pt idx="31">
                  <c:v>62.021086616180682</c:v>
                </c:pt>
                <c:pt idx="32">
                  <c:v>62.411606325653402</c:v>
                </c:pt>
                <c:pt idx="33">
                  <c:v>62.815338804991427</c:v>
                </c:pt>
                <c:pt idx="34">
                  <c:v>63.233035907897154</c:v>
                </c:pt>
                <c:pt idx="35">
                  <c:v>63.682567773837512</c:v>
                </c:pt>
                <c:pt idx="36">
                  <c:v>64.266489236324432</c:v>
                </c:pt>
                <c:pt idx="37">
                  <c:v>64.543473315333046</c:v>
                </c:pt>
                <c:pt idx="38">
                  <c:v>64.773387591118848</c:v>
                </c:pt>
                <c:pt idx="39">
                  <c:v>65.030241255652285</c:v>
                </c:pt>
                <c:pt idx="40">
                  <c:v>65.253523518185702</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107.06936587159521</c:v>
                </c:pt>
                <c:pt idx="10">
                  <c:v>101.57777924005211</c:v>
                </c:pt>
                <c:pt idx="11">
                  <c:v>92.019303745198329</c:v>
                </c:pt>
                <c:pt idx="12">
                  <c:v>88.740758245241665</c:v>
                </c:pt>
                <c:pt idx="13">
                  <c:v>88.355442530178934</c:v>
                </c:pt>
                <c:pt idx="14">
                  <c:v>88.730240084875817</c:v>
                </c:pt>
                <c:pt idx="15">
                  <c:v>89.228816584605397</c:v>
                </c:pt>
                <c:pt idx="16">
                  <c:v>87.612656453276486</c:v>
                </c:pt>
                <c:pt idx="17">
                  <c:v>87.410390776653131</c:v>
                </c:pt>
                <c:pt idx="18">
                  <c:v>87.042134181946935</c:v>
                </c:pt>
                <c:pt idx="19">
                  <c:v>85.368178153064562</c:v>
                </c:pt>
                <c:pt idx="20">
                  <c:v>83.562180282260599</c:v>
                </c:pt>
                <c:pt idx="21">
                  <c:v>82.827509884575605</c:v>
                </c:pt>
                <c:pt idx="22">
                  <c:v>81.625670230774517</c:v>
                </c:pt>
                <c:pt idx="23">
                  <c:v>81.317920472132201</c:v>
                </c:pt>
                <c:pt idx="24">
                  <c:v>81.463628575218806</c:v>
                </c:pt>
                <c:pt idx="25">
                  <c:v>73.88611468940023</c:v>
                </c:pt>
                <c:pt idx="26">
                  <c:v>65.451327478667324</c:v>
                </c:pt>
                <c:pt idx="27">
                  <c:v>63.812859907632571</c:v>
                </c:pt>
                <c:pt idx="28">
                  <c:v>63.033497798769481</c:v>
                </c:pt>
                <c:pt idx="29">
                  <c:v>62.293194907230429</c:v>
                </c:pt>
                <c:pt idx="30">
                  <c:v>61.582439713021515</c:v>
                </c:pt>
                <c:pt idx="31">
                  <c:v>62.021086616180682</c:v>
                </c:pt>
                <c:pt idx="32">
                  <c:v>62.411606325653402</c:v>
                </c:pt>
                <c:pt idx="33">
                  <c:v>62.815338804991427</c:v>
                </c:pt>
                <c:pt idx="34">
                  <c:v>63.233035907897154</c:v>
                </c:pt>
                <c:pt idx="35">
                  <c:v>63.682567773837512</c:v>
                </c:pt>
                <c:pt idx="36">
                  <c:v>64.266489236324432</c:v>
                </c:pt>
                <c:pt idx="37">
                  <c:v>64.543473315333046</c:v>
                </c:pt>
                <c:pt idx="38">
                  <c:v>64.773387591118848</c:v>
                </c:pt>
                <c:pt idx="39">
                  <c:v>65.030241255652285</c:v>
                </c:pt>
                <c:pt idx="40">
                  <c:v>65.253523518185702</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107.06936587159521</c:v>
                </c:pt>
                <c:pt idx="10">
                  <c:v>101.57777924005211</c:v>
                </c:pt>
                <c:pt idx="11">
                  <c:v>92.019303745198329</c:v>
                </c:pt>
                <c:pt idx="12">
                  <c:v>88.740758245241665</c:v>
                </c:pt>
                <c:pt idx="13">
                  <c:v>88.355442530178934</c:v>
                </c:pt>
                <c:pt idx="14">
                  <c:v>88.730240084875817</c:v>
                </c:pt>
                <c:pt idx="15">
                  <c:v>89.228816584605397</c:v>
                </c:pt>
                <c:pt idx="16">
                  <c:v>87.612656453276486</c:v>
                </c:pt>
                <c:pt idx="17">
                  <c:v>87.410390776653131</c:v>
                </c:pt>
                <c:pt idx="18">
                  <c:v>87.042134181946935</c:v>
                </c:pt>
                <c:pt idx="19">
                  <c:v>85.368178153064562</c:v>
                </c:pt>
                <c:pt idx="20">
                  <c:v>83.562180282260599</c:v>
                </c:pt>
                <c:pt idx="21">
                  <c:v>82.827509884575605</c:v>
                </c:pt>
                <c:pt idx="22">
                  <c:v>81.625670230774517</c:v>
                </c:pt>
                <c:pt idx="23">
                  <c:v>81.317920472132201</c:v>
                </c:pt>
                <c:pt idx="24">
                  <c:v>81.463628575218806</c:v>
                </c:pt>
                <c:pt idx="25">
                  <c:v>73.88611468940023</c:v>
                </c:pt>
                <c:pt idx="26">
                  <c:v>65.451327478667324</c:v>
                </c:pt>
                <c:pt idx="27">
                  <c:v>63.812859907632571</c:v>
                </c:pt>
                <c:pt idx="28">
                  <c:v>63.033497798769481</c:v>
                </c:pt>
                <c:pt idx="29">
                  <c:v>62.293194907230429</c:v>
                </c:pt>
                <c:pt idx="30">
                  <c:v>61.582439713021515</c:v>
                </c:pt>
                <c:pt idx="31">
                  <c:v>62.021086616180682</c:v>
                </c:pt>
                <c:pt idx="32">
                  <c:v>62.411606325653402</c:v>
                </c:pt>
                <c:pt idx="33">
                  <c:v>62.815338804991427</c:v>
                </c:pt>
                <c:pt idx="34">
                  <c:v>63.233035907897154</c:v>
                </c:pt>
                <c:pt idx="35">
                  <c:v>63.682567773837512</c:v>
                </c:pt>
                <c:pt idx="36">
                  <c:v>64.266489236324432</c:v>
                </c:pt>
                <c:pt idx="37">
                  <c:v>64.543473315333046</c:v>
                </c:pt>
                <c:pt idx="38">
                  <c:v>64.773387591118848</c:v>
                </c:pt>
                <c:pt idx="39">
                  <c:v>65.030241255652285</c:v>
                </c:pt>
                <c:pt idx="40">
                  <c:v>65.253523518185702</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21825.983373377483</c:v>
                </c:pt>
                <c:pt idx="10">
                  <c:v>21511.585776615277</c:v>
                </c:pt>
                <c:pt idx="11">
                  <c:v>21208.608782928775</c:v>
                </c:pt>
                <c:pt idx="12">
                  <c:v>20890.73553838069</c:v>
                </c:pt>
                <c:pt idx="13">
                  <c:v>20569.2088608052</c:v>
                </c:pt>
                <c:pt idx="14">
                  <c:v>20245.622337773795</c:v>
                </c:pt>
                <c:pt idx="15">
                  <c:v>19918.454057479132</c:v>
                </c:pt>
                <c:pt idx="16">
                  <c:v>19591.017744931905</c:v>
                </c:pt>
                <c:pt idx="17">
                  <c:v>19272.701680303966</c:v>
                </c:pt>
                <c:pt idx="18">
                  <c:v>18899.585732144871</c:v>
                </c:pt>
                <c:pt idx="19">
                  <c:v>18542.043751352081</c:v>
                </c:pt>
                <c:pt idx="20">
                  <c:v>18200.051926718577</c:v>
                </c:pt>
                <c:pt idx="21">
                  <c:v>17875.110794826134</c:v>
                </c:pt>
                <c:pt idx="22">
                  <c:v>17562.805301188506</c:v>
                </c:pt>
                <c:pt idx="23">
                  <c:v>17263.959733004398</c:v>
                </c:pt>
                <c:pt idx="24">
                  <c:v>16978.601391782016</c:v>
                </c:pt>
                <c:pt idx="25">
                  <c:v>16702.297433033091</c:v>
                </c:pt>
                <c:pt idx="26">
                  <c:v>16445.720984667038</c:v>
                </c:pt>
                <c:pt idx="27">
                  <c:v>16233.501670520385</c:v>
                </c:pt>
                <c:pt idx="28">
                  <c:v>16042.244226399205</c:v>
                </c:pt>
                <c:pt idx="29">
                  <c:v>15870.569576035876</c:v>
                </c:pt>
                <c:pt idx="30">
                  <c:v>15717.685145638119</c:v>
                </c:pt>
                <c:pt idx="31">
                  <c:v>15582.849465647592</c:v>
                </c:pt>
                <c:pt idx="32">
                  <c:v>15451.464702455314</c:v>
                </c:pt>
                <c:pt idx="33">
                  <c:v>15324.243913212627</c:v>
                </c:pt>
                <c:pt idx="34">
                  <c:v>15201.080203837471</c:v>
                </c:pt>
                <c:pt idx="35">
                  <c:v>15082.126335756877</c:v>
                </c:pt>
                <c:pt idx="36">
                  <c:v>14967.07290392277</c:v>
                </c:pt>
                <c:pt idx="37">
                  <c:v>14849.661488184647</c:v>
                </c:pt>
                <c:pt idx="38">
                  <c:v>14739.566044193534</c:v>
                </c:pt>
                <c:pt idx="39">
                  <c:v>14637.674006954454</c:v>
                </c:pt>
                <c:pt idx="40">
                  <c:v>14542.830925330065</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21935.159609571587</c:v>
                </c:pt>
                <c:pt idx="10">
                  <c:v>21745.203971047915</c:v>
                </c:pt>
                <c:pt idx="11">
                  <c:v>21635.038240110705</c:v>
                </c:pt>
                <c:pt idx="12">
                  <c:v>21289.718243646883</c:v>
                </c:pt>
                <c:pt idx="13">
                  <c:v>20840.539700663641</c:v>
                </c:pt>
                <c:pt idx="14">
                  <c:v>20416.417103815846</c:v>
                </c:pt>
                <c:pt idx="15">
                  <c:v>20014.390655634426</c:v>
                </c:pt>
                <c:pt idx="16">
                  <c:v>19633.909227056691</c:v>
                </c:pt>
                <c:pt idx="17">
                  <c:v>19272.591588009636</c:v>
                </c:pt>
                <c:pt idx="18">
                  <c:v>18927.178504817392</c:v>
                </c:pt>
                <c:pt idx="19">
                  <c:v>18598.438707182711</c:v>
                </c:pt>
                <c:pt idx="20">
                  <c:v>18285.457860113747</c:v>
                </c:pt>
                <c:pt idx="21">
                  <c:v>17891.758769106444</c:v>
                </c:pt>
                <c:pt idx="22">
                  <c:v>17505.845720655772</c:v>
                </c:pt>
                <c:pt idx="23">
                  <c:v>17143.578669809562</c:v>
                </c:pt>
                <c:pt idx="24">
                  <c:v>16802.854573741053</c:v>
                </c:pt>
                <c:pt idx="25">
                  <c:v>16478.983347200796</c:v>
                </c:pt>
                <c:pt idx="26">
                  <c:v>16172.752863212987</c:v>
                </c:pt>
                <c:pt idx="27">
                  <c:v>15884.741286224047</c:v>
                </c:pt>
                <c:pt idx="28">
                  <c:v>15620.78310159902</c:v>
                </c:pt>
                <c:pt idx="29">
                  <c:v>15382.430625379078</c:v>
                </c:pt>
                <c:pt idx="30">
                  <c:v>15168.55472687271</c:v>
                </c:pt>
                <c:pt idx="31">
                  <c:v>14978.103760226522</c:v>
                </c:pt>
                <c:pt idx="32">
                  <c:v>14801.063139827307</c:v>
                </c:pt>
                <c:pt idx="33">
                  <c:v>14637.601704105135</c:v>
                </c:pt>
                <c:pt idx="34">
                  <c:v>14487.047886324206</c:v>
                </c:pt>
                <c:pt idx="35">
                  <c:v>14349.018114835975</c:v>
                </c:pt>
                <c:pt idx="36">
                  <c:v>14222.690782918346</c:v>
                </c:pt>
                <c:pt idx="37">
                  <c:v>14101.620650320838</c:v>
                </c:pt>
                <c:pt idx="38">
                  <c:v>13988.993778320168</c:v>
                </c:pt>
                <c:pt idx="39">
                  <c:v>13885.373693672023</c:v>
                </c:pt>
                <c:pt idx="40">
                  <c:v>13789.364422812218</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21801.915155472008</c:v>
                </c:pt>
                <c:pt idx="10">
                  <c:v>21523.273064201418</c:v>
                </c:pt>
                <c:pt idx="11">
                  <c:v>21268.760921143075</c:v>
                </c:pt>
                <c:pt idx="12">
                  <c:v>20786.939470958685</c:v>
                </c:pt>
                <c:pt idx="13">
                  <c:v>20335.930640719453</c:v>
                </c:pt>
                <c:pt idx="14">
                  <c:v>19909.745743143267</c:v>
                </c:pt>
                <c:pt idx="15">
                  <c:v>19505.870169442132</c:v>
                </c:pt>
                <c:pt idx="16">
                  <c:v>19123.280514878992</c:v>
                </c:pt>
                <c:pt idx="17">
                  <c:v>18759.868800726865</c:v>
                </c:pt>
                <c:pt idx="18">
                  <c:v>18413.019285135946</c:v>
                </c:pt>
                <c:pt idx="19">
                  <c:v>18082.732497807079</c:v>
                </c:pt>
                <c:pt idx="20">
                  <c:v>17767.877216723246</c:v>
                </c:pt>
                <c:pt idx="21">
                  <c:v>17371.544668714763</c:v>
                </c:pt>
                <c:pt idx="22">
                  <c:v>16983.198158232433</c:v>
                </c:pt>
                <c:pt idx="23">
                  <c:v>16618.032710573094</c:v>
                </c:pt>
                <c:pt idx="24">
                  <c:v>16273.647878782094</c:v>
                </c:pt>
                <c:pt idx="25">
                  <c:v>15946.786472980726</c:v>
                </c:pt>
                <c:pt idx="26">
                  <c:v>15637.537746738277</c:v>
                </c:pt>
                <c:pt idx="27">
                  <c:v>15345.882221875921</c:v>
                </c:pt>
                <c:pt idx="28">
                  <c:v>15078.037877113205</c:v>
                </c:pt>
                <c:pt idx="29">
                  <c:v>14835.552561779066</c:v>
                </c:pt>
                <c:pt idx="30">
                  <c:v>14617.354126386277</c:v>
                </c:pt>
                <c:pt idx="31">
                  <c:v>14422.431810726886</c:v>
                </c:pt>
                <c:pt idx="32">
                  <c:v>14241.196337668191</c:v>
                </c:pt>
                <c:pt idx="33">
                  <c:v>14073.448018012343</c:v>
                </c:pt>
                <c:pt idx="34">
                  <c:v>13918.510672620541</c:v>
                </c:pt>
                <c:pt idx="35">
                  <c:v>13775.893264481678</c:v>
                </c:pt>
                <c:pt idx="36">
                  <c:v>13644.855537461928</c:v>
                </c:pt>
                <c:pt idx="37">
                  <c:v>13520.905135327157</c:v>
                </c:pt>
                <c:pt idx="38">
                  <c:v>13405.667324481794</c:v>
                </c:pt>
                <c:pt idx="39">
                  <c:v>13299.260860571829</c:v>
                </c:pt>
                <c:pt idx="40">
                  <c:v>13200.653033916995</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21825.983373377483</c:v>
                </c:pt>
                <c:pt idx="10">
                  <c:v>21511.585776615277</c:v>
                </c:pt>
                <c:pt idx="11">
                  <c:v>21208.608782928775</c:v>
                </c:pt>
                <c:pt idx="12">
                  <c:v>20890.73553838069</c:v>
                </c:pt>
                <c:pt idx="13">
                  <c:v>20569.2088608052</c:v>
                </c:pt>
                <c:pt idx="14">
                  <c:v>20245.622337773795</c:v>
                </c:pt>
                <c:pt idx="15">
                  <c:v>19918.454057479132</c:v>
                </c:pt>
                <c:pt idx="16">
                  <c:v>19591.017744931905</c:v>
                </c:pt>
                <c:pt idx="17">
                  <c:v>19272.701680303966</c:v>
                </c:pt>
                <c:pt idx="18">
                  <c:v>18899.585732144871</c:v>
                </c:pt>
                <c:pt idx="19">
                  <c:v>18542.043751352081</c:v>
                </c:pt>
                <c:pt idx="20">
                  <c:v>18200.051926718577</c:v>
                </c:pt>
                <c:pt idx="21">
                  <c:v>17875.110794826134</c:v>
                </c:pt>
                <c:pt idx="22">
                  <c:v>17562.805301188506</c:v>
                </c:pt>
                <c:pt idx="23">
                  <c:v>17263.959733004398</c:v>
                </c:pt>
                <c:pt idx="24">
                  <c:v>16978.601391782016</c:v>
                </c:pt>
                <c:pt idx="25">
                  <c:v>16702.297433033091</c:v>
                </c:pt>
                <c:pt idx="26">
                  <c:v>16445.720984667038</c:v>
                </c:pt>
                <c:pt idx="27">
                  <c:v>16233.501670520385</c:v>
                </c:pt>
                <c:pt idx="28">
                  <c:v>16042.244226399205</c:v>
                </c:pt>
                <c:pt idx="29">
                  <c:v>15870.569576035876</c:v>
                </c:pt>
                <c:pt idx="30">
                  <c:v>15717.685145638119</c:v>
                </c:pt>
                <c:pt idx="31">
                  <c:v>15582.849465647592</c:v>
                </c:pt>
                <c:pt idx="32">
                  <c:v>15451.464702455314</c:v>
                </c:pt>
                <c:pt idx="33">
                  <c:v>15324.243913212627</c:v>
                </c:pt>
                <c:pt idx="34">
                  <c:v>15201.080203837471</c:v>
                </c:pt>
                <c:pt idx="35">
                  <c:v>15082.126335756877</c:v>
                </c:pt>
                <c:pt idx="36">
                  <c:v>14967.07290392277</c:v>
                </c:pt>
                <c:pt idx="37">
                  <c:v>14849.661488184647</c:v>
                </c:pt>
                <c:pt idx="38">
                  <c:v>14739.566044193534</c:v>
                </c:pt>
                <c:pt idx="39">
                  <c:v>14637.674006954454</c:v>
                </c:pt>
                <c:pt idx="40">
                  <c:v>14542.830925330065</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21935.159609571587</c:v>
                </c:pt>
                <c:pt idx="10">
                  <c:v>21745.203971047915</c:v>
                </c:pt>
                <c:pt idx="11">
                  <c:v>21635.038240110705</c:v>
                </c:pt>
                <c:pt idx="12">
                  <c:v>21289.718243646883</c:v>
                </c:pt>
                <c:pt idx="13">
                  <c:v>20840.539700663641</c:v>
                </c:pt>
                <c:pt idx="14">
                  <c:v>20416.417103815846</c:v>
                </c:pt>
                <c:pt idx="15">
                  <c:v>20014.390655634426</c:v>
                </c:pt>
                <c:pt idx="16">
                  <c:v>19633.909227056691</c:v>
                </c:pt>
                <c:pt idx="17">
                  <c:v>19272.591588009636</c:v>
                </c:pt>
                <c:pt idx="18">
                  <c:v>18927.178504817392</c:v>
                </c:pt>
                <c:pt idx="19">
                  <c:v>18598.438707182711</c:v>
                </c:pt>
                <c:pt idx="20">
                  <c:v>18285.457860113747</c:v>
                </c:pt>
                <c:pt idx="21">
                  <c:v>17891.758769106444</c:v>
                </c:pt>
                <c:pt idx="22">
                  <c:v>17505.845720655772</c:v>
                </c:pt>
                <c:pt idx="23">
                  <c:v>17143.578669809562</c:v>
                </c:pt>
                <c:pt idx="24">
                  <c:v>16802.854573741053</c:v>
                </c:pt>
                <c:pt idx="25">
                  <c:v>16478.983347200796</c:v>
                </c:pt>
                <c:pt idx="26">
                  <c:v>16172.752863212987</c:v>
                </c:pt>
                <c:pt idx="27">
                  <c:v>15884.741286224047</c:v>
                </c:pt>
                <c:pt idx="28">
                  <c:v>15620.78310159902</c:v>
                </c:pt>
                <c:pt idx="29">
                  <c:v>15382.430625379078</c:v>
                </c:pt>
                <c:pt idx="30">
                  <c:v>15168.55472687271</c:v>
                </c:pt>
                <c:pt idx="31">
                  <c:v>14978.103760226522</c:v>
                </c:pt>
                <c:pt idx="32">
                  <c:v>14801.063139827307</c:v>
                </c:pt>
                <c:pt idx="33">
                  <c:v>14637.601704105135</c:v>
                </c:pt>
                <c:pt idx="34">
                  <c:v>14487.047886324206</c:v>
                </c:pt>
                <c:pt idx="35">
                  <c:v>14349.018114835975</c:v>
                </c:pt>
                <c:pt idx="36">
                  <c:v>14222.690782918346</c:v>
                </c:pt>
                <c:pt idx="37">
                  <c:v>14101.620650320838</c:v>
                </c:pt>
                <c:pt idx="38">
                  <c:v>13988.993778320168</c:v>
                </c:pt>
                <c:pt idx="39">
                  <c:v>13885.373693672023</c:v>
                </c:pt>
                <c:pt idx="40">
                  <c:v>13789.364422812218</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21801.915155472008</c:v>
                </c:pt>
                <c:pt idx="10">
                  <c:v>21523.273064201418</c:v>
                </c:pt>
                <c:pt idx="11">
                  <c:v>21268.760921143075</c:v>
                </c:pt>
                <c:pt idx="12">
                  <c:v>20786.939470958685</c:v>
                </c:pt>
                <c:pt idx="13">
                  <c:v>20335.930640719453</c:v>
                </c:pt>
                <c:pt idx="14">
                  <c:v>19909.745743143267</c:v>
                </c:pt>
                <c:pt idx="15">
                  <c:v>19505.870169442132</c:v>
                </c:pt>
                <c:pt idx="16">
                  <c:v>19123.280514878992</c:v>
                </c:pt>
                <c:pt idx="17">
                  <c:v>18759.868800726865</c:v>
                </c:pt>
                <c:pt idx="18">
                  <c:v>18413.019285135946</c:v>
                </c:pt>
                <c:pt idx="19">
                  <c:v>18082.732497807079</c:v>
                </c:pt>
                <c:pt idx="20">
                  <c:v>17767.877216723246</c:v>
                </c:pt>
                <c:pt idx="21">
                  <c:v>17371.544668714763</c:v>
                </c:pt>
                <c:pt idx="22">
                  <c:v>16983.198158232433</c:v>
                </c:pt>
                <c:pt idx="23">
                  <c:v>16618.032710573094</c:v>
                </c:pt>
                <c:pt idx="24">
                  <c:v>16273.647878782094</c:v>
                </c:pt>
                <c:pt idx="25">
                  <c:v>15946.786472980726</c:v>
                </c:pt>
                <c:pt idx="26">
                  <c:v>15637.537746738277</c:v>
                </c:pt>
                <c:pt idx="27">
                  <c:v>15345.882221875921</c:v>
                </c:pt>
                <c:pt idx="28">
                  <c:v>15078.037877113205</c:v>
                </c:pt>
                <c:pt idx="29">
                  <c:v>14835.552561779066</c:v>
                </c:pt>
                <c:pt idx="30">
                  <c:v>14617.354126386277</c:v>
                </c:pt>
                <c:pt idx="31">
                  <c:v>14422.431810726886</c:v>
                </c:pt>
                <c:pt idx="32">
                  <c:v>14241.196337668191</c:v>
                </c:pt>
                <c:pt idx="33">
                  <c:v>14073.448018012343</c:v>
                </c:pt>
                <c:pt idx="34">
                  <c:v>13918.510672620541</c:v>
                </c:pt>
                <c:pt idx="35">
                  <c:v>13775.893264481678</c:v>
                </c:pt>
                <c:pt idx="36">
                  <c:v>13644.855537461928</c:v>
                </c:pt>
                <c:pt idx="37">
                  <c:v>13520.905135327157</c:v>
                </c:pt>
                <c:pt idx="38">
                  <c:v>13405.667324481794</c:v>
                </c:pt>
                <c:pt idx="39">
                  <c:v>13299.260860571829</c:v>
                </c:pt>
                <c:pt idx="40">
                  <c:v>13200.653033916995</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0.3213836662239094</c:v>
                </c:pt>
                <c:pt idx="10">
                  <c:v>0.33011313054603664</c:v>
                </c:pt>
                <c:pt idx="11">
                  <c:v>0.34968350449830582</c:v>
                </c:pt>
                <c:pt idx="12">
                  <c:v>0.36951916322691952</c:v>
                </c:pt>
                <c:pt idx="13">
                  <c:v>0.3893360059924923</c:v>
                </c:pt>
                <c:pt idx="14">
                  <c:v>0.41031204070897048</c:v>
                </c:pt>
                <c:pt idx="15">
                  <c:v>0.43159193297655696</c:v>
                </c:pt>
                <c:pt idx="16">
                  <c:v>0.45167577383536117</c:v>
                </c:pt>
                <c:pt idx="17">
                  <c:v>0.46775693552690084</c:v>
                </c:pt>
                <c:pt idx="18">
                  <c:v>0.4798551153599423</c:v>
                </c:pt>
                <c:pt idx="19">
                  <c:v>0.49745735428899246</c:v>
                </c:pt>
                <c:pt idx="20">
                  <c:v>0.51688618037949141</c:v>
                </c:pt>
                <c:pt idx="21">
                  <c:v>0.52390407933327598</c:v>
                </c:pt>
                <c:pt idx="22">
                  <c:v>0.53254431518213041</c:v>
                </c:pt>
                <c:pt idx="23">
                  <c:v>0.540394013565345</c:v>
                </c:pt>
                <c:pt idx="24">
                  <c:v>0.54767518329973663</c:v>
                </c:pt>
                <c:pt idx="25">
                  <c:v>0.57338137103969855</c:v>
                </c:pt>
                <c:pt idx="26">
                  <c:v>0.57557185167336355</c:v>
                </c:pt>
                <c:pt idx="27">
                  <c:v>0.58291579503401669</c:v>
                </c:pt>
                <c:pt idx="28">
                  <c:v>0.59127250290536937</c:v>
                </c:pt>
                <c:pt idx="29">
                  <c:v>0.59985774171973827</c:v>
                </c:pt>
                <c:pt idx="30">
                  <c:v>0.6086125807326902</c:v>
                </c:pt>
                <c:pt idx="31">
                  <c:v>0.62477431492191726</c:v>
                </c:pt>
                <c:pt idx="32">
                  <c:v>0.6404488616339179</c:v>
                </c:pt>
                <c:pt idx="33">
                  <c:v>0.65595220093314899</c:v>
                </c:pt>
                <c:pt idx="34">
                  <c:v>0.67126216240473568</c:v>
                </c:pt>
                <c:pt idx="35">
                  <c:v>0.68643901431252186</c:v>
                </c:pt>
                <c:pt idx="36">
                  <c:v>0.70165264547231221</c:v>
                </c:pt>
                <c:pt idx="37">
                  <c:v>0.71516598973560319</c:v>
                </c:pt>
                <c:pt idx="38">
                  <c:v>0.72655753325536587</c:v>
                </c:pt>
                <c:pt idx="39">
                  <c:v>0.73769463023343285</c:v>
                </c:pt>
                <c:pt idx="40">
                  <c:v>0.74832242495320411</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0.3213836662239094</c:v>
                </c:pt>
                <c:pt idx="10">
                  <c:v>0.33011313054603664</c:v>
                </c:pt>
                <c:pt idx="11">
                  <c:v>0.34968350449830582</c:v>
                </c:pt>
                <c:pt idx="12">
                  <c:v>0.36951916322691952</c:v>
                </c:pt>
                <c:pt idx="13">
                  <c:v>0.3893360059924923</c:v>
                </c:pt>
                <c:pt idx="14">
                  <c:v>0.41031204070897048</c:v>
                </c:pt>
                <c:pt idx="15">
                  <c:v>0.43159193297655696</c:v>
                </c:pt>
                <c:pt idx="16">
                  <c:v>0.45167577383536117</c:v>
                </c:pt>
                <c:pt idx="17">
                  <c:v>0.46775693552690084</c:v>
                </c:pt>
                <c:pt idx="18">
                  <c:v>0.4798551153599423</c:v>
                </c:pt>
                <c:pt idx="19">
                  <c:v>0.49745735428899246</c:v>
                </c:pt>
                <c:pt idx="20">
                  <c:v>0.51688618037949141</c:v>
                </c:pt>
                <c:pt idx="21">
                  <c:v>0.52390407933327598</c:v>
                </c:pt>
                <c:pt idx="22">
                  <c:v>0.53254431518213041</c:v>
                </c:pt>
                <c:pt idx="23">
                  <c:v>0.540394013565345</c:v>
                </c:pt>
                <c:pt idx="24">
                  <c:v>0.54767518329973663</c:v>
                </c:pt>
                <c:pt idx="25">
                  <c:v>0.57338137103969855</c:v>
                </c:pt>
                <c:pt idx="26">
                  <c:v>0.57557185167336355</c:v>
                </c:pt>
                <c:pt idx="27">
                  <c:v>0.58291579503401669</c:v>
                </c:pt>
                <c:pt idx="28">
                  <c:v>0.59127250290536937</c:v>
                </c:pt>
                <c:pt idx="29">
                  <c:v>0.59985774171973827</c:v>
                </c:pt>
                <c:pt idx="30">
                  <c:v>0.6086125807326902</c:v>
                </c:pt>
                <c:pt idx="31">
                  <c:v>0.62477431492191726</c:v>
                </c:pt>
                <c:pt idx="32">
                  <c:v>0.6404488616339179</c:v>
                </c:pt>
                <c:pt idx="33">
                  <c:v>0.65595220093314899</c:v>
                </c:pt>
                <c:pt idx="34">
                  <c:v>0.67126216240473568</c:v>
                </c:pt>
                <c:pt idx="35">
                  <c:v>0.68643901431252186</c:v>
                </c:pt>
                <c:pt idx="36">
                  <c:v>0.70165264547231221</c:v>
                </c:pt>
                <c:pt idx="37">
                  <c:v>0.71516598973560319</c:v>
                </c:pt>
                <c:pt idx="38">
                  <c:v>0.72655753325536587</c:v>
                </c:pt>
                <c:pt idx="39">
                  <c:v>0.73769463023343285</c:v>
                </c:pt>
                <c:pt idx="40">
                  <c:v>0.74832242495320411</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0.33847064590569859</c:v>
                </c:pt>
                <c:pt idx="10">
                  <c:v>0.36538453838790924</c:v>
                </c:pt>
                <c:pt idx="11">
                  <c:v>0.43784153124584108</c:v>
                </c:pt>
                <c:pt idx="12">
                  <c:v>0.47851759273061129</c:v>
                </c:pt>
                <c:pt idx="13">
                  <c:v>0.49886672474079752</c:v>
                </c:pt>
                <c:pt idx="14">
                  <c:v>0.51710006263319785</c:v>
                </c:pt>
                <c:pt idx="15">
                  <c:v>0.53467894777326108</c:v>
                </c:pt>
                <c:pt idx="16">
                  <c:v>0.55884592170559577</c:v>
                </c:pt>
                <c:pt idx="17">
                  <c:v>0.57863034728373319</c:v>
                </c:pt>
                <c:pt idx="18">
                  <c:v>0.59797082493887088</c:v>
                </c:pt>
                <c:pt idx="19">
                  <c:v>0.62110656247266083</c:v>
                </c:pt>
                <c:pt idx="20">
                  <c:v>0.64488669598602022</c:v>
                </c:pt>
                <c:pt idx="21">
                  <c:v>0.65155023463349604</c:v>
                </c:pt>
                <c:pt idx="22">
                  <c:v>0.65955691177483156</c:v>
                </c:pt>
                <c:pt idx="23">
                  <c:v>0.66475878304801861</c:v>
                </c:pt>
                <c:pt idx="24">
                  <c:v>0.66941688522843712</c:v>
                </c:pt>
                <c:pt idx="25">
                  <c:v>0.70178153665527632</c:v>
                </c:pt>
                <c:pt idx="26">
                  <c:v>0.74604003103757921</c:v>
                </c:pt>
                <c:pt idx="27">
                  <c:v>0.75057146805590114</c:v>
                </c:pt>
                <c:pt idx="28">
                  <c:v>0.74748747060287746</c:v>
                </c:pt>
                <c:pt idx="29">
                  <c:v>0.74448656888414377</c:v>
                </c:pt>
                <c:pt idx="30">
                  <c:v>0.74153755453521497</c:v>
                </c:pt>
                <c:pt idx="31">
                  <c:v>0.74336554171621483</c:v>
                </c:pt>
                <c:pt idx="32">
                  <c:v>0.74497134582846192</c:v>
                </c:pt>
                <c:pt idx="33">
                  <c:v>0.74661048927351392</c:v>
                </c:pt>
                <c:pt idx="34">
                  <c:v>0.74828429890510129</c:v>
                </c:pt>
                <c:pt idx="35">
                  <c:v>0.75006114667922896</c:v>
                </c:pt>
                <c:pt idx="36">
                  <c:v>0.75233207609357244</c:v>
                </c:pt>
                <c:pt idx="37">
                  <c:v>0.75339492673174702</c:v>
                </c:pt>
                <c:pt idx="38">
                  <c:v>0.75427025576631102</c:v>
                </c:pt>
                <c:pt idx="39">
                  <c:v>0.75524082859631403</c:v>
                </c:pt>
                <c:pt idx="40">
                  <c:v>0.75607833711110872</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0.33847064590569859</c:v>
                </c:pt>
                <c:pt idx="10">
                  <c:v>0.36538453838790924</c:v>
                </c:pt>
                <c:pt idx="11">
                  <c:v>0.43784153124584108</c:v>
                </c:pt>
                <c:pt idx="12">
                  <c:v>0.47851759273061129</c:v>
                </c:pt>
                <c:pt idx="13">
                  <c:v>0.49886672474079752</c:v>
                </c:pt>
                <c:pt idx="14">
                  <c:v>0.51710006263319785</c:v>
                </c:pt>
                <c:pt idx="15">
                  <c:v>0.53467894777326108</c:v>
                </c:pt>
                <c:pt idx="16">
                  <c:v>0.55884592170559577</c:v>
                </c:pt>
                <c:pt idx="17">
                  <c:v>0.57863034728373319</c:v>
                </c:pt>
                <c:pt idx="18">
                  <c:v>0.59797082493887088</c:v>
                </c:pt>
                <c:pt idx="19">
                  <c:v>0.62110656247266083</c:v>
                </c:pt>
                <c:pt idx="20">
                  <c:v>0.64488669598602022</c:v>
                </c:pt>
                <c:pt idx="21">
                  <c:v>0.65155023463349604</c:v>
                </c:pt>
                <c:pt idx="22">
                  <c:v>0.65955691177483156</c:v>
                </c:pt>
                <c:pt idx="23">
                  <c:v>0.66475878304801861</c:v>
                </c:pt>
                <c:pt idx="24">
                  <c:v>0.66941688522843712</c:v>
                </c:pt>
                <c:pt idx="25">
                  <c:v>0.70178153665527632</c:v>
                </c:pt>
                <c:pt idx="26">
                  <c:v>0.74604003103757921</c:v>
                </c:pt>
                <c:pt idx="27">
                  <c:v>0.75057146805590114</c:v>
                </c:pt>
                <c:pt idx="28">
                  <c:v>0.74748747060287746</c:v>
                </c:pt>
                <c:pt idx="29">
                  <c:v>0.74448656888414377</c:v>
                </c:pt>
                <c:pt idx="30">
                  <c:v>0.74153755453521497</c:v>
                </c:pt>
                <c:pt idx="31">
                  <c:v>0.74336554171621483</c:v>
                </c:pt>
                <c:pt idx="32">
                  <c:v>0.74497134582846192</c:v>
                </c:pt>
                <c:pt idx="33">
                  <c:v>0.74661048927351392</c:v>
                </c:pt>
                <c:pt idx="34">
                  <c:v>0.74828429890510129</c:v>
                </c:pt>
                <c:pt idx="35">
                  <c:v>0.75006114667922896</c:v>
                </c:pt>
                <c:pt idx="36">
                  <c:v>0.75233207609357244</c:v>
                </c:pt>
                <c:pt idx="37">
                  <c:v>0.75339492673174702</c:v>
                </c:pt>
                <c:pt idx="38">
                  <c:v>0.75427025576631102</c:v>
                </c:pt>
                <c:pt idx="39">
                  <c:v>0.75524082859631403</c:v>
                </c:pt>
                <c:pt idx="40">
                  <c:v>0.75607833711110872</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0.33847064590569859</c:v>
                </c:pt>
                <c:pt idx="10">
                  <c:v>0.36538453838790924</c:v>
                </c:pt>
                <c:pt idx="11">
                  <c:v>0.43784153124584108</c:v>
                </c:pt>
                <c:pt idx="12">
                  <c:v>0.47851759273061129</c:v>
                </c:pt>
                <c:pt idx="13">
                  <c:v>0.49886672474079752</c:v>
                </c:pt>
                <c:pt idx="14">
                  <c:v>0.51710006263319785</c:v>
                </c:pt>
                <c:pt idx="15">
                  <c:v>0.53467894777326108</c:v>
                </c:pt>
                <c:pt idx="16">
                  <c:v>0.55884592170559577</c:v>
                </c:pt>
                <c:pt idx="17">
                  <c:v>0.57863034728373319</c:v>
                </c:pt>
                <c:pt idx="18">
                  <c:v>0.59797082493887088</c:v>
                </c:pt>
                <c:pt idx="19">
                  <c:v>0.62110656247266083</c:v>
                </c:pt>
                <c:pt idx="20">
                  <c:v>0.64488669598602022</c:v>
                </c:pt>
                <c:pt idx="21">
                  <c:v>0.65155023463349604</c:v>
                </c:pt>
                <c:pt idx="22">
                  <c:v>0.65955691177483156</c:v>
                </c:pt>
                <c:pt idx="23">
                  <c:v>0.66475878304801861</c:v>
                </c:pt>
                <c:pt idx="24">
                  <c:v>0.66941688522843712</c:v>
                </c:pt>
                <c:pt idx="25">
                  <c:v>0.70178153665527632</c:v>
                </c:pt>
                <c:pt idx="26">
                  <c:v>0.74604003103757921</c:v>
                </c:pt>
                <c:pt idx="27">
                  <c:v>0.75057146805590114</c:v>
                </c:pt>
                <c:pt idx="28">
                  <c:v>0.74748747060287746</c:v>
                </c:pt>
                <c:pt idx="29">
                  <c:v>0.74448656888414377</c:v>
                </c:pt>
                <c:pt idx="30">
                  <c:v>0.74153755453521497</c:v>
                </c:pt>
                <c:pt idx="31">
                  <c:v>0.74336554171621483</c:v>
                </c:pt>
                <c:pt idx="32">
                  <c:v>0.74497134582846192</c:v>
                </c:pt>
                <c:pt idx="33">
                  <c:v>0.74661048927351392</c:v>
                </c:pt>
                <c:pt idx="34">
                  <c:v>0.74828429890510129</c:v>
                </c:pt>
                <c:pt idx="35">
                  <c:v>0.75006114667922896</c:v>
                </c:pt>
                <c:pt idx="36">
                  <c:v>0.75233207609357244</c:v>
                </c:pt>
                <c:pt idx="37">
                  <c:v>0.75339492673174702</c:v>
                </c:pt>
                <c:pt idx="38">
                  <c:v>0.75427025576631102</c:v>
                </c:pt>
                <c:pt idx="39">
                  <c:v>0.75524082859631403</c:v>
                </c:pt>
                <c:pt idx="40">
                  <c:v>0.75607833711110872</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0.33847064590569859</c:v>
                </c:pt>
                <c:pt idx="10">
                  <c:v>0.36538453838790924</c:v>
                </c:pt>
                <c:pt idx="11">
                  <c:v>0.43784153124584108</c:v>
                </c:pt>
                <c:pt idx="12">
                  <c:v>0.47851759273061129</c:v>
                </c:pt>
                <c:pt idx="13">
                  <c:v>0.49886672474079752</c:v>
                </c:pt>
                <c:pt idx="14">
                  <c:v>0.51710006263319785</c:v>
                </c:pt>
                <c:pt idx="15">
                  <c:v>0.53467894777326108</c:v>
                </c:pt>
                <c:pt idx="16">
                  <c:v>0.55884592170559577</c:v>
                </c:pt>
                <c:pt idx="17">
                  <c:v>0.57863034728373319</c:v>
                </c:pt>
                <c:pt idx="18">
                  <c:v>0.59797082493887088</c:v>
                </c:pt>
                <c:pt idx="19">
                  <c:v>0.62110656247266083</c:v>
                </c:pt>
                <c:pt idx="20">
                  <c:v>0.64488669598602022</c:v>
                </c:pt>
                <c:pt idx="21">
                  <c:v>0.65155023463349604</c:v>
                </c:pt>
                <c:pt idx="22">
                  <c:v>0.65955691177483156</c:v>
                </c:pt>
                <c:pt idx="23">
                  <c:v>0.66475878304801861</c:v>
                </c:pt>
                <c:pt idx="24">
                  <c:v>0.66941688522843712</c:v>
                </c:pt>
                <c:pt idx="25">
                  <c:v>0.70178153665527632</c:v>
                </c:pt>
                <c:pt idx="26">
                  <c:v>0.74604003103757921</c:v>
                </c:pt>
                <c:pt idx="27">
                  <c:v>0.75057146805590114</c:v>
                </c:pt>
                <c:pt idx="28">
                  <c:v>0.74748747060287746</c:v>
                </c:pt>
                <c:pt idx="29">
                  <c:v>0.74448656888414377</c:v>
                </c:pt>
                <c:pt idx="30">
                  <c:v>0.74153755453521497</c:v>
                </c:pt>
                <c:pt idx="31">
                  <c:v>0.74336554171621483</c:v>
                </c:pt>
                <c:pt idx="32">
                  <c:v>0.74497134582846192</c:v>
                </c:pt>
                <c:pt idx="33">
                  <c:v>0.74661048927351392</c:v>
                </c:pt>
                <c:pt idx="34">
                  <c:v>0.74828429890510129</c:v>
                </c:pt>
                <c:pt idx="35">
                  <c:v>0.75006114667922896</c:v>
                </c:pt>
                <c:pt idx="36">
                  <c:v>0.75233207609357244</c:v>
                </c:pt>
                <c:pt idx="37">
                  <c:v>0.75339492673174702</c:v>
                </c:pt>
                <c:pt idx="38">
                  <c:v>0.75427025576631102</c:v>
                </c:pt>
                <c:pt idx="39">
                  <c:v>0.75524082859631403</c:v>
                </c:pt>
                <c:pt idx="40">
                  <c:v>0.75607833711110872</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21825.983373377483</c:v>
                </c:pt>
                <c:pt idx="10">
                  <c:v>21511.585776615277</c:v>
                </c:pt>
                <c:pt idx="11">
                  <c:v>21208.608782928775</c:v>
                </c:pt>
                <c:pt idx="12">
                  <c:v>20890.73553838069</c:v>
                </c:pt>
                <c:pt idx="13">
                  <c:v>20569.2088608052</c:v>
                </c:pt>
                <c:pt idx="14">
                  <c:v>20245.622337773795</c:v>
                </c:pt>
                <c:pt idx="15">
                  <c:v>19918.454057479132</c:v>
                </c:pt>
                <c:pt idx="16">
                  <c:v>19591.017744931905</c:v>
                </c:pt>
                <c:pt idx="17">
                  <c:v>19272.701680303966</c:v>
                </c:pt>
                <c:pt idx="18">
                  <c:v>18899.585732144871</c:v>
                </c:pt>
                <c:pt idx="19">
                  <c:v>18542.043751352081</c:v>
                </c:pt>
                <c:pt idx="20">
                  <c:v>18200.051926718577</c:v>
                </c:pt>
                <c:pt idx="21">
                  <c:v>17875.110794826134</c:v>
                </c:pt>
                <c:pt idx="22">
                  <c:v>17562.805301188506</c:v>
                </c:pt>
                <c:pt idx="23">
                  <c:v>17263.959733004398</c:v>
                </c:pt>
                <c:pt idx="24">
                  <c:v>16978.601391782016</c:v>
                </c:pt>
                <c:pt idx="25">
                  <c:v>16702.297433033091</c:v>
                </c:pt>
                <c:pt idx="26">
                  <c:v>16445.720984667038</c:v>
                </c:pt>
                <c:pt idx="27">
                  <c:v>16233.501670520385</c:v>
                </c:pt>
                <c:pt idx="28">
                  <c:v>16042.244226399205</c:v>
                </c:pt>
                <c:pt idx="29">
                  <c:v>15870.569576035876</c:v>
                </c:pt>
                <c:pt idx="30">
                  <c:v>15717.685145638119</c:v>
                </c:pt>
                <c:pt idx="31">
                  <c:v>15582.849465647592</c:v>
                </c:pt>
                <c:pt idx="32">
                  <c:v>15451.464702455314</c:v>
                </c:pt>
                <c:pt idx="33">
                  <c:v>15324.243913212627</c:v>
                </c:pt>
                <c:pt idx="34">
                  <c:v>15201.080203837471</c:v>
                </c:pt>
                <c:pt idx="35">
                  <c:v>15082.126335756877</c:v>
                </c:pt>
                <c:pt idx="36">
                  <c:v>14967.07290392277</c:v>
                </c:pt>
                <c:pt idx="37">
                  <c:v>14849.661488184647</c:v>
                </c:pt>
                <c:pt idx="38">
                  <c:v>14739.566044193534</c:v>
                </c:pt>
                <c:pt idx="39">
                  <c:v>14637.674006954454</c:v>
                </c:pt>
                <c:pt idx="40">
                  <c:v>14542.830925330065</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21935.159609571587</c:v>
                </c:pt>
                <c:pt idx="10">
                  <c:v>21745.203971047915</c:v>
                </c:pt>
                <c:pt idx="11">
                  <c:v>21635.038240110705</c:v>
                </c:pt>
                <c:pt idx="12">
                  <c:v>21289.718243646883</c:v>
                </c:pt>
                <c:pt idx="13">
                  <c:v>20840.539700663641</c:v>
                </c:pt>
                <c:pt idx="14">
                  <c:v>20416.417103815846</c:v>
                </c:pt>
                <c:pt idx="15">
                  <c:v>20014.390655634426</c:v>
                </c:pt>
                <c:pt idx="16">
                  <c:v>19633.909227056691</c:v>
                </c:pt>
                <c:pt idx="17">
                  <c:v>19272.591588009636</c:v>
                </c:pt>
                <c:pt idx="18">
                  <c:v>18927.178504817392</c:v>
                </c:pt>
                <c:pt idx="19">
                  <c:v>18598.438707182711</c:v>
                </c:pt>
                <c:pt idx="20">
                  <c:v>18285.457860113747</c:v>
                </c:pt>
                <c:pt idx="21">
                  <c:v>17891.758769106444</c:v>
                </c:pt>
                <c:pt idx="22">
                  <c:v>17505.845720655772</c:v>
                </c:pt>
                <c:pt idx="23">
                  <c:v>17143.578669809562</c:v>
                </c:pt>
                <c:pt idx="24">
                  <c:v>16802.854573741053</c:v>
                </c:pt>
                <c:pt idx="25">
                  <c:v>16478.983347200796</c:v>
                </c:pt>
                <c:pt idx="26">
                  <c:v>16172.752863212987</c:v>
                </c:pt>
                <c:pt idx="27">
                  <c:v>15884.741286224047</c:v>
                </c:pt>
                <c:pt idx="28">
                  <c:v>15620.78310159902</c:v>
                </c:pt>
                <c:pt idx="29">
                  <c:v>15382.430625379078</c:v>
                </c:pt>
                <c:pt idx="30">
                  <c:v>15168.55472687271</c:v>
                </c:pt>
                <c:pt idx="31">
                  <c:v>14978.103760226522</c:v>
                </c:pt>
                <c:pt idx="32">
                  <c:v>14801.063139827307</c:v>
                </c:pt>
                <c:pt idx="33">
                  <c:v>14637.601704105135</c:v>
                </c:pt>
                <c:pt idx="34">
                  <c:v>14487.047886324206</c:v>
                </c:pt>
                <c:pt idx="35">
                  <c:v>14349.018114835975</c:v>
                </c:pt>
                <c:pt idx="36">
                  <c:v>14222.690782918346</c:v>
                </c:pt>
                <c:pt idx="37">
                  <c:v>14101.620650320838</c:v>
                </c:pt>
                <c:pt idx="38">
                  <c:v>13988.993778320168</c:v>
                </c:pt>
                <c:pt idx="39">
                  <c:v>13885.373693672023</c:v>
                </c:pt>
                <c:pt idx="40">
                  <c:v>13789.364422812218</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21801.915155472008</c:v>
                </c:pt>
                <c:pt idx="10">
                  <c:v>21523.273064201418</c:v>
                </c:pt>
                <c:pt idx="11">
                  <c:v>21268.760921143075</c:v>
                </c:pt>
                <c:pt idx="12">
                  <c:v>20786.939470958685</c:v>
                </c:pt>
                <c:pt idx="13">
                  <c:v>20335.930640719453</c:v>
                </c:pt>
                <c:pt idx="14">
                  <c:v>19909.745743143267</c:v>
                </c:pt>
                <c:pt idx="15">
                  <c:v>19505.870169442132</c:v>
                </c:pt>
                <c:pt idx="16">
                  <c:v>19123.280514878992</c:v>
                </c:pt>
                <c:pt idx="17">
                  <c:v>18759.868800726865</c:v>
                </c:pt>
                <c:pt idx="18">
                  <c:v>18413.019285135946</c:v>
                </c:pt>
                <c:pt idx="19">
                  <c:v>18082.732497807079</c:v>
                </c:pt>
                <c:pt idx="20">
                  <c:v>17767.877216723246</c:v>
                </c:pt>
                <c:pt idx="21">
                  <c:v>17371.544668714763</c:v>
                </c:pt>
                <c:pt idx="22">
                  <c:v>16983.198158232433</c:v>
                </c:pt>
                <c:pt idx="23">
                  <c:v>16618.032710573094</c:v>
                </c:pt>
                <c:pt idx="24">
                  <c:v>16273.647878782094</c:v>
                </c:pt>
                <c:pt idx="25">
                  <c:v>15946.786472980726</c:v>
                </c:pt>
                <c:pt idx="26">
                  <c:v>15637.537746738277</c:v>
                </c:pt>
                <c:pt idx="27">
                  <c:v>15345.882221875921</c:v>
                </c:pt>
                <c:pt idx="28">
                  <c:v>15078.037877113205</c:v>
                </c:pt>
                <c:pt idx="29">
                  <c:v>14835.552561779066</c:v>
                </c:pt>
                <c:pt idx="30">
                  <c:v>14617.354126386277</c:v>
                </c:pt>
                <c:pt idx="31">
                  <c:v>14422.431810726886</c:v>
                </c:pt>
                <c:pt idx="32">
                  <c:v>14241.196337668191</c:v>
                </c:pt>
                <c:pt idx="33">
                  <c:v>14073.448018012343</c:v>
                </c:pt>
                <c:pt idx="34">
                  <c:v>13918.510672620541</c:v>
                </c:pt>
                <c:pt idx="35">
                  <c:v>13775.893264481678</c:v>
                </c:pt>
                <c:pt idx="36">
                  <c:v>13644.855537461928</c:v>
                </c:pt>
                <c:pt idx="37">
                  <c:v>13520.905135327157</c:v>
                </c:pt>
                <c:pt idx="38">
                  <c:v>13405.667324481794</c:v>
                </c:pt>
                <c:pt idx="39">
                  <c:v>13299.260860571829</c:v>
                </c:pt>
                <c:pt idx="40">
                  <c:v>13200.653033916995</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21825.983373377483</c:v>
                </c:pt>
                <c:pt idx="10">
                  <c:v>21511.585776615277</c:v>
                </c:pt>
                <c:pt idx="11">
                  <c:v>21208.608782928775</c:v>
                </c:pt>
                <c:pt idx="12">
                  <c:v>20890.73553838069</c:v>
                </c:pt>
                <c:pt idx="13">
                  <c:v>20569.2088608052</c:v>
                </c:pt>
                <c:pt idx="14">
                  <c:v>20245.622337773795</c:v>
                </c:pt>
                <c:pt idx="15">
                  <c:v>19918.454057479132</c:v>
                </c:pt>
                <c:pt idx="16">
                  <c:v>19591.017744931905</c:v>
                </c:pt>
                <c:pt idx="17">
                  <c:v>19272.701680303966</c:v>
                </c:pt>
                <c:pt idx="18">
                  <c:v>18899.585732144871</c:v>
                </c:pt>
                <c:pt idx="19">
                  <c:v>18542.043751352081</c:v>
                </c:pt>
                <c:pt idx="20">
                  <c:v>18200.051926718577</c:v>
                </c:pt>
                <c:pt idx="21">
                  <c:v>17875.110794826134</c:v>
                </c:pt>
                <c:pt idx="22">
                  <c:v>17562.805301188506</c:v>
                </c:pt>
                <c:pt idx="23">
                  <c:v>17263.959733004398</c:v>
                </c:pt>
                <c:pt idx="24">
                  <c:v>16978.601391782016</c:v>
                </c:pt>
                <c:pt idx="25">
                  <c:v>16702.297433033091</c:v>
                </c:pt>
                <c:pt idx="26">
                  <c:v>16445.720984667038</c:v>
                </c:pt>
                <c:pt idx="27">
                  <c:v>16233.501670520385</c:v>
                </c:pt>
                <c:pt idx="28">
                  <c:v>16042.244226399205</c:v>
                </c:pt>
                <c:pt idx="29">
                  <c:v>15870.569576035876</c:v>
                </c:pt>
                <c:pt idx="30">
                  <c:v>15717.685145638119</c:v>
                </c:pt>
                <c:pt idx="31">
                  <c:v>15582.849465647592</c:v>
                </c:pt>
                <c:pt idx="32">
                  <c:v>15451.464702455314</c:v>
                </c:pt>
                <c:pt idx="33">
                  <c:v>15324.243913212627</c:v>
                </c:pt>
                <c:pt idx="34">
                  <c:v>15201.080203837471</c:v>
                </c:pt>
                <c:pt idx="35">
                  <c:v>15082.126335756877</c:v>
                </c:pt>
                <c:pt idx="36">
                  <c:v>14967.07290392277</c:v>
                </c:pt>
                <c:pt idx="37">
                  <c:v>14849.661488184647</c:v>
                </c:pt>
                <c:pt idx="38">
                  <c:v>14739.566044193534</c:v>
                </c:pt>
                <c:pt idx="39">
                  <c:v>14637.674006954454</c:v>
                </c:pt>
                <c:pt idx="40">
                  <c:v>14542.830925330065</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21935.159609571587</c:v>
                </c:pt>
                <c:pt idx="10">
                  <c:v>21745.203971047915</c:v>
                </c:pt>
                <c:pt idx="11">
                  <c:v>21635.038240110705</c:v>
                </c:pt>
                <c:pt idx="12">
                  <c:v>21289.718243646883</c:v>
                </c:pt>
                <c:pt idx="13">
                  <c:v>20840.539700663641</c:v>
                </c:pt>
                <c:pt idx="14">
                  <c:v>20416.417103815846</c:v>
                </c:pt>
                <c:pt idx="15">
                  <c:v>20014.390655634426</c:v>
                </c:pt>
                <c:pt idx="16">
                  <c:v>19633.909227056691</c:v>
                </c:pt>
                <c:pt idx="17">
                  <c:v>19272.591588009636</c:v>
                </c:pt>
                <c:pt idx="18">
                  <c:v>18927.178504817392</c:v>
                </c:pt>
                <c:pt idx="19">
                  <c:v>18598.438707182711</c:v>
                </c:pt>
                <c:pt idx="20">
                  <c:v>18285.457860113747</c:v>
                </c:pt>
                <c:pt idx="21">
                  <c:v>17891.758769106444</c:v>
                </c:pt>
                <c:pt idx="22">
                  <c:v>17505.845720655772</c:v>
                </c:pt>
                <c:pt idx="23">
                  <c:v>17143.578669809562</c:v>
                </c:pt>
                <c:pt idx="24">
                  <c:v>16802.854573741053</c:v>
                </c:pt>
                <c:pt idx="25">
                  <c:v>16478.983347200796</c:v>
                </c:pt>
                <c:pt idx="26">
                  <c:v>16172.752863212987</c:v>
                </c:pt>
                <c:pt idx="27">
                  <c:v>15884.741286224047</c:v>
                </c:pt>
                <c:pt idx="28">
                  <c:v>15620.78310159902</c:v>
                </c:pt>
                <c:pt idx="29">
                  <c:v>15382.430625379078</c:v>
                </c:pt>
                <c:pt idx="30">
                  <c:v>15168.55472687271</c:v>
                </c:pt>
                <c:pt idx="31">
                  <c:v>14978.103760226522</c:v>
                </c:pt>
                <c:pt idx="32">
                  <c:v>14801.063139827307</c:v>
                </c:pt>
                <c:pt idx="33">
                  <c:v>14637.601704105135</c:v>
                </c:pt>
                <c:pt idx="34">
                  <c:v>14487.047886324206</c:v>
                </c:pt>
                <c:pt idx="35">
                  <c:v>14349.018114835975</c:v>
                </c:pt>
                <c:pt idx="36">
                  <c:v>14222.690782918346</c:v>
                </c:pt>
                <c:pt idx="37">
                  <c:v>14101.620650320838</c:v>
                </c:pt>
                <c:pt idx="38">
                  <c:v>13988.993778320168</c:v>
                </c:pt>
                <c:pt idx="39">
                  <c:v>13885.373693672023</c:v>
                </c:pt>
                <c:pt idx="40">
                  <c:v>13789.364422812218</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21801.915155472008</c:v>
                </c:pt>
                <c:pt idx="10">
                  <c:v>21523.273064201418</c:v>
                </c:pt>
                <c:pt idx="11">
                  <c:v>21268.760921143075</c:v>
                </c:pt>
                <c:pt idx="12">
                  <c:v>20786.939470958685</c:v>
                </c:pt>
                <c:pt idx="13">
                  <c:v>20335.930640719453</c:v>
                </c:pt>
                <c:pt idx="14">
                  <c:v>19909.745743143267</c:v>
                </c:pt>
                <c:pt idx="15">
                  <c:v>19505.870169442132</c:v>
                </c:pt>
                <c:pt idx="16">
                  <c:v>19123.280514878992</c:v>
                </c:pt>
                <c:pt idx="17">
                  <c:v>18759.868800726865</c:v>
                </c:pt>
                <c:pt idx="18">
                  <c:v>18413.019285135946</c:v>
                </c:pt>
                <c:pt idx="19">
                  <c:v>18082.732497807079</c:v>
                </c:pt>
                <c:pt idx="20">
                  <c:v>17767.877216723246</c:v>
                </c:pt>
                <c:pt idx="21">
                  <c:v>17371.544668714763</c:v>
                </c:pt>
                <c:pt idx="22">
                  <c:v>16983.198158232433</c:v>
                </c:pt>
                <c:pt idx="23">
                  <c:v>16618.032710573094</c:v>
                </c:pt>
                <c:pt idx="24">
                  <c:v>16273.647878782094</c:v>
                </c:pt>
                <c:pt idx="25">
                  <c:v>15946.786472980726</c:v>
                </c:pt>
                <c:pt idx="26">
                  <c:v>15637.537746738277</c:v>
                </c:pt>
                <c:pt idx="27">
                  <c:v>15345.882221875921</c:v>
                </c:pt>
                <c:pt idx="28">
                  <c:v>15078.037877113205</c:v>
                </c:pt>
                <c:pt idx="29">
                  <c:v>14835.552561779066</c:v>
                </c:pt>
                <c:pt idx="30">
                  <c:v>14617.354126386277</c:v>
                </c:pt>
                <c:pt idx="31">
                  <c:v>14422.431810726886</c:v>
                </c:pt>
                <c:pt idx="32">
                  <c:v>14241.196337668191</c:v>
                </c:pt>
                <c:pt idx="33">
                  <c:v>14073.448018012343</c:v>
                </c:pt>
                <c:pt idx="34">
                  <c:v>13918.510672620541</c:v>
                </c:pt>
                <c:pt idx="35">
                  <c:v>13775.893264481678</c:v>
                </c:pt>
                <c:pt idx="36">
                  <c:v>13644.855537461928</c:v>
                </c:pt>
                <c:pt idx="37">
                  <c:v>13520.905135327157</c:v>
                </c:pt>
                <c:pt idx="38">
                  <c:v>13405.667324481794</c:v>
                </c:pt>
                <c:pt idx="39">
                  <c:v>13299.260860571829</c:v>
                </c:pt>
                <c:pt idx="40">
                  <c:v>13200.653033916995</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53.404857831011547</c:v>
                </c:pt>
                <c:pt idx="10" formatCode="_(* #,##0_);_(* \(#,##0\);_(* &quot;-&quot;_);_(@_)">
                  <c:v>50.522212337504236</c:v>
                </c:pt>
                <c:pt idx="11" formatCode="_(* #,##0_);_(* \(#,##0\);_(* &quot;-&quot;_);_(@_)">
                  <c:v>50.478759434739615</c:v>
                </c:pt>
                <c:pt idx="12" formatCode="_(* #,##0_);_(* \(#,##0\);_(* &quot;-&quot;_);_(@_)">
                  <c:v>50.35979284713315</c:v>
                </c:pt>
                <c:pt idx="13" formatCode="_(* #,##0_);_(* \(#,##0\);_(* &quot;-&quot;_);_(@_)">
                  <c:v>49.90793306604332</c:v>
                </c:pt>
                <c:pt idx="14" formatCode="_(* #,##0_);_(* \(#,##0\);_(* &quot;-&quot;_);_(@_)">
                  <c:v>50.177221869345395</c:v>
                </c:pt>
                <c:pt idx="15" formatCode="_(* #,##0_);_(* \(#,##0\);_(* &quot;-&quot;_);_(@_)">
                  <c:v>50.60574138776861</c:v>
                </c:pt>
                <c:pt idx="16" formatCode="_(* #,##0_);_(* \(#,##0\);_(* &quot;-&quot;_);_(@_)">
                  <c:v>48.876629543919627</c:v>
                </c:pt>
                <c:pt idx="17" formatCode="_(* #,##0_);_(* \(#,##0\);_(* &quot;-&quot;_);_(@_)">
                  <c:v>48.564316261510797</c:v>
                </c:pt>
                <c:pt idx="18" formatCode="_(* #,##0_);_(* \(#,##0\);_(* &quot;-&quot;_);_(@_)">
                  <c:v>48.196370991930714</c:v>
                </c:pt>
                <c:pt idx="19" formatCode="_(* #,##0_);_(* \(#,##0\);_(* &quot;-&quot;_);_(@_)">
                  <c:v>46.50488094573749</c:v>
                </c:pt>
                <c:pt idx="20" formatCode="_(* #,##0_);_(* \(#,##0\);_(* &quot;-&quot;_);_(@_)">
                  <c:v>44.627656242225981</c:v>
                </c:pt>
                <c:pt idx="21" formatCode="_(* #,##0_);_(* \(#,##0\);_(* &quot;-&quot;_);_(@_)">
                  <c:v>43.830165240535273</c:v>
                </c:pt>
                <c:pt idx="22" formatCode="_(* #,##0_);_(* \(#,##0\);_(* &quot;-&quot;_);_(@_)">
                  <c:v>42.600148259036544</c:v>
                </c:pt>
                <c:pt idx="23" formatCode="_(* #,##0_);_(* \(#,##0\);_(* &quot;-&quot;_);_(@_)">
                  <c:v>41.720520537816469</c:v>
                </c:pt>
                <c:pt idx="24" formatCode="_(* #,##0_);_(* \(#,##0\);_(* &quot;-&quot;_);_(@_)">
                  <c:v>41.169489630995621</c:v>
                </c:pt>
                <c:pt idx="25" formatCode="_(* #,##0_);_(* \(#,##0\);_(* &quot;-&quot;_);_(@_)">
                  <c:v>33.008995481321321</c:v>
                </c:pt>
                <c:pt idx="26" formatCode="_(* #,##0_);_(* \(#,##0\);_(* &quot;-&quot;_);_(@_)">
                  <c:v>23.988684664399056</c:v>
                </c:pt>
                <c:pt idx="27" formatCode="_(* #,##0_);_(* \(#,##0\);_(* &quot;-&quot;_);_(@_)">
                  <c:v>19.936802299321226</c:v>
                </c:pt>
                <c:pt idx="28" formatCode="_(* #,##0_);_(* \(#,##0\);_(* &quot;-&quot;_);_(@_)">
                  <c:v>16.174143168204505</c:v>
                </c:pt>
                <c:pt idx="29" formatCode="_(* #,##0_);_(* \(#,##0\);_(* &quot;-&quot;_);_(@_)">
                  <c:v>12.411484037087778</c:v>
                </c:pt>
                <c:pt idx="30" formatCode="_(* #,##0_);_(* \(#,##0\);_(* &quot;-&quot;_);_(@_)">
                  <c:v>8.648824905971054</c:v>
                </c:pt>
                <c:pt idx="31" formatCode="_(* #,##0_);_(* \(#,##0\);_(* &quot;-&quot;_);_(@_)">
                  <c:v>7.7028812953237189</c:v>
                </c:pt>
                <c:pt idx="32" formatCode="_(* #,##0_);_(* \(#,##0\);_(* &quot;-&quot;_);_(@_)">
                  <c:v>6.7569376846763856</c:v>
                </c:pt>
                <c:pt idx="33" formatCode="_(* #,##0_);_(* \(#,##0\);_(* &quot;-&quot;_);_(@_)">
                  <c:v>5.8109940740290513</c:v>
                </c:pt>
                <c:pt idx="34" formatCode="_(* #,##0_);_(* \(#,##0\);_(* &quot;-&quot;_);_(@_)">
                  <c:v>4.8650504633817171</c:v>
                </c:pt>
                <c:pt idx="35" formatCode="_(* #,##0_);_(* \(#,##0\);_(* &quot;-&quot;_);_(@_)">
                  <c:v>3.9191068527343829</c:v>
                </c:pt>
                <c:pt idx="36" formatCode="_(* #,##0_);_(* \(#,##0\);_(* &quot;-&quot;_);_(@_)">
                  <c:v>3.2634749196310313</c:v>
                </c:pt>
                <c:pt idx="37" formatCode="_(* #,##0_);_(* \(#,##0\);_(* &quot;-&quot;_);_(@_)">
                  <c:v>2.6078429865276798</c:v>
                </c:pt>
                <c:pt idx="38" formatCode="_(* #,##0_);_(* \(#,##0\);_(* &quot;-&quot;_);_(@_)">
                  <c:v>1.9522110534243289</c:v>
                </c:pt>
                <c:pt idx="39" formatCode="_(* #,##0_);_(* \(#,##0\);_(* &quot;-&quot;_);_(@_)">
                  <c:v>1.2965791203209778</c:v>
                </c:pt>
                <c:pt idx="40" formatCode="_(* #,##0_);_(* \(#,##0\);_(* &quot;-&quot;_);_(@_)">
                  <c:v>0.64094718721762656</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53.404857831011547</c:v>
                </c:pt>
                <c:pt idx="10" formatCode="_(* #,##0_);_(* \(#,##0\);_(* &quot;-&quot;_);_(@_)">
                  <c:v>50.522212337504236</c:v>
                </c:pt>
                <c:pt idx="11" formatCode="_(* #,##0_);_(* \(#,##0\);_(* &quot;-&quot;_);_(@_)">
                  <c:v>50.478759434739615</c:v>
                </c:pt>
                <c:pt idx="12" formatCode="_(* #,##0_);_(* \(#,##0\);_(* &quot;-&quot;_);_(@_)">
                  <c:v>50.35979284713315</c:v>
                </c:pt>
                <c:pt idx="13" formatCode="_(* #,##0_);_(* \(#,##0\);_(* &quot;-&quot;_);_(@_)">
                  <c:v>49.90793306604332</c:v>
                </c:pt>
                <c:pt idx="14" formatCode="_(* #,##0_);_(* \(#,##0\);_(* &quot;-&quot;_);_(@_)">
                  <c:v>50.177221869345395</c:v>
                </c:pt>
                <c:pt idx="15" formatCode="_(* #,##0_);_(* \(#,##0\);_(* &quot;-&quot;_);_(@_)">
                  <c:v>50.60574138776861</c:v>
                </c:pt>
                <c:pt idx="16" formatCode="_(* #,##0_);_(* \(#,##0\);_(* &quot;-&quot;_);_(@_)">
                  <c:v>48.876629543919627</c:v>
                </c:pt>
                <c:pt idx="17" formatCode="_(* #,##0_);_(* \(#,##0\);_(* &quot;-&quot;_);_(@_)">
                  <c:v>48.564316261510797</c:v>
                </c:pt>
                <c:pt idx="18" formatCode="_(* #,##0_);_(* \(#,##0\);_(* &quot;-&quot;_);_(@_)">
                  <c:v>48.196370991930714</c:v>
                </c:pt>
                <c:pt idx="19" formatCode="_(* #,##0_);_(* \(#,##0\);_(* &quot;-&quot;_);_(@_)">
                  <c:v>46.50488094573749</c:v>
                </c:pt>
                <c:pt idx="20" formatCode="_(* #,##0_);_(* \(#,##0\);_(* &quot;-&quot;_);_(@_)">
                  <c:v>44.627656242225981</c:v>
                </c:pt>
                <c:pt idx="21" formatCode="_(* #,##0_);_(* \(#,##0\);_(* &quot;-&quot;_);_(@_)">
                  <c:v>43.830165240535273</c:v>
                </c:pt>
                <c:pt idx="22" formatCode="_(* #,##0_);_(* \(#,##0\);_(* &quot;-&quot;_);_(@_)">
                  <c:v>42.600148259036544</c:v>
                </c:pt>
                <c:pt idx="23" formatCode="_(* #,##0_);_(* \(#,##0\);_(* &quot;-&quot;_);_(@_)">
                  <c:v>41.720520537816469</c:v>
                </c:pt>
                <c:pt idx="24" formatCode="_(* #,##0_);_(* \(#,##0\);_(* &quot;-&quot;_);_(@_)">
                  <c:v>41.169489630995621</c:v>
                </c:pt>
                <c:pt idx="25" formatCode="_(* #,##0_);_(* \(#,##0\);_(* &quot;-&quot;_);_(@_)">
                  <c:v>33.008995481321321</c:v>
                </c:pt>
                <c:pt idx="26" formatCode="_(* #,##0_);_(* \(#,##0\);_(* &quot;-&quot;_);_(@_)">
                  <c:v>23.988684664399056</c:v>
                </c:pt>
                <c:pt idx="27" formatCode="_(* #,##0_);_(* \(#,##0\);_(* &quot;-&quot;_);_(@_)">
                  <c:v>19.936802299321226</c:v>
                </c:pt>
                <c:pt idx="28" formatCode="_(* #,##0_);_(* \(#,##0\);_(* &quot;-&quot;_);_(@_)">
                  <c:v>16.174143168204505</c:v>
                </c:pt>
                <c:pt idx="29" formatCode="_(* #,##0_);_(* \(#,##0\);_(* &quot;-&quot;_);_(@_)">
                  <c:v>12.411484037087778</c:v>
                </c:pt>
                <c:pt idx="30" formatCode="_(* #,##0_);_(* \(#,##0\);_(* &quot;-&quot;_);_(@_)">
                  <c:v>8.648824905971054</c:v>
                </c:pt>
                <c:pt idx="31" formatCode="_(* #,##0_);_(* \(#,##0\);_(* &quot;-&quot;_);_(@_)">
                  <c:v>7.7028812953237189</c:v>
                </c:pt>
                <c:pt idx="32" formatCode="_(* #,##0_);_(* \(#,##0\);_(* &quot;-&quot;_);_(@_)">
                  <c:v>6.7569376846763856</c:v>
                </c:pt>
                <c:pt idx="33" formatCode="_(* #,##0_);_(* \(#,##0\);_(* &quot;-&quot;_);_(@_)">
                  <c:v>5.8109940740290513</c:v>
                </c:pt>
                <c:pt idx="34" formatCode="_(* #,##0_);_(* \(#,##0\);_(* &quot;-&quot;_);_(@_)">
                  <c:v>4.8650504633817171</c:v>
                </c:pt>
                <c:pt idx="35" formatCode="_(* #,##0_);_(* \(#,##0\);_(* &quot;-&quot;_);_(@_)">
                  <c:v>3.9191068527343829</c:v>
                </c:pt>
                <c:pt idx="36" formatCode="_(* #,##0_);_(* \(#,##0\);_(* &quot;-&quot;_);_(@_)">
                  <c:v>3.2634749196310313</c:v>
                </c:pt>
                <c:pt idx="37" formatCode="_(* #,##0_);_(* \(#,##0\);_(* &quot;-&quot;_);_(@_)">
                  <c:v>2.6078429865276798</c:v>
                </c:pt>
                <c:pt idx="38" formatCode="_(* #,##0_);_(* \(#,##0\);_(* &quot;-&quot;_);_(@_)">
                  <c:v>1.9522110534243289</c:v>
                </c:pt>
                <c:pt idx="39" formatCode="_(* #,##0_);_(* \(#,##0\);_(* &quot;-&quot;_);_(@_)">
                  <c:v>1.2965791203209778</c:v>
                </c:pt>
                <c:pt idx="40" formatCode="_(* #,##0_);_(* \(#,##0\);_(* &quot;-&quot;_);_(@_)">
                  <c:v>0.64094718721762656</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53.404857831011547</c:v>
                </c:pt>
                <c:pt idx="10" formatCode="_(* #,##0_);_(* \(#,##0\);_(* &quot;-&quot;_);_(@_)">
                  <c:v>50.522212337504236</c:v>
                </c:pt>
                <c:pt idx="11" formatCode="_(* #,##0_);_(* \(#,##0\);_(* &quot;-&quot;_);_(@_)">
                  <c:v>50.478759434739615</c:v>
                </c:pt>
                <c:pt idx="12" formatCode="_(* #,##0_);_(* \(#,##0\);_(* &quot;-&quot;_);_(@_)">
                  <c:v>50.35979284713315</c:v>
                </c:pt>
                <c:pt idx="13" formatCode="_(* #,##0_);_(* \(#,##0\);_(* &quot;-&quot;_);_(@_)">
                  <c:v>49.90793306604332</c:v>
                </c:pt>
                <c:pt idx="14" formatCode="_(* #,##0_);_(* \(#,##0\);_(* &quot;-&quot;_);_(@_)">
                  <c:v>50.177221869345395</c:v>
                </c:pt>
                <c:pt idx="15" formatCode="_(* #,##0_);_(* \(#,##0\);_(* &quot;-&quot;_);_(@_)">
                  <c:v>50.60574138776861</c:v>
                </c:pt>
                <c:pt idx="16" formatCode="_(* #,##0_);_(* \(#,##0\);_(* &quot;-&quot;_);_(@_)">
                  <c:v>48.876629543919627</c:v>
                </c:pt>
                <c:pt idx="17" formatCode="_(* #,##0_);_(* \(#,##0\);_(* &quot;-&quot;_);_(@_)">
                  <c:v>48.564316261510797</c:v>
                </c:pt>
                <c:pt idx="18" formatCode="_(* #,##0_);_(* \(#,##0\);_(* &quot;-&quot;_);_(@_)">
                  <c:v>48.196370991930714</c:v>
                </c:pt>
                <c:pt idx="19" formatCode="_(* #,##0_);_(* \(#,##0\);_(* &quot;-&quot;_);_(@_)">
                  <c:v>46.50488094573749</c:v>
                </c:pt>
                <c:pt idx="20" formatCode="_(* #,##0_);_(* \(#,##0\);_(* &quot;-&quot;_);_(@_)">
                  <c:v>44.627656242225981</c:v>
                </c:pt>
                <c:pt idx="21" formatCode="_(* #,##0_);_(* \(#,##0\);_(* &quot;-&quot;_);_(@_)">
                  <c:v>43.830165240535273</c:v>
                </c:pt>
                <c:pt idx="22" formatCode="_(* #,##0_);_(* \(#,##0\);_(* &quot;-&quot;_);_(@_)">
                  <c:v>42.600148259036544</c:v>
                </c:pt>
                <c:pt idx="23" formatCode="_(* #,##0_);_(* \(#,##0\);_(* &quot;-&quot;_);_(@_)">
                  <c:v>41.720520537816469</c:v>
                </c:pt>
                <c:pt idx="24" formatCode="_(* #,##0_);_(* \(#,##0\);_(* &quot;-&quot;_);_(@_)">
                  <c:v>41.169489630995621</c:v>
                </c:pt>
                <c:pt idx="25" formatCode="_(* #,##0_);_(* \(#,##0\);_(* &quot;-&quot;_);_(@_)">
                  <c:v>33.008995481321321</c:v>
                </c:pt>
                <c:pt idx="26" formatCode="_(* #,##0_);_(* \(#,##0\);_(* &quot;-&quot;_);_(@_)">
                  <c:v>23.988684664399056</c:v>
                </c:pt>
                <c:pt idx="27" formatCode="_(* #,##0_);_(* \(#,##0\);_(* &quot;-&quot;_);_(@_)">
                  <c:v>19.936802299321226</c:v>
                </c:pt>
                <c:pt idx="28" formatCode="_(* #,##0_);_(* \(#,##0\);_(* &quot;-&quot;_);_(@_)">
                  <c:v>16.174143168204505</c:v>
                </c:pt>
                <c:pt idx="29" formatCode="_(* #,##0_);_(* \(#,##0\);_(* &quot;-&quot;_);_(@_)">
                  <c:v>12.411484037087778</c:v>
                </c:pt>
                <c:pt idx="30" formatCode="_(* #,##0_);_(* \(#,##0\);_(* &quot;-&quot;_);_(@_)">
                  <c:v>8.648824905971054</c:v>
                </c:pt>
                <c:pt idx="31" formatCode="_(* #,##0_);_(* \(#,##0\);_(* &quot;-&quot;_);_(@_)">
                  <c:v>7.7028812953237189</c:v>
                </c:pt>
                <c:pt idx="32" formatCode="_(* #,##0_);_(* \(#,##0\);_(* &quot;-&quot;_);_(@_)">
                  <c:v>6.7569376846763856</c:v>
                </c:pt>
                <c:pt idx="33" formatCode="_(* #,##0_);_(* \(#,##0\);_(* &quot;-&quot;_);_(@_)">
                  <c:v>5.8109940740290513</c:v>
                </c:pt>
                <c:pt idx="34" formatCode="_(* #,##0_);_(* \(#,##0\);_(* &quot;-&quot;_);_(@_)">
                  <c:v>4.8650504633817171</c:v>
                </c:pt>
                <c:pt idx="35" formatCode="_(* #,##0_);_(* \(#,##0\);_(* &quot;-&quot;_);_(@_)">
                  <c:v>3.9191068527343829</c:v>
                </c:pt>
                <c:pt idx="36" formatCode="_(* #,##0_);_(* \(#,##0\);_(* &quot;-&quot;_);_(@_)">
                  <c:v>3.2634749196310313</c:v>
                </c:pt>
                <c:pt idx="37" formatCode="_(* #,##0_);_(* \(#,##0\);_(* &quot;-&quot;_);_(@_)">
                  <c:v>2.6078429865276798</c:v>
                </c:pt>
                <c:pt idx="38" formatCode="_(* #,##0_);_(* \(#,##0\);_(* &quot;-&quot;_);_(@_)">
                  <c:v>1.9522110534243289</c:v>
                </c:pt>
                <c:pt idx="39" formatCode="_(* #,##0_);_(* \(#,##0\);_(* &quot;-&quot;_);_(@_)">
                  <c:v>1.2965791203209778</c:v>
                </c:pt>
                <c:pt idx="40" formatCode="_(* #,##0_);_(* \(#,##0\);_(* &quot;-&quot;_);_(@_)">
                  <c:v>0.64094718721762656</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53.404857831011547</c:v>
                </c:pt>
                <c:pt idx="10" formatCode="_(* #,##0_);_(* \(#,##0\);_(* &quot;-&quot;_);_(@_)">
                  <c:v>50.522212337504236</c:v>
                </c:pt>
                <c:pt idx="11" formatCode="_(* #,##0_);_(* \(#,##0\);_(* &quot;-&quot;_);_(@_)">
                  <c:v>50.478759434739615</c:v>
                </c:pt>
                <c:pt idx="12" formatCode="_(* #,##0_);_(* \(#,##0\);_(* &quot;-&quot;_);_(@_)">
                  <c:v>50.35979284713315</c:v>
                </c:pt>
                <c:pt idx="13" formatCode="_(* #,##0_);_(* \(#,##0\);_(* &quot;-&quot;_);_(@_)">
                  <c:v>49.90793306604332</c:v>
                </c:pt>
                <c:pt idx="14" formatCode="_(* #,##0_);_(* \(#,##0\);_(* &quot;-&quot;_);_(@_)">
                  <c:v>50.177221869345395</c:v>
                </c:pt>
                <c:pt idx="15" formatCode="_(* #,##0_);_(* \(#,##0\);_(* &quot;-&quot;_);_(@_)">
                  <c:v>50.60574138776861</c:v>
                </c:pt>
                <c:pt idx="16" formatCode="_(* #,##0_);_(* \(#,##0\);_(* &quot;-&quot;_);_(@_)">
                  <c:v>48.876629543919627</c:v>
                </c:pt>
                <c:pt idx="17" formatCode="_(* #,##0_);_(* \(#,##0\);_(* &quot;-&quot;_);_(@_)">
                  <c:v>48.564316261510797</c:v>
                </c:pt>
                <c:pt idx="18" formatCode="_(* #,##0_);_(* \(#,##0\);_(* &quot;-&quot;_);_(@_)">
                  <c:v>48.196370991930714</c:v>
                </c:pt>
                <c:pt idx="19" formatCode="_(* #,##0_);_(* \(#,##0\);_(* &quot;-&quot;_);_(@_)">
                  <c:v>46.50488094573749</c:v>
                </c:pt>
                <c:pt idx="20" formatCode="_(* #,##0_);_(* \(#,##0\);_(* &quot;-&quot;_);_(@_)">
                  <c:v>44.627656242225981</c:v>
                </c:pt>
                <c:pt idx="21" formatCode="_(* #,##0_);_(* \(#,##0\);_(* &quot;-&quot;_);_(@_)">
                  <c:v>43.830165240535273</c:v>
                </c:pt>
                <c:pt idx="22" formatCode="_(* #,##0_);_(* \(#,##0\);_(* &quot;-&quot;_);_(@_)">
                  <c:v>42.600148259036544</c:v>
                </c:pt>
                <c:pt idx="23" formatCode="_(* #,##0_);_(* \(#,##0\);_(* &quot;-&quot;_);_(@_)">
                  <c:v>41.720520537816469</c:v>
                </c:pt>
                <c:pt idx="24" formatCode="_(* #,##0_);_(* \(#,##0\);_(* &quot;-&quot;_);_(@_)">
                  <c:v>41.169489630995621</c:v>
                </c:pt>
                <c:pt idx="25" formatCode="_(* #,##0_);_(* \(#,##0\);_(* &quot;-&quot;_);_(@_)">
                  <c:v>33.008995481321321</c:v>
                </c:pt>
                <c:pt idx="26" formatCode="_(* #,##0_);_(* \(#,##0\);_(* &quot;-&quot;_);_(@_)">
                  <c:v>23.988684664399056</c:v>
                </c:pt>
                <c:pt idx="27" formatCode="_(* #,##0_);_(* \(#,##0\);_(* &quot;-&quot;_);_(@_)">
                  <c:v>19.936802299321226</c:v>
                </c:pt>
                <c:pt idx="28" formatCode="_(* #,##0_);_(* \(#,##0\);_(* &quot;-&quot;_);_(@_)">
                  <c:v>16.174143168204505</c:v>
                </c:pt>
                <c:pt idx="29" formatCode="_(* #,##0_);_(* \(#,##0\);_(* &quot;-&quot;_);_(@_)">
                  <c:v>12.411484037087778</c:v>
                </c:pt>
                <c:pt idx="30" formatCode="_(* #,##0_);_(* \(#,##0\);_(* &quot;-&quot;_);_(@_)">
                  <c:v>8.648824905971054</c:v>
                </c:pt>
                <c:pt idx="31" formatCode="_(* #,##0_);_(* \(#,##0\);_(* &quot;-&quot;_);_(@_)">
                  <c:v>7.7028812953237189</c:v>
                </c:pt>
                <c:pt idx="32" formatCode="_(* #,##0_);_(* \(#,##0\);_(* &quot;-&quot;_);_(@_)">
                  <c:v>6.7569376846763856</c:v>
                </c:pt>
                <c:pt idx="33" formatCode="_(* #,##0_);_(* \(#,##0\);_(* &quot;-&quot;_);_(@_)">
                  <c:v>5.8109940740290513</c:v>
                </c:pt>
                <c:pt idx="34" formatCode="_(* #,##0_);_(* \(#,##0\);_(* &quot;-&quot;_);_(@_)">
                  <c:v>4.8650504633817171</c:v>
                </c:pt>
                <c:pt idx="35" formatCode="_(* #,##0_);_(* \(#,##0\);_(* &quot;-&quot;_);_(@_)">
                  <c:v>3.9191068527343829</c:v>
                </c:pt>
                <c:pt idx="36" formatCode="_(* #,##0_);_(* \(#,##0\);_(* &quot;-&quot;_);_(@_)">
                  <c:v>3.2634749196310313</c:v>
                </c:pt>
                <c:pt idx="37" formatCode="_(* #,##0_);_(* \(#,##0\);_(* &quot;-&quot;_);_(@_)">
                  <c:v>2.6078429865276798</c:v>
                </c:pt>
                <c:pt idx="38" formatCode="_(* #,##0_);_(* \(#,##0\);_(* &quot;-&quot;_);_(@_)">
                  <c:v>1.9522110534243289</c:v>
                </c:pt>
                <c:pt idx="39" formatCode="_(* #,##0_);_(* \(#,##0\);_(* &quot;-&quot;_);_(@_)">
                  <c:v>1.2965791203209778</c:v>
                </c:pt>
                <c:pt idx="40" formatCode="_(* #,##0_);_(* \(#,##0\);_(* &quot;-&quot;_);_(@_)">
                  <c:v>0.64094718721762656</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53.404857831011547</c:v>
                </c:pt>
                <c:pt idx="10" formatCode="_(* #,##0_);_(* \(#,##0\);_(* &quot;-&quot;_);_(@_)">
                  <c:v>50.522212337504236</c:v>
                </c:pt>
                <c:pt idx="11" formatCode="_(* #,##0_);_(* \(#,##0\);_(* &quot;-&quot;_);_(@_)">
                  <c:v>50.478759434739615</c:v>
                </c:pt>
                <c:pt idx="12" formatCode="_(* #,##0_);_(* \(#,##0\);_(* &quot;-&quot;_);_(@_)">
                  <c:v>50.35979284713315</c:v>
                </c:pt>
                <c:pt idx="13" formatCode="_(* #,##0_);_(* \(#,##0\);_(* &quot;-&quot;_);_(@_)">
                  <c:v>49.90793306604332</c:v>
                </c:pt>
                <c:pt idx="14" formatCode="_(* #,##0_);_(* \(#,##0\);_(* &quot;-&quot;_);_(@_)">
                  <c:v>50.177221869345395</c:v>
                </c:pt>
                <c:pt idx="15" formatCode="_(* #,##0_);_(* \(#,##0\);_(* &quot;-&quot;_);_(@_)">
                  <c:v>50.60574138776861</c:v>
                </c:pt>
                <c:pt idx="16" formatCode="_(* #,##0_);_(* \(#,##0\);_(* &quot;-&quot;_);_(@_)">
                  <c:v>48.876629543919627</c:v>
                </c:pt>
                <c:pt idx="17" formatCode="_(* #,##0_);_(* \(#,##0\);_(* &quot;-&quot;_);_(@_)">
                  <c:v>48.564316261510797</c:v>
                </c:pt>
                <c:pt idx="18" formatCode="_(* #,##0_);_(* \(#,##0\);_(* &quot;-&quot;_);_(@_)">
                  <c:v>48.196370991930714</c:v>
                </c:pt>
                <c:pt idx="19" formatCode="_(* #,##0_);_(* \(#,##0\);_(* &quot;-&quot;_);_(@_)">
                  <c:v>46.50488094573749</c:v>
                </c:pt>
                <c:pt idx="20" formatCode="_(* #,##0_);_(* \(#,##0\);_(* &quot;-&quot;_);_(@_)">
                  <c:v>44.627656242225981</c:v>
                </c:pt>
                <c:pt idx="21" formatCode="_(* #,##0_);_(* \(#,##0\);_(* &quot;-&quot;_);_(@_)">
                  <c:v>43.830165240535273</c:v>
                </c:pt>
                <c:pt idx="22" formatCode="_(* #,##0_);_(* \(#,##0\);_(* &quot;-&quot;_);_(@_)">
                  <c:v>42.600148259036544</c:v>
                </c:pt>
                <c:pt idx="23" formatCode="_(* #,##0_);_(* \(#,##0\);_(* &quot;-&quot;_);_(@_)">
                  <c:v>41.720520537816469</c:v>
                </c:pt>
                <c:pt idx="24" formatCode="_(* #,##0_);_(* \(#,##0\);_(* &quot;-&quot;_);_(@_)">
                  <c:v>41.169489630995621</c:v>
                </c:pt>
                <c:pt idx="25" formatCode="_(* #,##0_);_(* \(#,##0\);_(* &quot;-&quot;_);_(@_)">
                  <c:v>33.008995481321321</c:v>
                </c:pt>
                <c:pt idx="26" formatCode="_(* #,##0_);_(* \(#,##0\);_(* &quot;-&quot;_);_(@_)">
                  <c:v>23.988684664399056</c:v>
                </c:pt>
                <c:pt idx="27" formatCode="_(* #,##0_);_(* \(#,##0\);_(* &quot;-&quot;_);_(@_)">
                  <c:v>19.936802299321226</c:v>
                </c:pt>
                <c:pt idx="28" formatCode="_(* #,##0_);_(* \(#,##0\);_(* &quot;-&quot;_);_(@_)">
                  <c:v>16.174143168204505</c:v>
                </c:pt>
                <c:pt idx="29" formatCode="_(* #,##0_);_(* \(#,##0\);_(* &quot;-&quot;_);_(@_)">
                  <c:v>12.411484037087778</c:v>
                </c:pt>
                <c:pt idx="30" formatCode="_(* #,##0_);_(* \(#,##0\);_(* &quot;-&quot;_);_(@_)">
                  <c:v>8.648824905971054</c:v>
                </c:pt>
                <c:pt idx="31" formatCode="_(* #,##0_);_(* \(#,##0\);_(* &quot;-&quot;_);_(@_)">
                  <c:v>7.7028812953237189</c:v>
                </c:pt>
                <c:pt idx="32" formatCode="_(* #,##0_);_(* \(#,##0\);_(* &quot;-&quot;_);_(@_)">
                  <c:v>6.7569376846763856</c:v>
                </c:pt>
                <c:pt idx="33" formatCode="_(* #,##0_);_(* \(#,##0\);_(* &quot;-&quot;_);_(@_)">
                  <c:v>5.8109940740290513</c:v>
                </c:pt>
                <c:pt idx="34" formatCode="_(* #,##0_);_(* \(#,##0\);_(* &quot;-&quot;_);_(@_)">
                  <c:v>4.8650504633817171</c:v>
                </c:pt>
                <c:pt idx="35" formatCode="_(* #,##0_);_(* \(#,##0\);_(* &quot;-&quot;_);_(@_)">
                  <c:v>3.9191068527343829</c:v>
                </c:pt>
                <c:pt idx="36" formatCode="_(* #,##0_);_(* \(#,##0\);_(* &quot;-&quot;_);_(@_)">
                  <c:v>3.2634749196310313</c:v>
                </c:pt>
                <c:pt idx="37" formatCode="_(* #,##0_);_(* \(#,##0\);_(* &quot;-&quot;_);_(@_)">
                  <c:v>2.6078429865276798</c:v>
                </c:pt>
                <c:pt idx="38" formatCode="_(* #,##0_);_(* \(#,##0\);_(* &quot;-&quot;_);_(@_)">
                  <c:v>1.9522110534243289</c:v>
                </c:pt>
                <c:pt idx="39" formatCode="_(* #,##0_);_(* \(#,##0\);_(* &quot;-&quot;_);_(@_)">
                  <c:v>1.2965791203209778</c:v>
                </c:pt>
                <c:pt idx="40" formatCode="_(* #,##0_);_(* \(#,##0\);_(* &quot;-&quot;_);_(@_)">
                  <c:v>0.64094718721762656</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53.404857831011547</c:v>
                </c:pt>
                <c:pt idx="10" formatCode="_(* #,##0_);_(* \(#,##0\);_(* &quot;-&quot;_);_(@_)">
                  <c:v>50.522212337504236</c:v>
                </c:pt>
                <c:pt idx="11" formatCode="_(* #,##0_);_(* \(#,##0\);_(* &quot;-&quot;_);_(@_)">
                  <c:v>50.478759434739615</c:v>
                </c:pt>
                <c:pt idx="12" formatCode="_(* #,##0_);_(* \(#,##0\);_(* &quot;-&quot;_);_(@_)">
                  <c:v>50.35979284713315</c:v>
                </c:pt>
                <c:pt idx="13" formatCode="_(* #,##0_);_(* \(#,##0\);_(* &quot;-&quot;_);_(@_)">
                  <c:v>49.90793306604332</c:v>
                </c:pt>
                <c:pt idx="14" formatCode="_(* #,##0_);_(* \(#,##0\);_(* &quot;-&quot;_);_(@_)">
                  <c:v>50.177221869345395</c:v>
                </c:pt>
                <c:pt idx="15" formatCode="_(* #,##0_);_(* \(#,##0\);_(* &quot;-&quot;_);_(@_)">
                  <c:v>50.60574138776861</c:v>
                </c:pt>
                <c:pt idx="16" formatCode="_(* #,##0_);_(* \(#,##0\);_(* &quot;-&quot;_);_(@_)">
                  <c:v>48.876629543919627</c:v>
                </c:pt>
                <c:pt idx="17" formatCode="_(* #,##0_);_(* \(#,##0\);_(* &quot;-&quot;_);_(@_)">
                  <c:v>48.564316261510797</c:v>
                </c:pt>
                <c:pt idx="18" formatCode="_(* #,##0_);_(* \(#,##0\);_(* &quot;-&quot;_);_(@_)">
                  <c:v>48.196370991930714</c:v>
                </c:pt>
                <c:pt idx="19" formatCode="_(* #,##0_);_(* \(#,##0\);_(* &quot;-&quot;_);_(@_)">
                  <c:v>46.50488094573749</c:v>
                </c:pt>
                <c:pt idx="20" formatCode="_(* #,##0_);_(* \(#,##0\);_(* &quot;-&quot;_);_(@_)">
                  <c:v>44.627656242225981</c:v>
                </c:pt>
                <c:pt idx="21" formatCode="_(* #,##0_);_(* \(#,##0\);_(* &quot;-&quot;_);_(@_)">
                  <c:v>43.830165240535273</c:v>
                </c:pt>
                <c:pt idx="22" formatCode="_(* #,##0_);_(* \(#,##0\);_(* &quot;-&quot;_);_(@_)">
                  <c:v>42.600148259036544</c:v>
                </c:pt>
                <c:pt idx="23" formatCode="_(* #,##0_);_(* \(#,##0\);_(* &quot;-&quot;_);_(@_)">
                  <c:v>41.720520537816469</c:v>
                </c:pt>
                <c:pt idx="24" formatCode="_(* #,##0_);_(* \(#,##0\);_(* &quot;-&quot;_);_(@_)">
                  <c:v>41.169489630995621</c:v>
                </c:pt>
                <c:pt idx="25" formatCode="_(* #,##0_);_(* \(#,##0\);_(* &quot;-&quot;_);_(@_)">
                  <c:v>33.008995481321321</c:v>
                </c:pt>
                <c:pt idx="26" formatCode="_(* #,##0_);_(* \(#,##0\);_(* &quot;-&quot;_);_(@_)">
                  <c:v>23.988684664399056</c:v>
                </c:pt>
                <c:pt idx="27" formatCode="_(* #,##0_);_(* \(#,##0\);_(* &quot;-&quot;_);_(@_)">
                  <c:v>19.936802299321226</c:v>
                </c:pt>
                <c:pt idx="28" formatCode="_(* #,##0_);_(* \(#,##0\);_(* &quot;-&quot;_);_(@_)">
                  <c:v>16.174143168204505</c:v>
                </c:pt>
                <c:pt idx="29" formatCode="_(* #,##0_);_(* \(#,##0\);_(* &quot;-&quot;_);_(@_)">
                  <c:v>12.411484037087778</c:v>
                </c:pt>
                <c:pt idx="30" formatCode="_(* #,##0_);_(* \(#,##0\);_(* &quot;-&quot;_);_(@_)">
                  <c:v>8.648824905971054</c:v>
                </c:pt>
                <c:pt idx="31" formatCode="_(* #,##0_);_(* \(#,##0\);_(* &quot;-&quot;_);_(@_)">
                  <c:v>7.7028812953237189</c:v>
                </c:pt>
                <c:pt idx="32" formatCode="_(* #,##0_);_(* \(#,##0\);_(* &quot;-&quot;_);_(@_)">
                  <c:v>6.7569376846763856</c:v>
                </c:pt>
                <c:pt idx="33" formatCode="_(* #,##0_);_(* \(#,##0\);_(* &quot;-&quot;_);_(@_)">
                  <c:v>5.8109940740290513</c:v>
                </c:pt>
                <c:pt idx="34" formatCode="_(* #,##0_);_(* \(#,##0\);_(* &quot;-&quot;_);_(@_)">
                  <c:v>4.8650504633817171</c:v>
                </c:pt>
                <c:pt idx="35" formatCode="_(* #,##0_);_(* \(#,##0\);_(* &quot;-&quot;_);_(@_)">
                  <c:v>3.9191068527343829</c:v>
                </c:pt>
                <c:pt idx="36" formatCode="_(* #,##0_);_(* \(#,##0\);_(* &quot;-&quot;_);_(@_)">
                  <c:v>3.2634749196310313</c:v>
                </c:pt>
                <c:pt idx="37" formatCode="_(* #,##0_);_(* \(#,##0\);_(* &quot;-&quot;_);_(@_)">
                  <c:v>2.6078429865276798</c:v>
                </c:pt>
                <c:pt idx="38" formatCode="_(* #,##0_);_(* \(#,##0\);_(* &quot;-&quot;_);_(@_)">
                  <c:v>1.9522110534243289</c:v>
                </c:pt>
                <c:pt idx="39" formatCode="_(* #,##0_);_(* \(#,##0\);_(* &quot;-&quot;_);_(@_)">
                  <c:v>1.2965791203209778</c:v>
                </c:pt>
                <c:pt idx="40" formatCode="_(* #,##0_);_(* \(#,##0\);_(* &quot;-&quot;_);_(@_)">
                  <c:v>0.64094718721762656</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8.8835433333112834E-2</c:v>
                </c:pt>
                <c:pt idx="22">
                  <c:v>0.10560566358410617</c:v>
                </c:pt>
                <c:pt idx="23">
                  <c:v>0.12048824658389801</c:v>
                </c:pt>
                <c:pt idx="24">
                  <c:v>0.13396732868584704</c:v>
                </c:pt>
                <c:pt idx="25">
                  <c:v>0.14613592864028768</c:v>
                </c:pt>
                <c:pt idx="26">
                  <c:v>0.15707970519266701</c:v>
                </c:pt>
                <c:pt idx="27">
                  <c:v>0.16687750887158292</c:v>
                </c:pt>
                <c:pt idx="28">
                  <c:v>0.18911450124282059</c:v>
                </c:pt>
                <c:pt idx="29">
                  <c:v>0.20995273295223627</c:v>
                </c:pt>
                <c:pt idx="30">
                  <c:v>0.22948595525497573</c:v>
                </c:pt>
                <c:pt idx="31">
                  <c:v>0.24659254843090828</c:v>
                </c:pt>
                <c:pt idx="32">
                  <c:v>0.26328948483417403</c:v>
                </c:pt>
                <c:pt idx="33">
                  <c:v>0.27959485500563153</c:v>
                </c:pt>
                <c:pt idx="34">
                  <c:v>0.29553484457555457</c:v>
                </c:pt>
                <c:pt idx="35">
                  <c:v>0.3111252742728734</c:v>
                </c:pt>
                <c:pt idx="36">
                  <c:v>0.3263814198918995</c:v>
                </c:pt>
                <c:pt idx="37">
                  <c:v>0.33344034353106078</c:v>
                </c:pt>
                <c:pt idx="38">
                  <c:v>0.3438171775067399</c:v>
                </c:pt>
                <c:pt idx="39">
                  <c:v>0.35397211551867103</c:v>
                </c:pt>
                <c:pt idx="40">
                  <c:v>0.36391387047670576</c:v>
                </c:pt>
                <c:pt idx="41">
                  <c:v>0.37365087947772324</c:v>
                </c:pt>
                <c:pt idx="42">
                  <c:v>0.38319131748222313</c:v>
                </c:pt>
                <c:pt idx="43">
                  <c:v>0.39254311036961609</c:v>
                </c:pt>
                <c:pt idx="44">
                  <c:v>0.40171422042221039</c:v>
                </c:pt>
                <c:pt idx="45">
                  <c:v>0.41071208872628218</c:v>
                </c:pt>
                <c:pt idx="46">
                  <c:v>0.41954394401353745</c:v>
                </c:pt>
                <c:pt idx="47">
                  <c:v>0.42821681354067476</c:v>
                </c:pt>
                <c:pt idx="48">
                  <c:v>0.42973811714044319</c:v>
                </c:pt>
                <c:pt idx="49">
                  <c:v>0.43118445086567736</c:v>
                </c:pt>
                <c:pt idx="50">
                  <c:v>0.43255685430643398</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0.10539487979673434</c:v>
                </c:pt>
                <c:pt idx="20">
                  <c:v>9.7098937234060489E-2</c:v>
                </c:pt>
                <c:pt idx="21">
                  <c:v>0.13091899442309474</c:v>
                </c:pt>
                <c:pt idx="22">
                  <c:v>0.16099425616897156</c:v>
                </c:pt>
                <c:pt idx="23">
                  <c:v>0.18546864007630459</c:v>
                </c:pt>
                <c:pt idx="24">
                  <c:v>0.21364941248748015</c:v>
                </c:pt>
                <c:pt idx="25">
                  <c:v>0.2398864559148649</c:v>
                </c:pt>
                <c:pt idx="26">
                  <c:v>0.24931306736123282</c:v>
                </c:pt>
                <c:pt idx="27">
                  <c:v>0.25549953203324571</c:v>
                </c:pt>
                <c:pt idx="28">
                  <c:v>0.25861615901728952</c:v>
                </c:pt>
                <c:pt idx="29">
                  <c:v>0.26576566386252065</c:v>
                </c:pt>
                <c:pt idx="30">
                  <c:v>0.27410846670370259</c:v>
                </c:pt>
                <c:pt idx="31">
                  <c:v>0.28019114672951217</c:v>
                </c:pt>
                <c:pt idx="32">
                  <c:v>0.28738471154494827</c:v>
                </c:pt>
                <c:pt idx="33">
                  <c:v>0.29401952941936627</c:v>
                </c:pt>
                <c:pt idx="34">
                  <c:v>0.3004127271051904</c:v>
                </c:pt>
                <c:pt idx="35">
                  <c:v>0.30716551766607769</c:v>
                </c:pt>
                <c:pt idx="36">
                  <c:v>0.2652020629830415</c:v>
                </c:pt>
                <c:pt idx="37">
                  <c:v>0.25472420898162451</c:v>
                </c:pt>
                <c:pt idx="38">
                  <c:v>0.24572851431527698</c:v>
                </c:pt>
                <c:pt idx="39">
                  <c:v>0.23613147101513454</c:v>
                </c:pt>
                <c:pt idx="40">
                  <c:v>0.22581576677277726</c:v>
                </c:pt>
                <c:pt idx="41">
                  <c:v>0.2465961388608584</c:v>
                </c:pt>
                <c:pt idx="42">
                  <c:v>0.26530707351959593</c:v>
                </c:pt>
                <c:pt idx="43">
                  <c:v>0.28278269203141726</c:v>
                </c:pt>
                <c:pt idx="44">
                  <c:v>0.29909731802877026</c:v>
                </c:pt>
                <c:pt idx="45">
                  <c:v>0.31447148302346306</c:v>
                </c:pt>
                <c:pt idx="46">
                  <c:v>0.33076388693024317</c:v>
                </c:pt>
                <c:pt idx="47">
                  <c:v>0.34346336908430042</c:v>
                </c:pt>
                <c:pt idx="48">
                  <c:v>0.35495659183064587</c:v>
                </c:pt>
                <c:pt idx="49">
                  <c:v>0.36585667689368018</c:v>
                </c:pt>
                <c:pt idx="50">
                  <c:v>0.3757915526682799</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0.10539487979673434</c:v>
                </c:pt>
                <c:pt idx="20">
                  <c:v>9.7098937234060489E-2</c:v>
                </c:pt>
                <c:pt idx="21">
                  <c:v>0.13091899442309474</c:v>
                </c:pt>
                <c:pt idx="22">
                  <c:v>0.16099425616897156</c:v>
                </c:pt>
                <c:pt idx="23">
                  <c:v>0.18546864007630459</c:v>
                </c:pt>
                <c:pt idx="24">
                  <c:v>0.21364941248748015</c:v>
                </c:pt>
                <c:pt idx="25">
                  <c:v>0.2398864559148649</c:v>
                </c:pt>
                <c:pt idx="26">
                  <c:v>0.24931306736123282</c:v>
                </c:pt>
                <c:pt idx="27">
                  <c:v>0.25549953203324571</c:v>
                </c:pt>
                <c:pt idx="28">
                  <c:v>0.25861615901728952</c:v>
                </c:pt>
                <c:pt idx="29">
                  <c:v>0.26576566386252065</c:v>
                </c:pt>
                <c:pt idx="30">
                  <c:v>0.27410846670370259</c:v>
                </c:pt>
                <c:pt idx="31">
                  <c:v>0.28019114672951217</c:v>
                </c:pt>
                <c:pt idx="32">
                  <c:v>0.28738471154494827</c:v>
                </c:pt>
                <c:pt idx="33">
                  <c:v>0.29401952941936627</c:v>
                </c:pt>
                <c:pt idx="34">
                  <c:v>0.3004127271051904</c:v>
                </c:pt>
                <c:pt idx="35">
                  <c:v>0.30716551766607769</c:v>
                </c:pt>
                <c:pt idx="36">
                  <c:v>0.2652020629830415</c:v>
                </c:pt>
                <c:pt idx="37">
                  <c:v>0.25472420898162451</c:v>
                </c:pt>
                <c:pt idx="38">
                  <c:v>0.24572851431527698</c:v>
                </c:pt>
                <c:pt idx="39">
                  <c:v>0.23613147101513454</c:v>
                </c:pt>
                <c:pt idx="40">
                  <c:v>0.22581576677277726</c:v>
                </c:pt>
                <c:pt idx="41">
                  <c:v>0.2465961388608584</c:v>
                </c:pt>
                <c:pt idx="42">
                  <c:v>0.26530707351959593</c:v>
                </c:pt>
                <c:pt idx="43">
                  <c:v>0.28278269203141726</c:v>
                </c:pt>
                <c:pt idx="44">
                  <c:v>0.29909731802877026</c:v>
                </c:pt>
                <c:pt idx="45">
                  <c:v>0.31447148302346306</c:v>
                </c:pt>
                <c:pt idx="46">
                  <c:v>0.33076388693024317</c:v>
                </c:pt>
                <c:pt idx="47">
                  <c:v>0.34346336908430042</c:v>
                </c:pt>
                <c:pt idx="48">
                  <c:v>0.35495659183064587</c:v>
                </c:pt>
                <c:pt idx="49">
                  <c:v>0.36585667689368018</c:v>
                </c:pt>
                <c:pt idx="50">
                  <c:v>0.3757915526682799</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9.8397217928982372E-2</c:v>
                </c:pt>
                <c:pt idx="22">
                  <c:v>0.15915151958679319</c:v>
                </c:pt>
                <c:pt idx="23">
                  <c:v>0.17801789007344582</c:v>
                </c:pt>
                <c:pt idx="24">
                  <c:v>0.19632835817910144</c:v>
                </c:pt>
                <c:pt idx="25">
                  <c:v>0.21411400479319376</c:v>
                </c:pt>
                <c:pt idx="26">
                  <c:v>0.23140494815331936</c:v>
                </c:pt>
                <c:pt idx="27">
                  <c:v>0.24823041972031623</c:v>
                </c:pt>
                <c:pt idx="28">
                  <c:v>0.2646188378775074</c:v>
                </c:pt>
                <c:pt idx="29">
                  <c:v>0.28062685187122149</c:v>
                </c:pt>
                <c:pt idx="30">
                  <c:v>0.29627693816720957</c:v>
                </c:pt>
                <c:pt idx="31">
                  <c:v>0.31632001082729411</c:v>
                </c:pt>
                <c:pt idx="32">
                  <c:v>0.33591409165143815</c:v>
                </c:pt>
                <c:pt idx="33">
                  <c:v>0.33881811423292751</c:v>
                </c:pt>
                <c:pt idx="34">
                  <c:v>0.34161394017639757</c:v>
                </c:pt>
                <c:pt idx="35">
                  <c:v>0.34430398732661904</c:v>
                </c:pt>
                <c:pt idx="36">
                  <c:v>0.34689056443115873</c:v>
                </c:pt>
                <c:pt idx="37">
                  <c:v>0.34937587514391233</c:v>
                </c:pt>
                <c:pt idx="38">
                  <c:v>0.35176202179330474</c:v>
                </c:pt>
                <c:pt idx="39">
                  <c:v>0.35405768073166866</c:v>
                </c:pt>
                <c:pt idx="40">
                  <c:v>0.35626461992319958</c:v>
                </c:pt>
                <c:pt idx="41">
                  <c:v>0.35838452810832588</c:v>
                </c:pt>
                <c:pt idx="42">
                  <c:v>0.36041901734796378</c:v>
                </c:pt>
                <c:pt idx="43">
                  <c:v>0.36236962542489271</c:v>
                </c:pt>
                <c:pt idx="44">
                  <c:v>0.36423807768893179</c:v>
                </c:pt>
                <c:pt idx="45">
                  <c:v>0.36602576542049337</c:v>
                </c:pt>
                <c:pt idx="46">
                  <c:v>0.36773401246533388</c:v>
                </c:pt>
                <c:pt idx="47">
                  <c:v>0.36936407712134123</c:v>
                </c:pt>
                <c:pt idx="48">
                  <c:v>0.3709171539155135</c:v>
                </c:pt>
                <c:pt idx="49">
                  <c:v>0.37239355070665991</c:v>
                </c:pt>
                <c:pt idx="50">
                  <c:v>0.37379435111020376</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8.8760290106708384E-2</c:v>
                </c:pt>
                <c:pt idx="20">
                  <c:v>9.5213595557322783E-2</c:v>
                </c:pt>
                <c:pt idx="21">
                  <c:v>0.20685740487956927</c:v>
                </c:pt>
                <c:pt idx="22">
                  <c:v>0.23582978957214951</c:v>
                </c:pt>
                <c:pt idx="23">
                  <c:v>0.23984085052055193</c:v>
                </c:pt>
                <c:pt idx="24">
                  <c:v>0.24219823068215074</c:v>
                </c:pt>
                <c:pt idx="25">
                  <c:v>0.24377233346132599</c:v>
                </c:pt>
                <c:pt idx="26">
                  <c:v>0.25160872219290298</c:v>
                </c:pt>
                <c:pt idx="27">
                  <c:v>0.25549953203324571</c:v>
                </c:pt>
                <c:pt idx="28">
                  <c:v>0.25861615901728963</c:v>
                </c:pt>
                <c:pt idx="29">
                  <c:v>0.26576566386252065</c:v>
                </c:pt>
                <c:pt idx="30">
                  <c:v>0.27410846670370259</c:v>
                </c:pt>
                <c:pt idx="31">
                  <c:v>0.28019114672951217</c:v>
                </c:pt>
                <c:pt idx="32">
                  <c:v>0.28738471154494827</c:v>
                </c:pt>
                <c:pt idx="33">
                  <c:v>0.29401952941936627</c:v>
                </c:pt>
                <c:pt idx="34">
                  <c:v>0.3004127271051904</c:v>
                </c:pt>
                <c:pt idx="35">
                  <c:v>0.3342141124349175</c:v>
                </c:pt>
                <c:pt idx="36">
                  <c:v>0.37862802337948709</c:v>
                </c:pt>
                <c:pt idx="37">
                  <c:v>0.37989494271290059</c:v>
                </c:pt>
                <c:pt idx="38">
                  <c:v>0.37228569708247661</c:v>
                </c:pt>
                <c:pt idx="39">
                  <c:v>0.36447091826744249</c:v>
                </c:pt>
                <c:pt idx="40">
                  <c:v>0.35639090656888506</c:v>
                </c:pt>
                <c:pt idx="41">
                  <c:v>0.35871453382957752</c:v>
                </c:pt>
                <c:pt idx="42">
                  <c:v>0.36063480048691077</c:v>
                </c:pt>
                <c:pt idx="43">
                  <c:v>0.36262429513389205</c:v>
                </c:pt>
                <c:pt idx="44">
                  <c:v>0.36468331329941139</c:v>
                </c:pt>
                <c:pt idx="45">
                  <c:v>0.36693171423237991</c:v>
                </c:pt>
                <c:pt idx="46">
                  <c:v>0.37021257153658016</c:v>
                </c:pt>
                <c:pt idx="47">
                  <c:v>0.37136287621505581</c:v>
                </c:pt>
                <c:pt idx="48">
                  <c:v>0.37219889450984733</c:v>
                </c:pt>
                <c:pt idx="49">
                  <c:v>0.37321594039316452</c:v>
                </c:pt>
                <c:pt idx="50">
                  <c:v>0.37401584679252353</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8.8760290106708384E-2</c:v>
                </c:pt>
                <c:pt idx="20">
                  <c:v>9.5213595557322783E-2</c:v>
                </c:pt>
                <c:pt idx="21">
                  <c:v>0.20685740487956927</c:v>
                </c:pt>
                <c:pt idx="22">
                  <c:v>0.23582978957214951</c:v>
                </c:pt>
                <c:pt idx="23">
                  <c:v>0.23984085052055193</c:v>
                </c:pt>
                <c:pt idx="24">
                  <c:v>0.24219823068215074</c:v>
                </c:pt>
                <c:pt idx="25">
                  <c:v>0.24377233346132599</c:v>
                </c:pt>
                <c:pt idx="26">
                  <c:v>0.25160872219290298</c:v>
                </c:pt>
                <c:pt idx="27">
                  <c:v>0.25549953203324571</c:v>
                </c:pt>
                <c:pt idx="28">
                  <c:v>0.25861615901728963</c:v>
                </c:pt>
                <c:pt idx="29">
                  <c:v>0.26576566386252065</c:v>
                </c:pt>
                <c:pt idx="30">
                  <c:v>0.27410846670370259</c:v>
                </c:pt>
                <c:pt idx="31">
                  <c:v>0.28019114672951217</c:v>
                </c:pt>
                <c:pt idx="32">
                  <c:v>0.28738471154494827</c:v>
                </c:pt>
                <c:pt idx="33">
                  <c:v>0.29401952941936627</c:v>
                </c:pt>
                <c:pt idx="34">
                  <c:v>0.3004127271051904</c:v>
                </c:pt>
                <c:pt idx="35">
                  <c:v>0.3342141124349175</c:v>
                </c:pt>
                <c:pt idx="36">
                  <c:v>0.37862802337948709</c:v>
                </c:pt>
                <c:pt idx="37">
                  <c:v>0.37989494271290059</c:v>
                </c:pt>
                <c:pt idx="38">
                  <c:v>0.37228569708247661</c:v>
                </c:pt>
                <c:pt idx="39">
                  <c:v>0.36447091826744249</c:v>
                </c:pt>
                <c:pt idx="40">
                  <c:v>0.35639090656888506</c:v>
                </c:pt>
                <c:pt idx="41">
                  <c:v>0.35871453382957752</c:v>
                </c:pt>
                <c:pt idx="42">
                  <c:v>0.36063480048691077</c:v>
                </c:pt>
                <c:pt idx="43">
                  <c:v>0.36262429513389205</c:v>
                </c:pt>
                <c:pt idx="44">
                  <c:v>0.36468331329941139</c:v>
                </c:pt>
                <c:pt idx="45">
                  <c:v>0.36693171423237991</c:v>
                </c:pt>
                <c:pt idx="46">
                  <c:v>0.37021257153658016</c:v>
                </c:pt>
                <c:pt idx="47">
                  <c:v>0.37136287621505581</c:v>
                </c:pt>
                <c:pt idx="48">
                  <c:v>0.37219889450984733</c:v>
                </c:pt>
                <c:pt idx="49">
                  <c:v>0.37321594039316452</c:v>
                </c:pt>
                <c:pt idx="50">
                  <c:v>0.37401584679252353</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9.8397217928982372E-2</c:v>
                </c:pt>
                <c:pt idx="22">
                  <c:v>0.15915151958679319</c:v>
                </c:pt>
                <c:pt idx="23">
                  <c:v>0.17801789007344582</c:v>
                </c:pt>
                <c:pt idx="24">
                  <c:v>0.19632835817910144</c:v>
                </c:pt>
                <c:pt idx="25">
                  <c:v>0.21411400479319376</c:v>
                </c:pt>
                <c:pt idx="26">
                  <c:v>0.23140494815331936</c:v>
                </c:pt>
                <c:pt idx="27">
                  <c:v>0.24823041972031623</c:v>
                </c:pt>
                <c:pt idx="28">
                  <c:v>0.2646188378775074</c:v>
                </c:pt>
                <c:pt idx="29">
                  <c:v>0.28062685187122149</c:v>
                </c:pt>
                <c:pt idx="30">
                  <c:v>0.29627693816720957</c:v>
                </c:pt>
                <c:pt idx="31">
                  <c:v>0.31632001082729411</c:v>
                </c:pt>
                <c:pt idx="32">
                  <c:v>0.33591409165143815</c:v>
                </c:pt>
                <c:pt idx="33">
                  <c:v>0.33881811423292751</c:v>
                </c:pt>
                <c:pt idx="34">
                  <c:v>0.34161394017639757</c:v>
                </c:pt>
                <c:pt idx="35">
                  <c:v>0.34430398732661904</c:v>
                </c:pt>
                <c:pt idx="36">
                  <c:v>0.34689056443115873</c:v>
                </c:pt>
                <c:pt idx="37">
                  <c:v>0.34937587514391233</c:v>
                </c:pt>
                <c:pt idx="38">
                  <c:v>0.35176202179330474</c:v>
                </c:pt>
                <c:pt idx="39">
                  <c:v>0.35405768073166866</c:v>
                </c:pt>
                <c:pt idx="40">
                  <c:v>0.35626461992319958</c:v>
                </c:pt>
                <c:pt idx="41">
                  <c:v>0.35838452810832588</c:v>
                </c:pt>
                <c:pt idx="42">
                  <c:v>0.36041901734796378</c:v>
                </c:pt>
                <c:pt idx="43">
                  <c:v>0.36236962542489271</c:v>
                </c:pt>
                <c:pt idx="44">
                  <c:v>0.36423807768893179</c:v>
                </c:pt>
                <c:pt idx="45">
                  <c:v>0.36602576542049337</c:v>
                </c:pt>
                <c:pt idx="46">
                  <c:v>0.36773401246533388</c:v>
                </c:pt>
                <c:pt idx="47">
                  <c:v>0.36936407712134123</c:v>
                </c:pt>
                <c:pt idx="48">
                  <c:v>0.3709171539155135</c:v>
                </c:pt>
                <c:pt idx="49">
                  <c:v>0.37239355070665991</c:v>
                </c:pt>
                <c:pt idx="50">
                  <c:v>0.37379435111020376</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8.8760290106708384E-2</c:v>
                </c:pt>
                <c:pt idx="20">
                  <c:v>9.5213595557322783E-2</c:v>
                </c:pt>
                <c:pt idx="21">
                  <c:v>0.20685740487956927</c:v>
                </c:pt>
                <c:pt idx="22">
                  <c:v>0.23582978957214951</c:v>
                </c:pt>
                <c:pt idx="23">
                  <c:v>0.23984085052055193</c:v>
                </c:pt>
                <c:pt idx="24">
                  <c:v>0.24219823068215074</c:v>
                </c:pt>
                <c:pt idx="25">
                  <c:v>0.24377233346132599</c:v>
                </c:pt>
                <c:pt idx="26">
                  <c:v>0.25160872219290298</c:v>
                </c:pt>
                <c:pt idx="27">
                  <c:v>0.25549953203324571</c:v>
                </c:pt>
                <c:pt idx="28">
                  <c:v>0.25861615901728963</c:v>
                </c:pt>
                <c:pt idx="29">
                  <c:v>0.26576566386252065</c:v>
                </c:pt>
                <c:pt idx="30">
                  <c:v>0.27410846670370259</c:v>
                </c:pt>
                <c:pt idx="31">
                  <c:v>0.28019114672951217</c:v>
                </c:pt>
                <c:pt idx="32">
                  <c:v>0.28738471154494827</c:v>
                </c:pt>
                <c:pt idx="33">
                  <c:v>0.29401952941936627</c:v>
                </c:pt>
                <c:pt idx="34">
                  <c:v>0.3004127271051904</c:v>
                </c:pt>
                <c:pt idx="35">
                  <c:v>0.3342141124349175</c:v>
                </c:pt>
                <c:pt idx="36">
                  <c:v>0.37862802337948709</c:v>
                </c:pt>
                <c:pt idx="37">
                  <c:v>0.37989494271290059</c:v>
                </c:pt>
                <c:pt idx="38">
                  <c:v>0.37228569708247661</c:v>
                </c:pt>
                <c:pt idx="39">
                  <c:v>0.36447091826744249</c:v>
                </c:pt>
                <c:pt idx="40">
                  <c:v>0.35639090656888506</c:v>
                </c:pt>
                <c:pt idx="41">
                  <c:v>0.35871453382957752</c:v>
                </c:pt>
                <c:pt idx="42">
                  <c:v>0.36063480048691077</c:v>
                </c:pt>
                <c:pt idx="43">
                  <c:v>0.36262429513389205</c:v>
                </c:pt>
                <c:pt idx="44">
                  <c:v>0.36468331329941139</c:v>
                </c:pt>
                <c:pt idx="45">
                  <c:v>0.36693171423237991</c:v>
                </c:pt>
                <c:pt idx="46">
                  <c:v>0.37021257153658016</c:v>
                </c:pt>
                <c:pt idx="47">
                  <c:v>0.37136287621505581</c:v>
                </c:pt>
                <c:pt idx="48">
                  <c:v>0.37219889450984733</c:v>
                </c:pt>
                <c:pt idx="49">
                  <c:v>0.37321594039316452</c:v>
                </c:pt>
                <c:pt idx="50">
                  <c:v>0.37401584679252353</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8.8760290106708384E-2</c:v>
                </c:pt>
                <c:pt idx="20">
                  <c:v>9.5213595557322783E-2</c:v>
                </c:pt>
                <c:pt idx="21">
                  <c:v>0.20685740487956927</c:v>
                </c:pt>
                <c:pt idx="22">
                  <c:v>0.23582978957214951</c:v>
                </c:pt>
                <c:pt idx="23">
                  <c:v>0.23984085052055193</c:v>
                </c:pt>
                <c:pt idx="24">
                  <c:v>0.24219823068215074</c:v>
                </c:pt>
                <c:pt idx="25">
                  <c:v>0.24377233346132599</c:v>
                </c:pt>
                <c:pt idx="26">
                  <c:v>0.25160872219290298</c:v>
                </c:pt>
                <c:pt idx="27">
                  <c:v>0.25549953203324571</c:v>
                </c:pt>
                <c:pt idx="28">
                  <c:v>0.25861615901728963</c:v>
                </c:pt>
                <c:pt idx="29">
                  <c:v>0.26576566386252065</c:v>
                </c:pt>
                <c:pt idx="30">
                  <c:v>0.27410846670370259</c:v>
                </c:pt>
                <c:pt idx="31">
                  <c:v>0.28019114672951217</c:v>
                </c:pt>
                <c:pt idx="32">
                  <c:v>0.28738471154494827</c:v>
                </c:pt>
                <c:pt idx="33">
                  <c:v>0.29401952941936627</c:v>
                </c:pt>
                <c:pt idx="34">
                  <c:v>0.3004127271051904</c:v>
                </c:pt>
                <c:pt idx="35">
                  <c:v>0.3342141124349175</c:v>
                </c:pt>
                <c:pt idx="36">
                  <c:v>0.37862802337948709</c:v>
                </c:pt>
                <c:pt idx="37">
                  <c:v>0.37989494271290059</c:v>
                </c:pt>
                <c:pt idx="38">
                  <c:v>0.37228569708247661</c:v>
                </c:pt>
                <c:pt idx="39">
                  <c:v>0.36447091826744249</c:v>
                </c:pt>
                <c:pt idx="40">
                  <c:v>0.35639090656888506</c:v>
                </c:pt>
                <c:pt idx="41">
                  <c:v>0.35871453382957752</c:v>
                </c:pt>
                <c:pt idx="42">
                  <c:v>0.36063480048691077</c:v>
                </c:pt>
                <c:pt idx="43">
                  <c:v>0.36262429513389205</c:v>
                </c:pt>
                <c:pt idx="44">
                  <c:v>0.36468331329941139</c:v>
                </c:pt>
                <c:pt idx="45">
                  <c:v>0.36693171423237991</c:v>
                </c:pt>
                <c:pt idx="46">
                  <c:v>0.37021257153658016</c:v>
                </c:pt>
                <c:pt idx="47">
                  <c:v>0.37136287621505581</c:v>
                </c:pt>
                <c:pt idx="48">
                  <c:v>0.37219889450984733</c:v>
                </c:pt>
                <c:pt idx="49">
                  <c:v>0.37321594039316452</c:v>
                </c:pt>
                <c:pt idx="50">
                  <c:v>0.37401584679252353</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69"/>
      <c r="B1" s="569"/>
      <c r="C1" s="569"/>
      <c r="D1" s="569"/>
      <c r="E1" s="569"/>
      <c r="F1" s="569"/>
      <c r="G1" s="569"/>
      <c r="H1" s="569"/>
      <c r="I1" s="569"/>
      <c r="J1" s="569"/>
      <c r="K1" s="569"/>
      <c r="L1" s="569"/>
      <c r="M1" s="569"/>
    </row>
    <row r="2" spans="1:13" ht="15.75">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5">
      <c r="A4" s="571" t="s">
        <v>538</v>
      </c>
      <c r="B4" s="569"/>
      <c r="C4" s="569"/>
      <c r="D4" s="569"/>
      <c r="E4" s="569"/>
      <c r="F4" s="569"/>
      <c r="G4" s="569"/>
      <c r="H4" s="569"/>
      <c r="I4" s="569"/>
      <c r="J4" s="569"/>
      <c r="K4" s="569"/>
      <c r="L4" s="569"/>
      <c r="M4" s="569"/>
    </row>
    <row r="5" spans="1:13" ht="49.5">
      <c r="A5" s="571" t="s">
        <v>536</v>
      </c>
      <c r="B5" s="569"/>
      <c r="C5" s="569"/>
      <c r="D5" s="569"/>
      <c r="E5" s="569"/>
      <c r="F5" s="569"/>
      <c r="G5" s="569"/>
      <c r="H5" s="569"/>
      <c r="I5" s="569"/>
      <c r="J5" s="569"/>
      <c r="K5" s="569"/>
      <c r="L5" s="569"/>
      <c r="M5" s="569"/>
    </row>
    <row r="6" spans="1:13" ht="49.5">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25">
      <c r="A8" s="572"/>
      <c r="B8" s="569"/>
      <c r="C8" s="569"/>
      <c r="D8" s="569"/>
      <c r="E8" s="569"/>
      <c r="F8" s="569"/>
      <c r="G8" s="569"/>
      <c r="H8" s="569"/>
      <c r="I8" s="569"/>
      <c r="J8" s="569"/>
      <c r="K8" s="569"/>
      <c r="L8" s="569"/>
      <c r="M8" s="569"/>
    </row>
    <row r="9" spans="1:13" ht="18.75">
      <c r="A9" s="574" t="s">
        <v>818</v>
      </c>
      <c r="B9" s="569"/>
      <c r="C9" s="569"/>
      <c r="D9" s="569"/>
      <c r="E9" s="569"/>
      <c r="F9" s="569"/>
      <c r="G9" s="569"/>
      <c r="H9" s="569"/>
      <c r="I9" s="569"/>
      <c r="J9" s="569"/>
      <c r="K9" s="569"/>
      <c r="L9" s="569"/>
      <c r="M9" s="569"/>
    </row>
    <row r="10" spans="1:13" ht="15.75">
      <c r="A10" s="569"/>
      <c r="B10" s="569"/>
      <c r="C10" s="569"/>
      <c r="D10" s="569"/>
      <c r="E10" s="569"/>
      <c r="F10" s="569"/>
      <c r="G10" s="569"/>
      <c r="H10" s="569"/>
      <c r="I10" s="569"/>
      <c r="J10" s="569"/>
      <c r="K10" s="569"/>
      <c r="L10" s="569"/>
      <c r="M10" s="569"/>
    </row>
    <row r="11" spans="1:13" ht="20.25">
      <c r="A11" s="572" t="s">
        <v>540</v>
      </c>
      <c r="B11" s="569"/>
      <c r="C11" s="569"/>
      <c r="D11" s="569"/>
      <c r="E11" s="569"/>
      <c r="F11" s="569"/>
      <c r="G11" s="569"/>
      <c r="H11" s="569"/>
      <c r="I11" s="569"/>
      <c r="J11" s="569"/>
      <c r="K11" s="569"/>
      <c r="L11" s="569"/>
      <c r="M11" s="569"/>
    </row>
    <row r="12" spans="1:13" ht="20.25">
      <c r="A12" s="572" t="s">
        <v>541</v>
      </c>
      <c r="B12" s="569"/>
      <c r="C12" s="569"/>
      <c r="D12" s="569"/>
      <c r="E12" s="569"/>
      <c r="F12" s="569"/>
      <c r="G12" s="569"/>
      <c r="H12" s="569"/>
      <c r="I12" s="569"/>
      <c r="J12" s="569"/>
      <c r="K12" s="569"/>
      <c r="L12" s="569"/>
      <c r="M12" s="569"/>
    </row>
    <row r="13" spans="1:13" ht="15.75">
      <c r="A13" s="569"/>
      <c r="B13" s="569"/>
      <c r="C13" s="569"/>
      <c r="D13" s="569"/>
      <c r="E13" s="569"/>
      <c r="F13" s="569"/>
      <c r="G13" s="569"/>
      <c r="H13" s="569"/>
      <c r="I13" s="569"/>
      <c r="J13" s="569"/>
      <c r="K13" s="569"/>
      <c r="L13" s="569"/>
      <c r="M13" s="569"/>
    </row>
    <row r="14" spans="1:13" ht="15.75">
      <c r="A14" s="569"/>
      <c r="B14" s="569"/>
      <c r="C14" s="569"/>
      <c r="D14" s="569"/>
      <c r="E14" s="569"/>
      <c r="F14" s="569"/>
      <c r="G14" s="569"/>
      <c r="H14" s="569"/>
      <c r="I14" s="569"/>
      <c r="J14" s="569"/>
      <c r="K14" s="569"/>
      <c r="L14" s="569"/>
      <c r="M14" s="569"/>
    </row>
    <row r="15" spans="1:13" ht="15.75">
      <c r="A15" s="569"/>
      <c r="B15" s="569"/>
      <c r="C15" s="569"/>
      <c r="D15" s="569"/>
      <c r="E15" s="569"/>
      <c r="F15" s="569"/>
      <c r="G15" s="569"/>
      <c r="H15" s="569"/>
      <c r="I15" s="569"/>
      <c r="J15" s="569"/>
      <c r="K15" s="569"/>
      <c r="L15" s="569"/>
      <c r="M15" s="569"/>
    </row>
    <row r="16" spans="1:13" ht="15.75">
      <c r="A16" s="569"/>
      <c r="B16" s="569"/>
      <c r="C16" s="569"/>
      <c r="D16" s="569"/>
      <c r="E16" s="569"/>
      <c r="F16" s="569"/>
      <c r="G16" s="569"/>
      <c r="H16" s="569"/>
      <c r="I16" s="569"/>
      <c r="J16" s="569"/>
      <c r="K16" s="569"/>
      <c r="L16" s="569"/>
      <c r="M16" s="569"/>
    </row>
    <row r="17" spans="1:13" ht="15.75">
      <c r="A17" s="569"/>
      <c r="B17" s="569"/>
      <c r="C17" s="569"/>
      <c r="D17" s="569"/>
      <c r="E17" s="569"/>
      <c r="F17" s="569"/>
      <c r="G17" s="569"/>
      <c r="H17" s="569"/>
      <c r="I17" s="569"/>
      <c r="J17" s="569"/>
      <c r="K17" s="569"/>
      <c r="L17" s="569"/>
      <c r="M17" s="569"/>
    </row>
    <row r="18" spans="1:13" ht="15.75">
      <c r="A18" s="569"/>
      <c r="B18" s="569"/>
      <c r="C18" s="569"/>
      <c r="D18" s="569"/>
      <c r="E18" s="569"/>
      <c r="F18" s="569"/>
      <c r="G18" s="569"/>
      <c r="H18" s="569"/>
      <c r="I18" s="569"/>
      <c r="J18" s="569"/>
      <c r="K18" s="569"/>
      <c r="L18" s="569"/>
      <c r="M18" s="569"/>
    </row>
    <row r="19" spans="1:13" ht="15.75">
      <c r="A19" s="569"/>
      <c r="B19" s="569"/>
      <c r="C19" s="569"/>
      <c r="D19" s="569"/>
      <c r="E19" s="569"/>
      <c r="F19" s="569"/>
      <c r="G19" s="569"/>
      <c r="H19" s="569"/>
      <c r="I19" s="569"/>
      <c r="J19" s="569"/>
      <c r="K19" s="569"/>
      <c r="L19" s="569"/>
      <c r="M19" s="569"/>
    </row>
    <row r="20" spans="1:13" ht="15.75">
      <c r="A20" s="569"/>
      <c r="B20" s="569"/>
      <c r="C20" s="569"/>
      <c r="D20" s="569"/>
      <c r="E20" s="569"/>
      <c r="F20" s="569"/>
      <c r="G20" s="569"/>
      <c r="H20" s="569"/>
      <c r="I20" s="569"/>
      <c r="J20" s="569"/>
      <c r="K20" s="569"/>
      <c r="L20" s="569"/>
      <c r="M20" s="569"/>
    </row>
    <row r="21" spans="1:13" ht="15.75">
      <c r="A21" s="569"/>
      <c r="B21" s="569"/>
      <c r="C21" s="569"/>
      <c r="D21" s="569"/>
      <c r="E21" s="569"/>
      <c r="F21" s="569"/>
      <c r="G21" s="569"/>
      <c r="H21" s="569"/>
      <c r="I21" s="569"/>
      <c r="J21" s="569"/>
      <c r="K21" s="569"/>
      <c r="L21" s="569"/>
      <c r="M21" s="569"/>
    </row>
    <row r="22" spans="1:13" ht="15.75">
      <c r="A22" s="569"/>
      <c r="B22" s="569"/>
      <c r="C22" s="569"/>
      <c r="D22" s="569"/>
      <c r="E22" s="569"/>
      <c r="F22" s="569"/>
      <c r="G22" s="569"/>
      <c r="H22" s="569"/>
      <c r="I22" s="569"/>
      <c r="J22" s="569"/>
      <c r="K22" s="569"/>
      <c r="L22" s="569"/>
      <c r="M22" s="569"/>
    </row>
    <row r="23" spans="1:13" ht="15.75">
      <c r="A23" s="573"/>
      <c r="B23" s="573"/>
      <c r="C23" s="573"/>
      <c r="D23" s="573"/>
      <c r="E23" s="573"/>
      <c r="F23" s="573"/>
      <c r="G23" s="573"/>
      <c r="H23" s="573"/>
      <c r="I23" s="573"/>
      <c r="J23" s="573"/>
      <c r="K23" s="573"/>
      <c r="L23" s="573"/>
      <c r="M23" s="573"/>
    </row>
    <row r="24" spans="1:13" ht="15.75">
      <c r="A24" s="573"/>
      <c r="B24" s="573"/>
      <c r="C24" s="573"/>
      <c r="D24" s="573"/>
      <c r="E24" s="573"/>
      <c r="F24" s="573"/>
      <c r="G24" s="573"/>
      <c r="H24" s="573"/>
      <c r="I24" s="573"/>
      <c r="J24" s="573"/>
      <c r="K24" s="573"/>
      <c r="L24" s="573"/>
      <c r="M24" s="573"/>
    </row>
    <row r="25" spans="1:13" ht="15.75">
      <c r="A25" s="573"/>
      <c r="B25" s="573"/>
      <c r="C25" s="573"/>
      <c r="D25" s="573"/>
      <c r="E25" s="573"/>
      <c r="F25" s="573"/>
      <c r="G25" s="573"/>
      <c r="H25" s="573"/>
      <c r="I25" s="573"/>
      <c r="J25" s="573"/>
      <c r="K25" s="573"/>
      <c r="L25" s="573"/>
      <c r="M25" s="573"/>
    </row>
    <row r="26" spans="1:13" ht="15.75">
      <c r="A26" s="573"/>
      <c r="B26" s="573"/>
      <c r="C26" s="573"/>
      <c r="D26" s="573"/>
      <c r="E26" s="573"/>
      <c r="F26" s="573"/>
      <c r="G26" s="573"/>
      <c r="H26" s="573"/>
      <c r="I26" s="573"/>
      <c r="J26" s="573"/>
      <c r="K26" s="573"/>
      <c r="L26" s="573"/>
      <c r="M26" s="573"/>
    </row>
    <row r="27" spans="1:13" ht="15.75">
      <c r="A27" s="573"/>
      <c r="B27" s="573"/>
      <c r="C27" s="573"/>
      <c r="D27" s="573"/>
      <c r="E27" s="573"/>
      <c r="F27" s="573"/>
      <c r="G27" s="573"/>
      <c r="H27" s="573"/>
      <c r="I27" s="573"/>
      <c r="J27" s="573"/>
      <c r="K27" s="573"/>
      <c r="L27" s="573"/>
      <c r="M27" s="573"/>
    </row>
    <row r="28" spans="1:13" ht="15.75">
      <c r="A28" s="573"/>
      <c r="B28" s="573"/>
      <c r="C28" s="573"/>
      <c r="D28" s="573"/>
      <c r="E28" s="573"/>
      <c r="F28" s="573"/>
      <c r="G28" s="573"/>
      <c r="H28" s="573"/>
      <c r="I28" s="573"/>
      <c r="J28" s="573"/>
      <c r="K28" s="573"/>
      <c r="L28" s="573"/>
      <c r="M28" s="573"/>
    </row>
    <row r="29" spans="1:13" ht="15.75">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823</v>
      </c>
      <c r="C8" t="str">
        <f>"Drivers!"&amp;ADDRESS(ROW(Drivers!A40),COLUMN(Drivers!A40),4)</f>
        <v>Drivers!A40</v>
      </c>
      <c r="E8">
        <v>1</v>
      </c>
    </row>
    <row r="9" spans="1:6">
      <c r="A9" t="s">
        <v>669</v>
      </c>
      <c r="B9" t="s">
        <v>824</v>
      </c>
      <c r="C9" t="str">
        <f>"Drivers!"&amp;ADDRESS(ROW(Drivers!A15),COLUMN(Drivers!A15),4)</f>
        <v>Drivers!A15</v>
      </c>
      <c r="E9">
        <v>1</v>
      </c>
    </row>
    <row r="10" spans="1:6">
      <c r="A10" t="s">
        <v>669</v>
      </c>
      <c r="B10" t="s">
        <v>825</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opLeftCell="A11" workbookViewId="0">
      <selection activeCell="D42" sqref="D42"/>
    </sheetView>
  </sheetViews>
  <sheetFormatPr defaultRowHeight="15"/>
  <sheetData>
    <row r="6" spans="1:39">
      <c r="A6" t="s">
        <v>218</v>
      </c>
    </row>
    <row r="7" spans="1:39">
      <c r="A7" s="1165" t="s">
        <v>687</v>
      </c>
      <c r="B7" s="1165" t="s">
        <v>688</v>
      </c>
      <c r="C7" s="1165" t="s">
        <v>689</v>
      </c>
      <c r="D7" s="1165" t="s">
        <v>690</v>
      </c>
      <c r="E7" s="1165" t="s">
        <v>691</v>
      </c>
      <c r="F7" s="1165" t="s">
        <v>692</v>
      </c>
      <c r="G7" s="1165" t="s">
        <v>693</v>
      </c>
      <c r="H7" s="1165" t="s">
        <v>694</v>
      </c>
      <c r="I7" s="1165" t="s">
        <v>695</v>
      </c>
      <c r="J7" s="1165" t="s">
        <v>696</v>
      </c>
      <c r="K7" s="1165" t="s">
        <v>697</v>
      </c>
      <c r="L7" s="1165" t="s">
        <v>698</v>
      </c>
      <c r="M7" s="1165" t="s">
        <v>699</v>
      </c>
      <c r="N7" s="1165" t="s">
        <v>700</v>
      </c>
      <c r="O7" s="1165" t="s">
        <v>701</v>
      </c>
      <c r="P7" s="1165" t="s">
        <v>702</v>
      </c>
      <c r="Q7" s="1165" t="s">
        <v>703</v>
      </c>
      <c r="R7" s="1165" t="s">
        <v>704</v>
      </c>
      <c r="S7" s="1165" t="s">
        <v>705</v>
      </c>
      <c r="T7" s="1165" t="s">
        <v>706</v>
      </c>
      <c r="U7" s="1165" t="s">
        <v>707</v>
      </c>
      <c r="V7" s="1165" t="s">
        <v>708</v>
      </c>
      <c r="W7" s="1165" t="s">
        <v>709</v>
      </c>
      <c r="X7" s="1165" t="s">
        <v>710</v>
      </c>
      <c r="Y7" s="1165" t="s">
        <v>711</v>
      </c>
      <c r="Z7" s="1165" t="s">
        <v>712</v>
      </c>
      <c r="AA7" s="1165" t="s">
        <v>713</v>
      </c>
      <c r="AB7" s="1165" t="s">
        <v>714</v>
      </c>
      <c r="AC7" s="1165" t="s">
        <v>715</v>
      </c>
      <c r="AD7" s="1165" t="s">
        <v>716</v>
      </c>
      <c r="AE7" s="1165" t="s">
        <v>717</v>
      </c>
      <c r="AF7" s="1165" t="s">
        <v>718</v>
      </c>
      <c r="AG7" s="1165" t="s">
        <v>719</v>
      </c>
      <c r="AH7" s="1165" t="s">
        <v>720</v>
      </c>
      <c r="AI7" s="1165" t="s">
        <v>721</v>
      </c>
      <c r="AJ7" s="1165" t="s">
        <v>722</v>
      </c>
      <c r="AK7" s="1165" t="s">
        <v>723</v>
      </c>
      <c r="AL7" s="1165" t="s">
        <v>724</v>
      </c>
      <c r="AM7" s="1165" t="s">
        <v>725</v>
      </c>
    </row>
    <row r="8" spans="1:39">
      <c r="A8">
        <v>52325.432882070083</v>
      </c>
      <c r="B8">
        <v>53104.386458423345</v>
      </c>
      <c r="C8">
        <v>53912.365691429273</v>
      </c>
      <c r="D8">
        <v>54750.491457321114</v>
      </c>
      <c r="E8">
        <v>55619.940469824825</v>
      </c>
      <c r="F8">
        <v>56521.948041648095</v>
      </c>
      <c r="G8">
        <v>57436.000617299658</v>
      </c>
      <c r="H8">
        <v>58364.834921819442</v>
      </c>
      <c r="I8">
        <v>59308.69</v>
      </c>
      <c r="J8">
        <v>60097.87398848695</v>
      </c>
      <c r="K8">
        <v>60841.58228680936</v>
      </c>
      <c r="L8">
        <v>61537.824355929828</v>
      </c>
      <c r="M8">
        <v>62221.509701386371</v>
      </c>
      <c r="N8">
        <v>62892.038582526089</v>
      </c>
      <c r="O8">
        <v>63548.817559440096</v>
      </c>
      <c r="P8">
        <v>64191.260356766121</v>
      </c>
      <c r="Q8">
        <v>64818.78872542824</v>
      </c>
      <c r="R8">
        <v>65435.442210930109</v>
      </c>
      <c r="S8">
        <v>66040.790860694062</v>
      </c>
      <c r="T8">
        <v>66634.409418703101</v>
      </c>
      <c r="U8">
        <v>67215.877817791683</v>
      </c>
      <c r="V8">
        <v>67784.781669940756</v>
      </c>
      <c r="W8">
        <v>68342.055626742411</v>
      </c>
      <c r="X8">
        <v>68887.330858600355</v>
      </c>
      <c r="Y8">
        <v>69420.244147098419</v>
      </c>
      <c r="Z8">
        <v>69940.43828496871</v>
      </c>
      <c r="AA8">
        <v>70447.562472153164</v>
      </c>
      <c r="AB8">
        <v>70942.722252264575</v>
      </c>
      <c r="AC8">
        <v>71425.610993241411</v>
      </c>
      <c r="AD8">
        <v>71895.928013305995</v>
      </c>
      <c r="AE8">
        <v>72353.378891150234</v>
      </c>
      <c r="AF8">
        <v>72797.675771420298</v>
      </c>
      <c r="AG8">
        <v>73228.597899236789</v>
      </c>
      <c r="AH8">
        <v>73645.872502840066</v>
      </c>
      <c r="AI8">
        <v>74049.234192071817</v>
      </c>
      <c r="AJ8">
        <v>74438.425238522788</v>
      </c>
      <c r="AK8">
        <v>74813.195848926669</v>
      </c>
      <c r="AL8">
        <v>75173.102421925723</v>
      </c>
      <c r="AM8">
        <v>75517.908954390194</v>
      </c>
    </row>
    <row r="14" spans="1:39">
      <c r="A14" t="s">
        <v>390</v>
      </c>
    </row>
    <row r="15" spans="1:39">
      <c r="A15" s="1165" t="s">
        <v>694</v>
      </c>
      <c r="B15" s="1165" t="s">
        <v>695</v>
      </c>
      <c r="C15" s="1165" t="s">
        <v>696</v>
      </c>
      <c r="D15" s="1165" t="s">
        <v>697</v>
      </c>
      <c r="E15" s="1165" t="s">
        <v>698</v>
      </c>
      <c r="F15" s="1165" t="s">
        <v>699</v>
      </c>
      <c r="G15" s="1165" t="s">
        <v>700</v>
      </c>
      <c r="H15" s="1165" t="s">
        <v>701</v>
      </c>
      <c r="I15" s="1165" t="s">
        <v>702</v>
      </c>
      <c r="J15" s="1165" t="s">
        <v>703</v>
      </c>
      <c r="K15" s="1165" t="s">
        <v>704</v>
      </c>
      <c r="L15" s="1165" t="s">
        <v>705</v>
      </c>
      <c r="M15" s="1165" t="s">
        <v>706</v>
      </c>
      <c r="N15" s="1165" t="s">
        <v>707</v>
      </c>
      <c r="O15" s="1165" t="s">
        <v>708</v>
      </c>
      <c r="P15" s="1165" t="s">
        <v>709</v>
      </c>
      <c r="Q15" s="1165" t="s">
        <v>710</v>
      </c>
      <c r="R15" s="1165" t="s">
        <v>711</v>
      </c>
      <c r="S15" s="1165" t="s">
        <v>712</v>
      </c>
      <c r="T15" s="1165" t="s">
        <v>713</v>
      </c>
      <c r="U15" s="1165" t="s">
        <v>714</v>
      </c>
      <c r="V15" s="1165" t="s">
        <v>715</v>
      </c>
      <c r="W15" s="1165" t="s">
        <v>716</v>
      </c>
      <c r="X15" s="1165" t="s">
        <v>717</v>
      </c>
      <c r="Y15" s="1165" t="s">
        <v>718</v>
      </c>
      <c r="Z15" s="1165" t="s">
        <v>719</v>
      </c>
      <c r="AA15" s="1165" t="s">
        <v>720</v>
      </c>
      <c r="AB15" s="1165" t="s">
        <v>721</v>
      </c>
      <c r="AC15" s="1165" t="s">
        <v>722</v>
      </c>
      <c r="AD15" s="1165" t="s">
        <v>723</v>
      </c>
      <c r="AE15" s="1165" t="s">
        <v>724</v>
      </c>
      <c r="AF15" s="1165" t="s">
        <v>725</v>
      </c>
      <c r="AG15" s="1165"/>
      <c r="AH15" s="1165"/>
      <c r="AI15" s="1165"/>
      <c r="AJ15" s="1165"/>
      <c r="AK15" s="1165"/>
      <c r="AL15" s="1165"/>
      <c r="AM15" s="1165"/>
    </row>
    <row r="16" spans="1:39">
      <c r="A16">
        <v>3164.1559328574817</v>
      </c>
      <c r="B16">
        <v>2966.4312031486884</v>
      </c>
      <c r="C16">
        <v>3038.4599250524875</v>
      </c>
      <c r="D16">
        <v>3105.6495314991057</v>
      </c>
      <c r="E16">
        <v>3166.2503551240475</v>
      </c>
      <c r="F16">
        <v>3234.5964359714103</v>
      </c>
      <c r="G16">
        <v>3296.2240257379749</v>
      </c>
      <c r="H16">
        <v>3366.4633271478065</v>
      </c>
      <c r="I16">
        <v>3436.4344789089987</v>
      </c>
      <c r="J16">
        <v>3485.2345926420976</v>
      </c>
      <c r="K16">
        <v>3537.8042151577115</v>
      </c>
      <c r="L16">
        <v>3601.1809165553482</v>
      </c>
      <c r="M16">
        <v>3689.3743282354972</v>
      </c>
      <c r="N16">
        <v>3770.9504220066083</v>
      </c>
      <c r="O16">
        <v>3867.5085984126213</v>
      </c>
      <c r="P16">
        <v>3988.7128287659275</v>
      </c>
      <c r="Q16">
        <v>4088.0370257470286</v>
      </c>
      <c r="R16">
        <v>4188.173572206083</v>
      </c>
      <c r="S16">
        <v>4308.5353934667492</v>
      </c>
      <c r="T16">
        <v>4436.6736831338776</v>
      </c>
      <c r="U16">
        <v>4572.7379558768307</v>
      </c>
      <c r="V16">
        <v>4714.8820680263625</v>
      </c>
      <c r="W16">
        <v>4861.7822977789338</v>
      </c>
      <c r="X16">
        <v>4999.630924015547</v>
      </c>
      <c r="Y16">
        <v>5140.3990299017887</v>
      </c>
      <c r="Z16">
        <v>5284.2396924773611</v>
      </c>
      <c r="AA16">
        <v>5434.6458323535726</v>
      </c>
      <c r="AB16">
        <v>5588.9785645796028</v>
      </c>
      <c r="AC16">
        <v>5683.8226319462565</v>
      </c>
      <c r="AD16">
        <v>5769.8658364340272</v>
      </c>
      <c r="AE16">
        <v>5861.5540552090788</v>
      </c>
      <c r="AF16">
        <v>5947.0928685667695</v>
      </c>
    </row>
    <row r="23" spans="1:39">
      <c r="A23" t="s">
        <v>685</v>
      </c>
    </row>
    <row r="24" spans="1:39">
      <c r="A24" s="1165" t="s">
        <v>694</v>
      </c>
      <c r="B24" s="1165" t="s">
        <v>695</v>
      </c>
      <c r="C24" s="1165" t="s">
        <v>696</v>
      </c>
      <c r="D24" s="1165" t="s">
        <v>697</v>
      </c>
      <c r="E24" s="1165" t="s">
        <v>698</v>
      </c>
      <c r="F24" s="1165" t="s">
        <v>699</v>
      </c>
      <c r="G24" s="1165" t="s">
        <v>700</v>
      </c>
      <c r="H24" s="1165" t="s">
        <v>701</v>
      </c>
      <c r="I24" s="1165" t="s">
        <v>702</v>
      </c>
      <c r="J24" s="1165" t="s">
        <v>703</v>
      </c>
      <c r="K24" s="1165" t="s">
        <v>704</v>
      </c>
      <c r="L24" s="1165" t="s">
        <v>705</v>
      </c>
      <c r="M24" s="1165" t="s">
        <v>706</v>
      </c>
      <c r="N24" s="1165" t="s">
        <v>707</v>
      </c>
      <c r="O24" s="1165" t="s">
        <v>708</v>
      </c>
      <c r="P24" s="1165" t="s">
        <v>709</v>
      </c>
      <c r="Q24" s="1165" t="s">
        <v>710</v>
      </c>
      <c r="R24" s="1165" t="s">
        <v>711</v>
      </c>
      <c r="S24" s="1165" t="s">
        <v>712</v>
      </c>
      <c r="T24" s="1165" t="s">
        <v>713</v>
      </c>
      <c r="U24" s="1165" t="s">
        <v>714</v>
      </c>
      <c r="V24" s="1165" t="s">
        <v>715</v>
      </c>
      <c r="W24" s="1165" t="s">
        <v>716</v>
      </c>
      <c r="X24" s="1165" t="s">
        <v>717</v>
      </c>
      <c r="Y24" s="1165" t="s">
        <v>718</v>
      </c>
      <c r="Z24" s="1165" t="s">
        <v>719</v>
      </c>
      <c r="AA24" s="1165" t="s">
        <v>720</v>
      </c>
      <c r="AB24" s="1165" t="s">
        <v>721</v>
      </c>
      <c r="AC24" s="1165" t="s">
        <v>722</v>
      </c>
      <c r="AD24" s="1165" t="s">
        <v>723</v>
      </c>
      <c r="AE24" s="1165" t="s">
        <v>724</v>
      </c>
      <c r="AF24" s="1165" t="s">
        <v>725</v>
      </c>
      <c r="AG24" s="1165"/>
      <c r="AH24" s="1165"/>
      <c r="AI24" s="1165"/>
      <c r="AJ24" s="1165"/>
      <c r="AK24" s="1165"/>
      <c r="AL24" s="1165"/>
      <c r="AM24" s="1165"/>
    </row>
    <row r="25" spans="1:39">
      <c r="A25">
        <v>3069.2076553396569</v>
      </c>
      <c r="B25">
        <v>2903.5403738294453</v>
      </c>
      <c r="C25">
        <v>2901.0431107109116</v>
      </c>
      <c r="D25">
        <v>2894.206033032196</v>
      </c>
      <c r="E25">
        <v>2868.237393556562</v>
      </c>
      <c r="F25">
        <v>2883.7135747535476</v>
      </c>
      <c r="G25">
        <v>2908.3408360144749</v>
      </c>
      <c r="H25">
        <v>2808.9677916207861</v>
      </c>
      <c r="I25">
        <v>2791.018969057367</v>
      </c>
      <c r="J25">
        <v>2769.8729444445007</v>
      </c>
      <c r="K25">
        <v>2672.6620462311848</v>
      </c>
      <c r="L25">
        <v>2564.7768712712291</v>
      </c>
      <c r="M25">
        <v>2518.9446083112052</v>
      </c>
      <c r="N25">
        <v>2448.2548304681586</v>
      </c>
      <c r="O25">
        <v>2397.7021233649875</v>
      </c>
      <c r="P25">
        <v>2366.034062701015</v>
      </c>
      <c r="Q25">
        <v>1897.0458070859841</v>
      </c>
      <c r="R25">
        <v>1378.6433969448512</v>
      </c>
      <c r="S25">
        <v>1145.7794051936896</v>
      </c>
      <c r="T25">
        <v>929.53723774518653</v>
      </c>
      <c r="U25">
        <v>713.29507029668309</v>
      </c>
      <c r="V25">
        <v>497.05290284817988</v>
      </c>
      <c r="W25">
        <v>442.6889837360776</v>
      </c>
      <c r="X25">
        <v>388.32506462397532</v>
      </c>
      <c r="Y25">
        <v>333.96114551187304</v>
      </c>
      <c r="Z25">
        <v>279.59722639977076</v>
      </c>
      <c r="AA25">
        <v>225.23330728766848</v>
      </c>
      <c r="AB25">
        <v>187.55376595205908</v>
      </c>
      <c r="AC25">
        <v>149.87422461644968</v>
      </c>
      <c r="AD25">
        <v>112.19468328084029</v>
      </c>
      <c r="AE25">
        <v>74.515141945230923</v>
      </c>
      <c r="AF25">
        <v>36.835600609621515</v>
      </c>
    </row>
    <row r="40" spans="1:5">
      <c r="A40" s="1165" t="s">
        <v>819</v>
      </c>
      <c r="B40" s="1165" t="s">
        <v>820</v>
      </c>
      <c r="C40" s="1165" t="s">
        <v>821</v>
      </c>
      <c r="D40" s="1165" t="s">
        <v>822</v>
      </c>
      <c r="E40" s="1165" t="s">
        <v>826</v>
      </c>
    </row>
    <row r="41" spans="1:5">
      <c r="A41">
        <v>-1</v>
      </c>
      <c r="B41">
        <v>-1</v>
      </c>
      <c r="C41">
        <v>-1</v>
      </c>
      <c r="D41">
        <v>1</v>
      </c>
      <c r="E41">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topLeftCell="L1" workbookViewId="0">
      <selection activeCell="AK17" sqref="AK17"/>
    </sheetView>
  </sheetViews>
  <sheetFormatPr defaultRowHeight="15"/>
  <cols>
    <col min="1" max="1" width="37.7109375" bestFit="1" customWidth="1"/>
  </cols>
  <sheetData>
    <row r="1" spans="1:45">
      <c r="A1" t="s">
        <v>671</v>
      </c>
      <c r="B1" s="1164">
        <f>Drivers!D41</f>
        <v>1</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16702.297433033091</v>
      </c>
      <c r="AR3">
        <v>16842.875377232984</v>
      </c>
      <c r="AS3" s="1697">
        <f ca="1">AQ3/AR3</f>
        <v>0.99165356620818346</v>
      </c>
    </row>
    <row r="4" spans="1:45">
      <c r="H4">
        <v>3</v>
      </c>
      <c r="I4">
        <f>I3-I2+I3</f>
        <v>137</v>
      </c>
      <c r="J4" t="str">
        <f t="shared" si="0"/>
        <v>W4BCH4</v>
      </c>
      <c r="K4" t="s">
        <v>678</v>
      </c>
      <c r="L4" t="s">
        <v>188</v>
      </c>
      <c r="M4">
        <v>2</v>
      </c>
      <c r="N4">
        <v>2</v>
      </c>
      <c r="AM4" s="10" t="s">
        <v>674</v>
      </c>
      <c r="AN4" t="s">
        <v>679</v>
      </c>
      <c r="AO4" t="s">
        <v>190</v>
      </c>
      <c r="AP4">
        <v>1</v>
      </c>
      <c r="AQ4">
        <f ca="1">AP4*AA16</f>
        <v>16.590313802416329</v>
      </c>
    </row>
    <row r="5" spans="1:45">
      <c r="J5" t="str">
        <f t="shared" si="0"/>
        <v>W4C2CH4</v>
      </c>
      <c r="K5" t="s">
        <v>679</v>
      </c>
      <c r="L5" t="s">
        <v>188</v>
      </c>
      <c r="M5">
        <v>6</v>
      </c>
      <c r="N5">
        <v>1</v>
      </c>
      <c r="AM5" s="10" t="s">
        <v>673</v>
      </c>
      <c r="AN5" t="s">
        <v>677</v>
      </c>
      <c r="AO5" t="s">
        <v>188</v>
      </c>
      <c r="AP5">
        <v>21</v>
      </c>
      <c r="AQ5">
        <f t="shared" ref="AQ5:AQ11" ca="1" si="1">AP5*AA17</f>
        <v>10059.948088746385</v>
      </c>
    </row>
    <row r="6" spans="1:45">
      <c r="J6" t="str">
        <f t="shared" si="0"/>
        <v>W4D1CH4</v>
      </c>
      <c r="K6" t="s">
        <v>680</v>
      </c>
      <c r="L6" t="s">
        <v>188</v>
      </c>
      <c r="M6">
        <v>8</v>
      </c>
      <c r="N6">
        <v>1</v>
      </c>
      <c r="AM6" s="10" t="s">
        <v>676</v>
      </c>
      <c r="AN6" t="s">
        <v>678</v>
      </c>
      <c r="AO6" t="s">
        <v>188</v>
      </c>
      <c r="AP6">
        <v>21</v>
      </c>
      <c r="AQ6">
        <f t="shared" ca="1" si="1"/>
        <v>727.37085629652233</v>
      </c>
    </row>
    <row r="7" spans="1:45">
      <c r="J7" t="str">
        <f t="shared" si="0"/>
        <v>W4BN2O</v>
      </c>
      <c r="K7" t="s">
        <v>678</v>
      </c>
      <c r="L7" t="s">
        <v>191</v>
      </c>
      <c r="M7">
        <v>4</v>
      </c>
      <c r="N7">
        <v>1</v>
      </c>
      <c r="AM7" s="10" t="s">
        <v>674</v>
      </c>
      <c r="AN7" t="s">
        <v>679</v>
      </c>
      <c r="AO7" t="s">
        <v>188</v>
      </c>
      <c r="AP7">
        <v>21</v>
      </c>
      <c r="AQ7">
        <f t="shared" ca="1" si="1"/>
        <v>117.22478619337019</v>
      </c>
    </row>
    <row r="8" spans="1:45">
      <c r="J8" t="str">
        <f t="shared" si="0"/>
        <v>W4C2N2O</v>
      </c>
      <c r="K8" t="s">
        <v>679</v>
      </c>
      <c r="L8" t="s">
        <v>191</v>
      </c>
      <c r="M8">
        <v>7</v>
      </c>
      <c r="N8">
        <v>1</v>
      </c>
      <c r="AM8" s="10" t="s">
        <v>675</v>
      </c>
      <c r="AN8" t="s">
        <v>680</v>
      </c>
      <c r="AO8" t="s">
        <v>188</v>
      </c>
      <c r="AP8">
        <v>21</v>
      </c>
      <c r="AQ8">
        <f t="shared" ca="1" si="1"/>
        <v>4050.0826364329118</v>
      </c>
    </row>
    <row r="9" spans="1:45">
      <c r="J9" t="str">
        <f t="shared" si="0"/>
        <v>W4D1N2O</v>
      </c>
      <c r="K9" t="s">
        <v>680</v>
      </c>
      <c r="L9" t="s">
        <v>191</v>
      </c>
      <c r="M9">
        <v>9</v>
      </c>
      <c r="N9">
        <v>1</v>
      </c>
      <c r="AM9" s="10" t="s">
        <v>676</v>
      </c>
      <c r="AN9" t="s">
        <v>678</v>
      </c>
      <c r="AO9" t="s">
        <v>191</v>
      </c>
      <c r="AP9">
        <v>310</v>
      </c>
      <c r="AQ9">
        <f t="shared" ca="1" si="1"/>
        <v>630.23748107680046</v>
      </c>
    </row>
    <row r="10" spans="1:45">
      <c r="AM10" s="10" t="s">
        <v>674</v>
      </c>
      <c r="AN10" t="s">
        <v>679</v>
      </c>
      <c r="AO10" t="s">
        <v>191</v>
      </c>
      <c r="AP10">
        <v>310</v>
      </c>
      <c r="AQ10">
        <f t="shared" ca="1" si="1"/>
        <v>24.090939616507423</v>
      </c>
    </row>
    <row r="11" spans="1:45">
      <c r="AM11" s="10" t="s">
        <v>675</v>
      </c>
      <c r="AN11" t="s">
        <v>680</v>
      </c>
      <c r="AO11" t="s">
        <v>191</v>
      </c>
      <c r="AP11">
        <v>310</v>
      </c>
      <c r="AQ11">
        <f t="shared" ca="1" si="1"/>
        <v>1076.7523308681771</v>
      </c>
    </row>
    <row r="15" spans="1:45">
      <c r="B15" s="1165"/>
      <c r="C15" s="1165"/>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s="10" t="s">
        <v>674</v>
      </c>
      <c r="B16" t="s">
        <v>679</v>
      </c>
      <c r="C16" t="s">
        <v>190</v>
      </c>
      <c r="D16" s="1163">
        <f ca="1">SUM(OFFSET('Output data (results)'!$B$10,D$15-2000,INDEX($M$2:$M$9,MATCH($B16&amp;$C16,$J$2:$J$9,0)),1,INDEX($N$2:$N$9,MATCH($B16&amp;$C16,$J$2:$J$9,0))))</f>
        <v>32.155652457135474</v>
      </c>
      <c r="E16" s="1163">
        <f ca="1">SUM(OFFSET('Output data (results)'!$B$10,E$15-2000,INDEX($M$2:$M$9,MATCH($B16&amp;$C16,$J$2:$J$9,0)),1,INDEX($N$2:$N$9,MATCH($B16&amp;$C16,$J$2:$J$9,0))))</f>
        <v>32.638684941922989</v>
      </c>
      <c r="F16" s="1163">
        <f ca="1">SUM(OFFSET('Output data (results)'!$B$10,F$15-2000,INDEX($M$2:$M$9,MATCH($B16&amp;$C16,$J$2:$J$9,0)),1,INDEX($N$2:$N$9,MATCH($B16&amp;$C16,$J$2:$J$9,0))))</f>
        <v>33.044764937208711</v>
      </c>
      <c r="G16" s="1163">
        <f ca="1">SUM(OFFSET('Output data (results)'!$B$10,G$15-2000,INDEX($M$2:$M$9,MATCH($B16&amp;$C16,$J$2:$J$9,0)),1,INDEX($N$2:$N$9,MATCH($B16&amp;$C16,$J$2:$J$9,0))))</f>
        <v>33.370161666347876</v>
      </c>
      <c r="H16" s="1163">
        <f ca="1">SUM(OFFSET('Output data (results)'!$B$10,H$15-2000,INDEX($M$2:$M$9,MATCH($B16&amp;$C16,$J$2:$J$9,0)),1,INDEX($N$2:$N$9,MATCH($B16&amp;$C16,$J$2:$J$9,0))))</f>
        <v>33.610848152350449</v>
      </c>
      <c r="I16" s="1163">
        <f ca="1">SUM(OFFSET('Output data (results)'!$B$10,I$15-2000,INDEX($M$2:$M$9,MATCH($B16&amp;$C16,$J$2:$J$9,0)),1,INDEX($N$2:$N$9,MATCH($B16&amp;$C16,$J$2:$J$9,0))))</f>
        <v>33.762481189099681</v>
      </c>
      <c r="J16" s="561">
        <f ca="1">SUM(OFFSET('Output data (results)'!$B$10,J$15-2000+INDEX($I$2:$I$4,MATCH($B$1,$H$2:$H$4,0)),INDEX($M$2:$M$9,MATCH($B16&amp;$C16,$J$2:$J$9,0)),1,INDEX($N$2:$N$9,MATCH($B16&amp;$C16,$J$2:$J$9,0))))</f>
        <v>32.890504306921038</v>
      </c>
      <c r="K16" s="561">
        <f ca="1">SUM(OFFSET('Output data (results)'!$B$10,K$15-2000+INDEX($I$2:$I$4,MATCH($B$1,$H$2:$H$4,0)),INDEX($M$2:$M$9,MATCH($B16&amp;$C16,$J$2:$J$9,0)),1,INDEX($N$2:$N$9,MATCH($B16&amp;$C16,$J$2:$J$9,0))))</f>
        <v>32.036480261883405</v>
      </c>
      <c r="L16" s="561">
        <f ca="1">SUM(OFFSET('Output data (results)'!$B$10,L$15-2000+INDEX($I$2:$I$4,MATCH($B$1,$H$2:$H$4,0)),INDEX($M$2:$M$9,MATCH($B16&amp;$C16,$J$2:$J$9,0)),1,INDEX($N$2:$N$9,MATCH($B16&amp;$C16,$J$2:$J$9,0))))</f>
        <v>31.199856234261556</v>
      </c>
      <c r="M16" s="561">
        <f ca="1">SUM(OFFSET('Output data (results)'!$B$10,M$15-2000+INDEX($I$2:$I$4,MATCH($B$1,$H$2:$H$4,0)),INDEX($M$2:$M$9,MATCH($B16&amp;$C16,$J$2:$J$9,0)),1,INDEX($N$2:$N$9,MATCH($B16&amp;$C16,$J$2:$J$9,0))))</f>
        <v>30.389874688526699</v>
      </c>
      <c r="N16" s="561">
        <f ca="1">SUM(OFFSET('Output data (results)'!$B$10,N$15-2000+INDEX($I$2:$I$4,MATCH($B$1,$H$2:$H$4,0)),INDEX($M$2:$M$9,MATCH($B16&amp;$C16,$J$2:$J$9,0)),1,INDEX($N$2:$N$9,MATCH($B16&amp;$C16,$J$2:$J$9,0))))</f>
        <v>29.604729554369428</v>
      </c>
      <c r="O16" s="561">
        <f ca="1">SUM(OFFSET('Output data (results)'!$B$10,O$15-2000+INDEX($I$2:$I$4,MATCH($B$1,$H$2:$H$4,0)),INDEX($M$2:$M$9,MATCH($B16&amp;$C16,$J$2:$J$9,0)),1,INDEX($N$2:$N$9,MATCH($B16&amp;$C16,$J$2:$J$9,0))))</f>
        <v>28.84593417946968</v>
      </c>
      <c r="P16" s="561">
        <f ca="1">SUM(OFFSET('Output data (results)'!$B$10,P$15-2000+INDEX($I$2:$I$4,MATCH($B$1,$H$2:$H$4,0)),INDEX($M$2:$M$9,MATCH($B16&amp;$C16,$J$2:$J$9,0)),1,INDEX($N$2:$N$9,MATCH($B16&amp;$C16,$J$2:$J$9,0))))</f>
        <v>28.111466555851909</v>
      </c>
      <c r="Q16" s="561">
        <f ca="1">SUM(OFFSET('Output data (results)'!$B$10,Q$15-2000+INDEX($I$2:$I$4,MATCH($B$1,$H$2:$H$4,0)),INDEX($M$2:$M$9,MATCH($B16&amp;$C16,$J$2:$J$9,0)),1,INDEX($N$2:$N$9,MATCH($B16&amp;$C16,$J$2:$J$9,0))))</f>
        <v>27.401350847133774</v>
      </c>
      <c r="R16" s="561">
        <f ca="1">SUM(OFFSET('Output data (results)'!$B$10,R$15-2000+INDEX($I$2:$I$4,MATCH($B$1,$H$2:$H$4,0)),INDEX($M$2:$M$9,MATCH($B16&amp;$C16,$J$2:$J$9,0)),1,INDEX($N$2:$N$9,MATCH($B16&amp;$C16,$J$2:$J$9,0))))</f>
        <v>26.715613983164449</v>
      </c>
      <c r="S16" s="561">
        <f ca="1">SUM(OFFSET('Output data (results)'!$B$10,S$15-2000+INDEX($I$2:$I$4,MATCH($B$1,$H$2:$H$4,0)),INDEX($M$2:$M$9,MATCH($B16&amp;$C16,$J$2:$J$9,0)),1,INDEX($N$2:$N$9,MATCH($B16&amp;$C16,$J$2:$J$9,0))))</f>
        <v>26.054290205817569</v>
      </c>
      <c r="T16" s="561">
        <f ca="1">SUM(OFFSET('Output data (results)'!$B$10,T$15-2000+INDEX($I$2:$I$4,MATCH($B$1,$H$2:$H$4,0)),INDEX($M$2:$M$9,MATCH($B16&amp;$C16,$J$2:$J$9,0)),1,INDEX($N$2:$N$9,MATCH($B16&amp;$C16,$J$2:$J$9,0))))</f>
        <v>24.626327981346179</v>
      </c>
      <c r="U16" s="561">
        <f ca="1">SUM(OFFSET('Output data (results)'!$B$10,U$15-2000+INDEX($I$2:$I$4,MATCH($B$1,$H$2:$H$4,0)),INDEX($M$2:$M$9,MATCH($B16&amp;$C16,$J$2:$J$9,0)),1,INDEX($N$2:$N$9,MATCH($B16&amp;$C16,$J$2:$J$9,0))))</f>
        <v>23.279387038589427</v>
      </c>
      <c r="V16" s="561">
        <f ca="1">SUM(OFFSET('Output data (results)'!$B$10,V$15-2000+INDEX($I$2:$I$4,MATCH($B$1,$H$2:$H$4,0)),INDEX($M$2:$M$9,MATCH($B16&amp;$C16,$J$2:$J$9,0)),1,INDEX($N$2:$N$9,MATCH($B16&amp;$C16,$J$2:$J$9,0))))</f>
        <v>22.008647739126392</v>
      </c>
      <c r="W16" s="561">
        <f ca="1">SUM(OFFSET('Output data (results)'!$B$10,W$15-2000+INDEX($I$2:$I$4,MATCH($B$1,$H$2:$H$4,0)),INDEX($M$2:$M$9,MATCH($B16&amp;$C16,$J$2:$J$9,0)),1,INDEX($N$2:$N$9,MATCH($B16&amp;$C16,$J$2:$J$9,0))))</f>
        <v>20.910046019534178</v>
      </c>
      <c r="X16" s="561">
        <f ca="1">SUM(OFFSET('Output data (results)'!$B$10,X$15-2000+INDEX($I$2:$I$4,MATCH($B$1,$H$2:$H$4,0)),INDEX($M$2:$M$9,MATCH($B16&amp;$C16,$J$2:$J$9,0)),1,INDEX($N$2:$N$9,MATCH($B16&amp;$C16,$J$2:$J$9,0))))</f>
        <v>19.81936274018183</v>
      </c>
      <c r="Y16" s="561">
        <f ca="1">SUM(OFFSET('Output data (results)'!$B$10,Y$15-2000+INDEX($I$2:$I$4,MATCH($B$1,$H$2:$H$4,0)),INDEX($M$2:$M$9,MATCH($B16&amp;$C16,$J$2:$J$9,0)),1,INDEX($N$2:$N$9,MATCH($B16&amp;$C16,$J$2:$J$9,0))))</f>
        <v>18.736165202103567</v>
      </c>
      <c r="Z16" s="561">
        <f ca="1">SUM(OFFSET('Output data (results)'!$B$10,Z$15-2000+INDEX($I$2:$I$4,MATCH($B$1,$H$2:$H$4,0)),INDEX($M$2:$M$9,MATCH($B16&amp;$C16,$J$2:$J$9,0)),1,INDEX($N$2:$N$9,MATCH($B16&amp;$C16,$J$2:$J$9,0))))</f>
        <v>17.659939868413652</v>
      </c>
      <c r="AA16" s="561">
        <f ca="1">SUM(OFFSET('Output data (results)'!$B$10,AA$15-2000+INDEX($I$2:$I$4,MATCH($B$1,$H$2:$H$4,0)),INDEX($M$2:$M$9,MATCH($B16&amp;$C16,$J$2:$J$9,0)),1,INDEX($N$2:$N$9,MATCH($B16&amp;$C16,$J$2:$J$9,0))))</f>
        <v>16.590313802416329</v>
      </c>
      <c r="AB16" s="561">
        <f ca="1">SUM(OFFSET('Output data (results)'!$B$10,AB$15-2000+INDEX($I$2:$I$4,MATCH($B$1,$H$2:$H$4,0)),INDEX($M$2:$M$9,MATCH($B16&amp;$C16,$J$2:$J$9,0)),1,INDEX($N$2:$N$9,MATCH($B16&amp;$C16,$J$2:$J$9,0))))</f>
        <v>15.526930244660576</v>
      </c>
      <c r="AC16" s="561">
        <f ca="1">SUM(OFFSET('Output data (results)'!$B$10,AC$15-2000+INDEX($I$2:$I$4,MATCH($B$1,$H$2:$H$4,0)),INDEX($M$2:$M$9,MATCH($B16&amp;$C16,$J$2:$J$9,0)),1,INDEX($N$2:$N$9,MATCH($B16&amp;$C16,$J$2:$J$9,0))))</f>
        <v>15.149493648455612</v>
      </c>
      <c r="AD16" s="561">
        <f ca="1">SUM(OFFSET('Output data (results)'!$B$10,AD$15-2000+INDEX($I$2:$I$4,MATCH($B$1,$H$2:$H$4,0)),INDEX($M$2:$M$9,MATCH($B16&amp;$C16,$J$2:$J$9,0)),1,INDEX($N$2:$N$9,MATCH($B16&amp;$C16,$J$2:$J$9,0))))</f>
        <v>14.470851344884212</v>
      </c>
      <c r="AE16" s="561">
        <f ca="1">SUM(OFFSET('Output data (results)'!$B$10,AE$15-2000+INDEX($I$2:$I$4,MATCH($B$1,$H$2:$H$4,0)),INDEX($M$2:$M$9,MATCH($B16&amp;$C16,$J$2:$J$9,0)),1,INDEX($N$2:$N$9,MATCH($B16&amp;$C16,$J$2:$J$9,0))))</f>
        <v>13.795996337092619</v>
      </c>
      <c r="AF16" s="561">
        <f ca="1">SUM(OFFSET('Output data (results)'!$B$10,AF$15-2000+INDEX($I$2:$I$4,MATCH($B$1,$H$2:$H$4,0)),INDEX($M$2:$M$9,MATCH($B16&amp;$C16,$J$2:$J$9,0)),1,INDEX($N$2:$N$9,MATCH($B16&amp;$C16,$J$2:$J$9,0))))</f>
        <v>13.124735833196986</v>
      </c>
      <c r="AG16" s="561">
        <f ca="1">SUM(OFFSET('Output data (results)'!$B$10,AG$15-2000+INDEX($I$2:$I$4,MATCH($B$1,$H$2:$H$4,0)),INDEX($M$2:$M$9,MATCH($B16&amp;$C16,$J$2:$J$9,0)),1,INDEX($N$2:$N$9,MATCH($B16&amp;$C16,$J$2:$J$9,0))))</f>
        <v>12.456884498799459</v>
      </c>
      <c r="AH16" s="561">
        <f ca="1">SUM(OFFSET('Output data (results)'!$B$10,AH$15-2000+INDEX($I$2:$I$4,MATCH($B$1,$H$2:$H$4,0)),INDEX($M$2:$M$9,MATCH($B16&amp;$C16,$J$2:$J$9,0)),1,INDEX($N$2:$N$9,MATCH($B16&amp;$C16,$J$2:$J$9,0))))</f>
        <v>11.792263994361994</v>
      </c>
      <c r="AI16" s="561">
        <f ca="1">SUM(OFFSET('Output data (results)'!$B$10,AI$15-2000+INDEX($I$2:$I$4,MATCH($B$1,$H$2:$H$4,0)),INDEX($M$2:$M$9,MATCH($B16&amp;$C16,$J$2:$J$9,0)),1,INDEX($N$2:$N$9,MATCH($B16&amp;$C16,$J$2:$J$9,0))))</f>
        <v>11.130702539631443</v>
      </c>
      <c r="AJ16" s="561">
        <f ca="1">SUM(OFFSET('Output data (results)'!$B$10,AJ$15-2000+INDEX($I$2:$I$4,MATCH($B$1,$H$2:$H$4,0)),INDEX($M$2:$M$9,MATCH($B16&amp;$C16,$J$2:$J$9,0)),1,INDEX($N$2:$N$9,MATCH($B16&amp;$C16,$J$2:$J$9,0))))</f>
        <v>10.472032211837858</v>
      </c>
      <c r="AK16" s="561">
        <f ca="1">SUM(OFFSET('Output data (results)'!$B$10,AK$15-2000+INDEX($I$2:$I$4,MATCH($B$1,$H$2:$H$4,0)),INDEX($M$2:$M$9,MATCH($B16&amp;$C16,$J$2:$J$9,0)),1,INDEX($N$2:$N$9,MATCH($B16&amp;$C16,$J$2:$J$9,0))))</f>
        <v>9.8160936162196091</v>
      </c>
      <c r="AL16" s="561">
        <f ca="1">SUM(OFFSET('Output data (results)'!$B$10,AL$15-2000+INDEX($I$2:$I$4,MATCH($B$1,$H$2:$H$4,0)),INDEX($M$2:$M$9,MATCH($B16&amp;$C16,$J$2:$J$9,0)),1,INDEX($N$2:$N$9,MATCH($B16&amp;$C16,$J$2:$J$9,0))))</f>
        <v>9.1627327333324242</v>
      </c>
      <c r="AM16" s="561">
        <f ca="1">SUM(OFFSET('Output data (results)'!$B$10,AM$15-2000+INDEX($I$2:$I$4,MATCH($B$1,$H$2:$H$4,0)),INDEX($M$2:$M$9,MATCH($B16&amp;$C16,$J$2:$J$9,0)),1,INDEX($N$2:$N$9,MATCH($B16&amp;$C16,$J$2:$J$9,0))))</f>
        <v>8.5118005743404197</v>
      </c>
      <c r="AN16" s="561">
        <f ca="1">SUM(OFFSET('Output data (results)'!$B$10,AN$15-2000+INDEX($I$2:$I$4,MATCH($B$1,$H$2:$H$4,0)),INDEX($M$2:$M$9,MATCH($B16&amp;$C16,$J$2:$J$9,0)),1,INDEX($N$2:$N$9,MATCH($B16&amp;$C16,$J$2:$J$9,0))))</f>
        <v>8.5007057884237334</v>
      </c>
      <c r="AO16" s="561">
        <f ca="1">SUM(OFFSET('Output data (results)'!$B$10,AO$15-2000+INDEX($I$2:$I$4,MATCH($B$1,$H$2:$H$4,0)),INDEX($M$2:$M$9,MATCH($B16&amp;$C16,$J$2:$J$9,0)),1,INDEX($N$2:$N$9,MATCH($B16&amp;$C16,$J$2:$J$9,0))))</f>
        <v>8.4901819677224086</v>
      </c>
      <c r="AP16" s="561">
        <f ca="1">SUM(OFFSET('Output data (results)'!$B$10,AP$15-2000+INDEX($I$2:$I$4,MATCH($B$1,$H$2:$H$4,0)),INDEX($M$2:$M$9,MATCH($B16&amp;$C16,$J$2:$J$9,0)),1,INDEX($N$2:$N$9,MATCH($B16&amp;$C16,$J$2:$J$9,0))))</f>
        <v>8.4802178368946208</v>
      </c>
    </row>
    <row r="17" spans="1:42">
      <c r="A17" s="10" t="s">
        <v>673</v>
      </c>
      <c r="B17" t="s">
        <v>677</v>
      </c>
      <c r="C17" t="s">
        <v>188</v>
      </c>
      <c r="D17" s="1163">
        <f ca="1">SUM(OFFSET('Output data (results)'!$B$10,D$15-2000,INDEX($M$2:$M$9,MATCH($B17&amp;$C17,$J$2:$J$9,0)),1,INDEX($N$2:$N$9,MATCH($B17&amp;$C17,$J$2:$J$9,0))))</f>
        <v>907.20403046494505</v>
      </c>
      <c r="E17" s="1163">
        <f ca="1">SUM(OFFSET('Output data (results)'!$B$10,E$15-2000,INDEX($M$2:$M$9,MATCH($B17&amp;$C17,$J$2:$J$9,0)),1,INDEX($N$2:$N$9,MATCH($B17&amp;$C17,$J$2:$J$9,0))))</f>
        <v>896.16711186314876</v>
      </c>
      <c r="F17" s="1163">
        <f ca="1">SUM(OFFSET('Output data (results)'!$B$10,F$15-2000,INDEX($M$2:$M$9,MATCH($B17&amp;$C17,$J$2:$J$9,0)),1,INDEX($N$2:$N$9,MATCH($B17&amp;$C17,$J$2:$J$9,0))))</f>
        <v>883.64256829584781</v>
      </c>
      <c r="G17" s="1163">
        <f ca="1">SUM(OFFSET('Output data (results)'!$B$10,G$15-2000,INDEX($M$2:$M$9,MATCH($B17&amp;$C17,$J$2:$J$9,0)),1,INDEX($N$2:$N$9,MATCH($B17&amp;$C17,$J$2:$J$9,0))))</f>
        <v>869.71305919348606</v>
      </c>
      <c r="H17" s="1163">
        <f ca="1">SUM(OFFSET('Output data (results)'!$B$10,H$15-2000,INDEX($M$2:$M$9,MATCH($B17&amp;$C17,$J$2:$J$9,0)),1,INDEX($N$2:$N$9,MATCH($B17&amp;$C17,$J$2:$J$9,0))))</f>
        <v>854.47623809287529</v>
      </c>
      <c r="I17" s="1163">
        <f ca="1">SUM(OFFSET('Output data (results)'!$B$10,I$15-2000,INDEX($M$2:$M$9,MATCH($B17&amp;$C17,$J$2:$J$9,0)),1,INDEX($N$2:$N$9,MATCH($B17&amp;$C17,$J$2:$J$9,0))))</f>
        <v>838.02636536804357</v>
      </c>
      <c r="J17" s="561">
        <f ca="1">SUM(OFFSET('Output data (results)'!$B$10,J$15-2000+INDEX($I$2:$I$4,MATCH($B$1,$H$2:$H$4,0)),INDEX($M$2:$M$9,MATCH($B17&amp;$C17,$J$2:$J$9,0)),1,INDEX($N$2:$N$9,MATCH($B17&amp;$C17,$J$2:$J$9,0))))</f>
        <v>820.5169947820342</v>
      </c>
      <c r="K17" s="561">
        <f ca="1">SUM(OFFSET('Output data (results)'!$B$10,K$15-2000+INDEX($I$2:$I$4,MATCH($B$1,$H$2:$H$4,0)),INDEX($M$2:$M$9,MATCH($B17&amp;$C17,$J$2:$J$9,0)),1,INDEX($N$2:$N$9,MATCH($B17&amp;$C17,$J$2:$J$9,0))))</f>
        <v>801.61949135232783</v>
      </c>
      <c r="L17" s="561">
        <f ca="1">SUM(OFFSET('Output data (results)'!$B$10,L$15-2000+INDEX($I$2:$I$4,MATCH($B$1,$H$2:$H$4,0)),INDEX($M$2:$M$9,MATCH($B17&amp;$C17,$J$2:$J$9,0)),1,INDEX($N$2:$N$9,MATCH($B17&amp;$C17,$J$2:$J$9,0))))</f>
        <v>780.87340108713249</v>
      </c>
      <c r="M17" s="561">
        <f ca="1">SUM(OFFSET('Output data (results)'!$B$10,M$15-2000+INDEX($I$2:$I$4,MATCH($B$1,$H$2:$H$4,0)),INDEX($M$2:$M$9,MATCH($B17&amp;$C17,$J$2:$J$9,0)),1,INDEX($N$2:$N$9,MATCH($B17&amp;$C17,$J$2:$J$9,0))))</f>
        <v>760.13289943936286</v>
      </c>
      <c r="N17" s="561">
        <f ca="1">SUM(OFFSET('Output data (results)'!$B$10,N$15-2000+INDEX($I$2:$I$4,MATCH($B$1,$H$2:$H$4,0)),INDEX($M$2:$M$9,MATCH($B17&amp;$C17,$J$2:$J$9,0)),1,INDEX($N$2:$N$9,MATCH($B17&amp;$C17,$J$2:$J$9,0))))</f>
        <v>738.83418422445197</v>
      </c>
      <c r="O17" s="561">
        <f ca="1">SUM(OFFSET('Output data (results)'!$B$10,O$15-2000+INDEX($I$2:$I$4,MATCH($B$1,$H$2:$H$4,0)),INDEX($M$2:$M$9,MATCH($B17&amp;$C17,$J$2:$J$9,0)),1,INDEX($N$2:$N$9,MATCH($B17&amp;$C17,$J$2:$J$9,0))))</f>
        <v>717.17626112003961</v>
      </c>
      <c r="P17" s="561">
        <f ca="1">SUM(OFFSET('Output data (results)'!$B$10,P$15-2000+INDEX($I$2:$I$4,MATCH($B$1,$H$2:$H$4,0)),INDEX($M$2:$M$9,MATCH($B17&amp;$C17,$J$2:$J$9,0)),1,INDEX($N$2:$N$9,MATCH($B17&amp;$C17,$J$2:$J$9,0))))</f>
        <v>695.3840553621942</v>
      </c>
      <c r="Q17" s="561">
        <f ca="1">SUM(OFFSET('Output data (results)'!$B$10,Q$15-2000+INDEX($I$2:$I$4,MATCH($B$1,$H$2:$H$4,0)),INDEX($M$2:$M$9,MATCH($B17&amp;$C17,$J$2:$J$9,0)),1,INDEX($N$2:$N$9,MATCH($B17&amp;$C17,$J$2:$J$9,0))))</f>
        <v>673.44206437258833</v>
      </c>
      <c r="R17" s="561">
        <f ca="1">SUM(OFFSET('Output data (results)'!$B$10,R$15-2000+INDEX($I$2:$I$4,MATCH($B$1,$H$2:$H$4,0)),INDEX($M$2:$M$9,MATCH($B17&amp;$C17,$J$2:$J$9,0)),1,INDEX($N$2:$N$9,MATCH($B17&amp;$C17,$J$2:$J$9,0))))</f>
        <v>651.45383671839181</v>
      </c>
      <c r="S17" s="561">
        <f ca="1">SUM(OFFSET('Output data (results)'!$B$10,S$15-2000+INDEX($I$2:$I$4,MATCH($B$1,$H$2:$H$4,0)),INDEX($M$2:$M$9,MATCH($B17&amp;$C17,$J$2:$J$9,0)),1,INDEX($N$2:$N$9,MATCH($B17&amp;$C17,$J$2:$J$9,0))))</f>
        <v>629.90262875630776</v>
      </c>
      <c r="T17" s="561">
        <f ca="1">SUM(OFFSET('Output data (results)'!$B$10,T$15-2000+INDEX($I$2:$I$4,MATCH($B$1,$H$2:$H$4,0)),INDEX($M$2:$M$9,MATCH($B17&amp;$C17,$J$2:$J$9,0)),1,INDEX($N$2:$N$9,MATCH($B17&amp;$C17,$J$2:$J$9,0))))</f>
        <v>608.78433261944303</v>
      </c>
      <c r="U17" s="561">
        <f ca="1">SUM(OFFSET('Output data (results)'!$B$10,U$15-2000+INDEX($I$2:$I$4,MATCH($B$1,$H$2:$H$4,0)),INDEX($M$2:$M$9,MATCH($B17&amp;$C17,$J$2:$J$9,0)),1,INDEX($N$2:$N$9,MATCH($B17&amp;$C17,$J$2:$J$9,0))))</f>
        <v>588.36024824345827</v>
      </c>
      <c r="V17" s="561">
        <f ca="1">SUM(OFFSET('Output data (results)'!$B$10,V$15-2000+INDEX($I$2:$I$4,MATCH($B$1,$H$2:$H$4,0)),INDEX($M$2:$M$9,MATCH($B17&amp;$C17,$J$2:$J$9,0)),1,INDEX($N$2:$N$9,MATCH($B17&amp;$C17,$J$2:$J$9,0))))</f>
        <v>568.60748092704227</v>
      </c>
      <c r="W17" s="561">
        <f ca="1">SUM(OFFSET('Output data (results)'!$B$10,W$15-2000+INDEX($I$2:$I$4,MATCH($B$1,$H$2:$H$4,0)),INDEX($M$2:$M$9,MATCH($B17&amp;$C17,$J$2:$J$9,0)),1,INDEX($N$2:$N$9,MATCH($B17&amp;$C17,$J$2:$J$9,0))))</f>
        <v>549.50405184228191</v>
      </c>
      <c r="X17" s="561">
        <f ca="1">SUM(OFFSET('Output data (results)'!$B$10,X$15-2000+INDEX($I$2:$I$4,MATCH($B$1,$H$2:$H$4,0)),INDEX($M$2:$M$9,MATCH($B17&amp;$C17,$J$2:$J$9,0)),1,INDEX($N$2:$N$9,MATCH($B17&amp;$C17,$J$2:$J$9,0))))</f>
        <v>531.03392593798503</v>
      </c>
      <c r="Y17" s="561">
        <f ca="1">SUM(OFFSET('Output data (results)'!$B$10,Y$15-2000+INDEX($I$2:$I$4,MATCH($B$1,$H$2:$H$4,0)),INDEX($M$2:$M$9,MATCH($B17&amp;$C17,$J$2:$J$9,0)),1,INDEX($N$2:$N$9,MATCH($B17&amp;$C17,$J$2:$J$9,0))))</f>
        <v>513.15830967817237</v>
      </c>
      <c r="Z17" s="561">
        <f ca="1">SUM(OFFSET('Output data (results)'!$B$10,Z$15-2000+INDEX($I$2:$I$4,MATCH($B$1,$H$2:$H$4,0)),INDEX($M$2:$M$9,MATCH($B17&amp;$C17,$J$2:$J$9,0)),1,INDEX($N$2:$N$9,MATCH($B17&amp;$C17,$J$2:$J$9,0))))</f>
        <v>495.84036381923943</v>
      </c>
      <c r="AA17" s="561">
        <f ca="1">SUM(OFFSET('Output data (results)'!$B$10,AA$15-2000+INDEX($I$2:$I$4,MATCH($B$1,$H$2:$H$4,0)),INDEX($M$2:$M$9,MATCH($B17&amp;$C17,$J$2:$J$9,0)),1,INDEX($N$2:$N$9,MATCH($B17&amp;$C17,$J$2:$J$9,0))))</f>
        <v>479.04514708316117</v>
      </c>
      <c r="AB17" s="561">
        <f ca="1">SUM(OFFSET('Output data (results)'!$B$10,AB$15-2000+INDEX($I$2:$I$4,MATCH($B$1,$H$2:$H$4,0)),INDEX($M$2:$M$9,MATCH($B17&amp;$C17,$J$2:$J$9,0)),1,INDEX($N$2:$N$9,MATCH($B17&amp;$C17,$J$2:$J$9,0))))</f>
        <v>463.19858071856066</v>
      </c>
      <c r="AC17" s="561">
        <f ca="1">SUM(OFFSET('Output data (results)'!$B$10,AC$15-2000+INDEX($I$2:$I$4,MATCH($B$1,$H$2:$H$4,0)),INDEX($M$2:$M$9,MATCH($B17&amp;$C17,$J$2:$J$9,0)),1,INDEX($N$2:$N$9,MATCH($B17&amp;$C17,$J$2:$J$9,0))))</f>
        <v>449.09521595460433</v>
      </c>
      <c r="AD17" s="561">
        <f ca="1">SUM(OFFSET('Output data (results)'!$B$10,AD$15-2000+INDEX($I$2:$I$4,MATCH($B$1,$H$2:$H$4,0)),INDEX($M$2:$M$9,MATCH($B17&amp;$C17,$J$2:$J$9,0)),1,INDEX($N$2:$N$9,MATCH($B17&amp;$C17,$J$2:$J$9,0))))</f>
        <v>436.11718058503351</v>
      </c>
      <c r="AE17" s="561">
        <f ca="1">SUM(OFFSET('Output data (results)'!$B$10,AE$15-2000+INDEX($I$2:$I$4,MATCH($B$1,$H$2:$H$4,0)),INDEX($M$2:$M$9,MATCH($B17&amp;$C17,$J$2:$J$9,0)),1,INDEX($N$2:$N$9,MATCH($B17&amp;$C17,$J$2:$J$9,0))))</f>
        <v>424.05702009259471</v>
      </c>
      <c r="AF17" s="561">
        <f ca="1">SUM(OFFSET('Output data (results)'!$B$10,AF$15-2000+INDEX($I$2:$I$4,MATCH($B$1,$H$2:$H$4,0)),INDEX($M$2:$M$9,MATCH($B17&amp;$C17,$J$2:$J$9,0)),1,INDEX($N$2:$N$9,MATCH($B17&amp;$C17,$J$2:$J$9,0))))</f>
        <v>412.88605729576932</v>
      </c>
      <c r="AG17" s="561">
        <f ca="1">SUM(OFFSET('Output data (results)'!$B$10,AG$15-2000+INDEX($I$2:$I$4,MATCH($B$1,$H$2:$H$4,0)),INDEX($M$2:$M$9,MATCH($B17&amp;$C17,$J$2:$J$9,0)),1,INDEX($N$2:$N$9,MATCH($B17&amp;$C17,$J$2:$J$9,0))))</f>
        <v>402.57610490987327</v>
      </c>
      <c r="AH17" s="561">
        <f ca="1">SUM(OFFSET('Output data (results)'!$B$10,AH$15-2000+INDEX($I$2:$I$4,MATCH($B$1,$H$2:$H$4,0)),INDEX($M$2:$M$9,MATCH($B17&amp;$C17,$J$2:$J$9,0)),1,INDEX($N$2:$N$9,MATCH($B17&amp;$C17,$J$2:$J$9,0))))</f>
        <v>392.48577307869584</v>
      </c>
      <c r="AI17" s="561">
        <f ca="1">SUM(OFFSET('Output data (results)'!$B$10,AI$15-2000+INDEX($I$2:$I$4,MATCH($B$1,$H$2:$H$4,0)),INDEX($M$2:$M$9,MATCH($B17&amp;$C17,$J$2:$J$9,0)),1,INDEX($N$2:$N$9,MATCH($B17&amp;$C17,$J$2:$J$9,0))))</f>
        <v>382.60650032596573</v>
      </c>
      <c r="AJ17" s="561">
        <f ca="1">SUM(OFFSET('Output data (results)'!$B$10,AJ$15-2000+INDEX($I$2:$I$4,MATCH($B$1,$H$2:$H$4,0)),INDEX($M$2:$M$9,MATCH($B17&amp;$C17,$J$2:$J$9,0)),1,INDEX($N$2:$N$9,MATCH($B17&amp;$C17,$J$2:$J$9,0))))</f>
        <v>372.93458668994083</v>
      </c>
      <c r="AK17" s="561">
        <f ca="1">SUM(OFFSET('Output data (results)'!$B$10,AK$15-2000+INDEX($I$2:$I$4,MATCH($B$1,$H$2:$H$4,0)),INDEX($M$2:$M$9,MATCH($B17&amp;$C17,$J$2:$J$9,0)),1,INDEX($N$2:$N$9,MATCH($B17&amp;$C17,$J$2:$J$9,0))))</f>
        <v>363.46644266936607</v>
      </c>
      <c r="AL17" s="561">
        <f ca="1">SUM(OFFSET('Output data (results)'!$B$10,AL$15-2000+INDEX($I$2:$I$4,MATCH($B$1,$H$2:$H$4,0)),INDEX($M$2:$M$9,MATCH($B17&amp;$C17,$J$2:$J$9,0)),1,INDEX($N$2:$N$9,MATCH($B17&amp;$C17,$J$2:$J$9,0))))</f>
        <v>354.19936702440975</v>
      </c>
      <c r="AM17" s="561">
        <f ca="1">SUM(OFFSET('Output data (results)'!$B$10,AM$15-2000+INDEX($I$2:$I$4,MATCH($B$1,$H$2:$H$4,0)),INDEX($M$2:$M$9,MATCH($B17&amp;$C17,$J$2:$J$9,0)),1,INDEX($N$2:$N$9,MATCH($B17&amp;$C17,$J$2:$J$9,0))))</f>
        <v>345.07432467229125</v>
      </c>
      <c r="AN17" s="561">
        <f ca="1">SUM(OFFSET('Output data (results)'!$B$10,AN$15-2000+INDEX($I$2:$I$4,MATCH($B$1,$H$2:$H$4,0)),INDEX($M$2:$M$9,MATCH($B17&amp;$C17,$J$2:$J$9,0)),1,INDEX($N$2:$N$9,MATCH($B17&amp;$C17,$J$2:$J$9,0))))</f>
        <v>336.07590411159862</v>
      </c>
      <c r="AO17" s="561">
        <f ca="1">SUM(OFFSET('Output data (results)'!$B$10,AO$15-2000+INDEX($I$2:$I$4,MATCH($B$1,$H$2:$H$4,0)),INDEX($M$2:$M$9,MATCH($B17&amp;$C17,$J$2:$J$9,0)),1,INDEX($N$2:$N$9,MATCH($B17&amp;$C17,$J$2:$J$9,0))))</f>
        <v>327.48504709592271</v>
      </c>
      <c r="AP17" s="561">
        <f ca="1">SUM(OFFSET('Output data (results)'!$B$10,AP$15-2000+INDEX($I$2:$I$4,MATCH($B$1,$H$2:$H$4,0)),INDEX($M$2:$M$9,MATCH($B17&amp;$C17,$J$2:$J$9,0)),1,INDEX($N$2:$N$9,MATCH($B17&amp;$C17,$J$2:$J$9,0))))</f>
        <v>319.29294629460651</v>
      </c>
    </row>
    <row r="18" spans="1:42">
      <c r="A18" s="10" t="s">
        <v>676</v>
      </c>
      <c r="B18" t="s">
        <v>678</v>
      </c>
      <c r="C18" t="s">
        <v>188</v>
      </c>
      <c r="D18" s="1163">
        <f ca="1">SUM(OFFSET('Output data (results)'!$B$10,D$15-2000,INDEX($M$2:$M$9,MATCH($B18&amp;$C18,$J$2:$J$9,0)),1,INDEX($N$2:$N$9,MATCH($B18&amp;$C18,$J$2:$J$9,0))))</f>
        <v>13.700025909920411</v>
      </c>
      <c r="E18" s="1163">
        <f ca="1">SUM(OFFSET('Output data (results)'!$B$10,E$15-2000,INDEX($M$2:$M$9,MATCH($B18&amp;$C18,$J$2:$J$9,0)),1,INDEX($N$2:$N$9,MATCH($B18&amp;$C18,$J$2:$J$9,0))))</f>
        <v>14.982553884448116</v>
      </c>
      <c r="F18" s="1163">
        <f ca="1">SUM(OFFSET('Output data (results)'!$B$10,F$15-2000,INDEX($M$2:$M$9,MATCH($B18&amp;$C18,$J$2:$J$9,0)),1,INDEX($N$2:$N$9,MATCH($B18&amp;$C18,$J$2:$J$9,0))))</f>
        <v>16.152577730562747</v>
      </c>
      <c r="G18" s="1163">
        <f ca="1">SUM(OFFSET('Output data (results)'!$B$10,G$15-2000,INDEX($M$2:$M$9,MATCH($B18&amp;$C18,$J$2:$J$9,0)),1,INDEX($N$2:$N$9,MATCH($B18&amp;$C18,$J$2:$J$9,0))))</f>
        <v>17.222425195133638</v>
      </c>
      <c r="H18" s="1163">
        <f ca="1">SUM(OFFSET('Output data (results)'!$B$10,H$15-2000,INDEX($M$2:$M$9,MATCH($B18&amp;$C18,$J$2:$J$9,0)),1,INDEX($N$2:$N$9,MATCH($B18&amp;$C18,$J$2:$J$9,0))))</f>
        <v>18.188205756638162</v>
      </c>
      <c r="I18" s="1163">
        <f ca="1">SUM(OFFSET('Output data (results)'!$B$10,I$15-2000,INDEX($M$2:$M$9,MATCH($B18&amp;$C18,$J$2:$J$9,0)),1,INDEX($N$2:$N$9,MATCH($B18&amp;$C18,$J$2:$J$9,0))))</f>
        <v>19.101301929478819</v>
      </c>
      <c r="J18" s="561">
        <f ca="1">SUM(OFFSET('Output data (results)'!$B$10,J$15-2000+INDEX($I$2:$I$4,MATCH($B$1,$H$2:$H$4,0)),INDEX($M$2:$M$9,MATCH($B18&amp;$C18,$J$2:$J$9,0)),1,INDEX($N$2:$N$9,MATCH($B18&amp;$C18,$J$2:$J$9,0))))</f>
        <v>20.705334688035602</v>
      </c>
      <c r="K18" s="561">
        <f ca="1">SUM(OFFSET('Output data (results)'!$B$10,K$15-2000+INDEX($I$2:$I$4,MATCH($B$1,$H$2:$H$4,0)),INDEX($M$2:$M$9,MATCH($B18&amp;$C18,$J$2:$J$9,0)),1,INDEX($N$2:$N$9,MATCH($B18&amp;$C18,$J$2:$J$9,0))))</f>
        <v>22.029088756280487</v>
      </c>
      <c r="L18" s="561">
        <f ca="1">SUM(OFFSET('Output data (results)'!$B$10,L$15-2000+INDEX($I$2:$I$4,MATCH($B$1,$H$2:$H$4,0)),INDEX($M$2:$M$9,MATCH($B18&amp;$C18,$J$2:$J$9,0)),1,INDEX($N$2:$N$9,MATCH($B18&amp;$C18,$J$2:$J$9,0))))</f>
        <v>22.917589271112174</v>
      </c>
      <c r="M18" s="561">
        <f ca="1">SUM(OFFSET('Output data (results)'!$B$10,M$15-2000+INDEX($I$2:$I$4,MATCH($B$1,$H$2:$H$4,0)),INDEX($M$2:$M$9,MATCH($B18&amp;$C18,$J$2:$J$9,0)),1,INDEX($N$2:$N$9,MATCH($B18&amp;$C18,$J$2:$J$9,0))))</f>
        <v>24.326379569468983</v>
      </c>
      <c r="N18" s="561">
        <f ca="1">SUM(OFFSET('Output data (results)'!$B$10,N$15-2000+INDEX($I$2:$I$4,MATCH($B$1,$H$2:$H$4,0)),INDEX($M$2:$M$9,MATCH($B18&amp;$C18,$J$2:$J$9,0)),1,INDEX($N$2:$N$9,MATCH($B18&amp;$C18,$J$2:$J$9,0))))</f>
        <v>25.706073792552278</v>
      </c>
      <c r="O18" s="561">
        <f ca="1">SUM(OFFSET('Output data (results)'!$B$10,O$15-2000+INDEX($I$2:$I$4,MATCH($B$1,$H$2:$H$4,0)),INDEX($M$2:$M$9,MATCH($B18&amp;$C18,$J$2:$J$9,0)),1,INDEX($N$2:$N$9,MATCH($B18&amp;$C18,$J$2:$J$9,0))))</f>
        <v>27.220347847522017</v>
      </c>
      <c r="P18" s="561">
        <f ca="1">SUM(OFFSET('Output data (results)'!$B$10,P$15-2000+INDEX($I$2:$I$4,MATCH($B$1,$H$2:$H$4,0)),INDEX($M$2:$M$9,MATCH($B18&amp;$C18,$J$2:$J$9,0)),1,INDEX($N$2:$N$9,MATCH($B18&amp;$C18,$J$2:$J$9,0))))</f>
        <v>28.750118078648903</v>
      </c>
      <c r="Q18" s="561">
        <f ca="1">SUM(OFFSET('Output data (results)'!$B$10,Q$15-2000+INDEX($I$2:$I$4,MATCH($B$1,$H$2:$H$4,0)),INDEX($M$2:$M$9,MATCH($B18&amp;$C18,$J$2:$J$9,0)),1,INDEX($N$2:$N$9,MATCH($B18&amp;$C18,$J$2:$J$9,0))))</f>
        <v>30.266446416458564</v>
      </c>
      <c r="R18" s="561">
        <f ca="1">SUM(OFFSET('Output data (results)'!$B$10,R$15-2000+INDEX($I$2:$I$4,MATCH($B$1,$H$2:$H$4,0)),INDEX($M$2:$M$9,MATCH($B18&amp;$C18,$J$2:$J$9,0)),1,INDEX($N$2:$N$9,MATCH($B18&amp;$C18,$J$2:$J$9,0))))</f>
        <v>31.800004472637326</v>
      </c>
      <c r="S18" s="561">
        <f ca="1">SUM(OFFSET('Output data (results)'!$B$10,S$15-2000+INDEX($I$2:$I$4,MATCH($B$1,$H$2:$H$4,0)),INDEX($M$2:$M$9,MATCH($B18&amp;$C18,$J$2:$J$9,0)),1,INDEX($N$2:$N$9,MATCH($B18&amp;$C18,$J$2:$J$9,0))))</f>
        <v>33.333026033503863</v>
      </c>
      <c r="T18" s="561">
        <f ca="1">SUM(OFFSET('Output data (results)'!$B$10,T$15-2000+INDEX($I$2:$I$4,MATCH($B$1,$H$2:$H$4,0)),INDEX($M$2:$M$9,MATCH($B18&amp;$C18,$J$2:$J$9,0)),1,INDEX($N$2:$N$9,MATCH($B18&amp;$C18,$J$2:$J$9,0))))</f>
        <v>33.430661933407578</v>
      </c>
      <c r="U18" s="561">
        <f ca="1">SUM(OFFSET('Output data (results)'!$B$10,U$15-2000+INDEX($I$2:$I$4,MATCH($B$1,$H$2:$H$4,0)),INDEX($M$2:$M$9,MATCH($B18&amp;$C18,$J$2:$J$9,0)),1,INDEX($N$2:$N$9,MATCH($B18&amp;$C18,$J$2:$J$9,0))))</f>
        <v>33.53583960635283</v>
      </c>
      <c r="V18" s="561">
        <f ca="1">SUM(OFFSET('Output data (results)'!$B$10,V$15-2000+INDEX($I$2:$I$4,MATCH($B$1,$H$2:$H$4,0)),INDEX($M$2:$M$9,MATCH($B18&amp;$C18,$J$2:$J$9,0)),1,INDEX($N$2:$N$9,MATCH($B18&amp;$C18,$J$2:$J$9,0))))</f>
        <v>33.662639336938092</v>
      </c>
      <c r="W18" s="561">
        <f ca="1">SUM(OFFSET('Output data (results)'!$B$10,W$15-2000+INDEX($I$2:$I$4,MATCH($B$1,$H$2:$H$4,0)),INDEX($M$2:$M$9,MATCH($B18&amp;$C18,$J$2:$J$9,0)),1,INDEX($N$2:$N$9,MATCH($B18&amp;$C18,$J$2:$J$9,0))))</f>
        <v>33.839090628876995</v>
      </c>
      <c r="X18" s="561">
        <f ca="1">SUM(OFFSET('Output data (results)'!$B$10,X$15-2000+INDEX($I$2:$I$4,MATCH($B$1,$H$2:$H$4,0)),INDEX($M$2:$M$9,MATCH($B18&amp;$C18,$J$2:$J$9,0)),1,INDEX($N$2:$N$9,MATCH($B18&amp;$C18,$J$2:$J$9,0))))</f>
        <v>34.002302447798847</v>
      </c>
      <c r="Y18" s="561">
        <f ca="1">SUM(OFFSET('Output data (results)'!$B$10,Y$15-2000+INDEX($I$2:$I$4,MATCH($B$1,$H$2:$H$4,0)),INDEX($M$2:$M$9,MATCH($B18&amp;$C18,$J$2:$J$9,0)),1,INDEX($N$2:$N$9,MATCH($B18&amp;$C18,$J$2:$J$9,0))))</f>
        <v>34.195489383756104</v>
      </c>
      <c r="Z18" s="561">
        <f ca="1">SUM(OFFSET('Output data (results)'!$B$10,Z$15-2000+INDEX($I$2:$I$4,MATCH($B$1,$H$2:$H$4,0)),INDEX($M$2:$M$9,MATCH($B18&amp;$C18,$J$2:$J$9,0)),1,INDEX($N$2:$N$9,MATCH($B18&amp;$C18,$J$2:$J$9,0))))</f>
        <v>34.43798644364832</v>
      </c>
      <c r="AA18" s="561">
        <f ca="1">SUM(OFFSET('Output data (results)'!$B$10,AA$15-2000+INDEX($I$2:$I$4,MATCH($B$1,$H$2:$H$4,0)),INDEX($M$2:$M$9,MATCH($B18&amp;$C18,$J$2:$J$9,0)),1,INDEX($N$2:$N$9,MATCH($B18&amp;$C18,$J$2:$J$9,0))))</f>
        <v>34.636707442691538</v>
      </c>
      <c r="AB18" s="561">
        <f ca="1">SUM(OFFSET('Output data (results)'!$B$10,AB$15-2000+INDEX($I$2:$I$4,MATCH($B$1,$H$2:$H$4,0)),INDEX($M$2:$M$9,MATCH($B18&amp;$C18,$J$2:$J$9,0)),1,INDEX($N$2:$N$9,MATCH($B18&amp;$C18,$J$2:$J$9,0))))</f>
        <v>34.837053734510711</v>
      </c>
      <c r="AC18" s="561">
        <f ca="1">SUM(OFFSET('Output data (results)'!$B$10,AC$15-2000+INDEX($I$2:$I$4,MATCH($B$1,$H$2:$H$4,0)),INDEX($M$2:$M$9,MATCH($B18&amp;$C18,$J$2:$J$9,0)),1,INDEX($N$2:$N$9,MATCH($B18&amp;$C18,$J$2:$J$9,0))))</f>
        <v>35.077865360424298</v>
      </c>
      <c r="AD18" s="561">
        <f ca="1">SUM(OFFSET('Output data (results)'!$B$10,AD$15-2000+INDEX($I$2:$I$4,MATCH($B$1,$H$2:$H$4,0)),INDEX($M$2:$M$9,MATCH($B18&amp;$C18,$J$2:$J$9,0)),1,INDEX($N$2:$N$9,MATCH($B18&amp;$C18,$J$2:$J$9,0))))</f>
        <v>35.334235607678202</v>
      </c>
      <c r="AE18" s="561">
        <f ca="1">SUM(OFFSET('Output data (results)'!$B$10,AE$15-2000+INDEX($I$2:$I$4,MATCH($B$1,$H$2:$H$4,0)),INDEX($M$2:$M$9,MATCH($B18&amp;$C18,$J$2:$J$9,0)),1,INDEX($N$2:$N$9,MATCH($B18&amp;$C18,$J$2:$J$9,0))))</f>
        <v>35.606463614905017</v>
      </c>
      <c r="AF18" s="561">
        <f ca="1">SUM(OFFSET('Output data (results)'!$B$10,AF$15-2000+INDEX($I$2:$I$4,MATCH($B$1,$H$2:$H$4,0)),INDEX($M$2:$M$9,MATCH($B18&amp;$C18,$J$2:$J$9,0)),1,INDEX($N$2:$N$9,MATCH($B18&amp;$C18,$J$2:$J$9,0))))</f>
        <v>35.890855745252068</v>
      </c>
      <c r="AG18" s="561">
        <f ca="1">SUM(OFFSET('Output data (results)'!$B$10,AG$15-2000+INDEX($I$2:$I$4,MATCH($B$1,$H$2:$H$4,0)),INDEX($M$2:$M$9,MATCH($B18&amp;$C18,$J$2:$J$9,0)),1,INDEX($N$2:$N$9,MATCH($B18&amp;$C18,$J$2:$J$9,0))))</f>
        <v>36.184763587483737</v>
      </c>
      <c r="AH18" s="561">
        <f ca="1">SUM(OFFSET('Output data (results)'!$B$10,AH$15-2000+INDEX($I$2:$I$4,MATCH($B$1,$H$2:$H$4,0)),INDEX($M$2:$M$9,MATCH($B18&amp;$C18,$J$2:$J$9,0)),1,INDEX($N$2:$N$9,MATCH($B18&amp;$C18,$J$2:$J$9,0))))</f>
        <v>36.460561606043974</v>
      </c>
      <c r="AI18" s="561">
        <f ca="1">SUM(OFFSET('Output data (results)'!$B$10,AI$15-2000+INDEX($I$2:$I$4,MATCH($B$1,$H$2:$H$4,0)),INDEX($M$2:$M$9,MATCH($B18&amp;$C18,$J$2:$J$9,0)),1,INDEX($N$2:$N$9,MATCH($B18&amp;$C18,$J$2:$J$9,0))))</f>
        <v>36.742200718016434</v>
      </c>
      <c r="AJ18" s="561">
        <f ca="1">SUM(OFFSET('Output data (results)'!$B$10,AJ$15-2000+INDEX($I$2:$I$4,MATCH($B$1,$H$2:$H$4,0)),INDEX($M$2:$M$9,MATCH($B18&amp;$C18,$J$2:$J$9,0)),1,INDEX($N$2:$N$9,MATCH($B18&amp;$C18,$J$2:$J$9,0))))</f>
        <v>37.029987189378431</v>
      </c>
      <c r="AK18" s="561">
        <f ca="1">SUM(OFFSET('Output data (results)'!$B$10,AK$15-2000+INDEX($I$2:$I$4,MATCH($B$1,$H$2:$H$4,0)),INDEX($M$2:$M$9,MATCH($B18&amp;$C18,$J$2:$J$9,0)),1,INDEX($N$2:$N$9,MATCH($B18&amp;$C18,$J$2:$J$9,0))))</f>
        <v>37.330909414645674</v>
      </c>
      <c r="AL18" s="561">
        <f ca="1">SUM(OFFSET('Output data (results)'!$B$10,AL$15-2000+INDEX($I$2:$I$4,MATCH($B$1,$H$2:$H$4,0)),INDEX($M$2:$M$9,MATCH($B18&amp;$C18,$J$2:$J$9,0)),1,INDEX($N$2:$N$9,MATCH($B18&amp;$C18,$J$2:$J$9,0))))</f>
        <v>37.639687694915693</v>
      </c>
      <c r="AM18" s="561">
        <f ca="1">SUM(OFFSET('Output data (results)'!$B$10,AM$15-2000+INDEX($I$2:$I$4,MATCH($B$1,$H$2:$H$4,0)),INDEX($M$2:$M$9,MATCH($B18&amp;$C18,$J$2:$J$9,0)),1,INDEX($N$2:$N$9,MATCH($B18&amp;$C18,$J$2:$J$9,0))))</f>
        <v>37.82944515979618</v>
      </c>
      <c r="AN18" s="561">
        <f ca="1">SUM(OFFSET('Output data (results)'!$B$10,AN$15-2000+INDEX($I$2:$I$4,MATCH($B$1,$H$2:$H$4,0)),INDEX($M$2:$M$9,MATCH($B18&amp;$C18,$J$2:$J$9,0)),1,INDEX($N$2:$N$9,MATCH($B18&amp;$C18,$J$2:$J$9,0))))</f>
        <v>38.001594465568495</v>
      </c>
      <c r="AO18" s="561">
        <f ca="1">SUM(OFFSET('Output data (results)'!$B$10,AO$15-2000+INDEX($I$2:$I$4,MATCH($B$1,$H$2:$H$4,0)),INDEX($M$2:$M$9,MATCH($B18&amp;$C18,$J$2:$J$9,0)),1,INDEX($N$2:$N$9,MATCH($B18&amp;$C18,$J$2:$J$9,0))))</f>
        <v>38.185037926369276</v>
      </c>
      <c r="AP18" s="561">
        <f ca="1">SUM(OFFSET('Output data (results)'!$B$10,AP$15-2000+INDEX($I$2:$I$4,MATCH($B$1,$H$2:$H$4,0)),INDEX($M$2:$M$9,MATCH($B18&amp;$C18,$J$2:$J$9,0)),1,INDEX($N$2:$N$9,MATCH($B18&amp;$C18,$J$2:$J$9,0))))</f>
        <v>38.356178081176118</v>
      </c>
    </row>
    <row r="19" spans="1:42">
      <c r="A19" s="10" t="s">
        <v>674</v>
      </c>
      <c r="B19" t="s">
        <v>679</v>
      </c>
      <c r="C19" t="s">
        <v>188</v>
      </c>
      <c r="D19" s="1163">
        <f ca="1">SUM(OFFSET('Output data (results)'!$B$10,D$15-2000,INDEX($M$2:$M$9,MATCH($B19&amp;$C19,$J$2:$J$9,0)),1,INDEX($N$2:$N$9,MATCH($B19&amp;$C19,$J$2:$J$9,0))))</f>
        <v>10.819392594545473</v>
      </c>
      <c r="E19" s="1163">
        <f ca="1">SUM(OFFSET('Output data (results)'!$B$10,E$15-2000,INDEX($M$2:$M$9,MATCH($B19&amp;$C19,$J$2:$J$9,0)),1,INDEX($N$2:$N$9,MATCH($B19&amp;$C19,$J$2:$J$9,0))))</f>
        <v>10.981918237456981</v>
      </c>
      <c r="F19" s="1163">
        <f ca="1">SUM(OFFSET('Output data (results)'!$B$10,F$15-2000,INDEX($M$2:$M$9,MATCH($B19&amp;$C19,$J$2:$J$9,0)),1,INDEX($N$2:$N$9,MATCH($B19&amp;$C19,$J$2:$J$9,0))))</f>
        <v>11.118551723580275</v>
      </c>
      <c r="G19" s="1163">
        <f ca="1">SUM(OFFSET('Output data (results)'!$B$10,G$15-2000,INDEX($M$2:$M$9,MATCH($B19&amp;$C19,$J$2:$J$9,0)),1,INDEX($N$2:$N$9,MATCH($B19&amp;$C19,$J$2:$J$9,0))))</f>
        <v>11.228037760793502</v>
      </c>
      <c r="H19" s="1163">
        <f ca="1">SUM(OFFSET('Output data (results)'!$B$10,H$15-2000,INDEX($M$2:$M$9,MATCH($B19&amp;$C19,$J$2:$J$9,0)),1,INDEX($N$2:$N$9,MATCH($B19&amp;$C19,$J$2:$J$9,0))))</f>
        <v>11.309021394626923</v>
      </c>
      <c r="I19" s="1163">
        <f ca="1">SUM(OFFSET('Output data (results)'!$B$10,I$15-2000,INDEX($M$2:$M$9,MATCH($B19&amp;$C19,$J$2:$J$9,0)),1,INDEX($N$2:$N$9,MATCH($B19&amp;$C19,$J$2:$J$9,0))))</f>
        <v>11.360041269191125</v>
      </c>
      <c r="J19" s="561">
        <f ca="1">SUM(OFFSET('Output data (results)'!$B$10,J$15-2000+INDEX($I$2:$I$4,MATCH($B$1,$H$2:$H$4,0)),INDEX($M$2:$M$9,MATCH($B19&amp;$C19,$J$2:$J$9,0)),1,INDEX($N$2:$N$9,MATCH($B19&amp;$C19,$J$2:$J$9,0))))</f>
        <v>11.066647744235141</v>
      </c>
      <c r="K19" s="561">
        <f ca="1">SUM(OFFSET('Output data (results)'!$B$10,K$15-2000+INDEX($I$2:$I$4,MATCH($B$1,$H$2:$H$4,0)),INDEX($M$2:$M$9,MATCH($B19&amp;$C19,$J$2:$J$9,0)),1,INDEX($N$2:$N$9,MATCH($B19&amp;$C19,$J$2:$J$9,0))))</f>
        <v>10.779294799344312</v>
      </c>
      <c r="L19" s="561">
        <f ca="1">SUM(OFFSET('Output data (results)'!$B$10,L$15-2000+INDEX($I$2:$I$4,MATCH($B$1,$H$2:$H$4,0)),INDEX($M$2:$M$9,MATCH($B19&amp;$C19,$J$2:$J$9,0)),1,INDEX($N$2:$N$9,MATCH($B19&amp;$C19,$J$2:$J$9,0))))</f>
        <v>10.497796427605877</v>
      </c>
      <c r="M19" s="561">
        <f ca="1">SUM(OFFSET('Output data (results)'!$B$10,M$15-2000+INDEX($I$2:$I$4,MATCH($B$1,$H$2:$H$4,0)),INDEX($M$2:$M$9,MATCH($B19&amp;$C19,$J$2:$J$9,0)),1,INDEX($N$2:$N$9,MATCH($B19&amp;$C19,$J$2:$J$9,0))))</f>
        <v>10.225262435352905</v>
      </c>
      <c r="N19" s="561">
        <f ca="1">SUM(OFFSET('Output data (results)'!$B$10,N$15-2000+INDEX($I$2:$I$4,MATCH($B$1,$H$2:$H$4,0)),INDEX($M$2:$M$9,MATCH($B19&amp;$C19,$J$2:$J$9,0)),1,INDEX($N$2:$N$9,MATCH($B19&amp;$C19,$J$2:$J$9,0))))</f>
        <v>9.9610851352197987</v>
      </c>
      <c r="O19" s="561">
        <f ca="1">SUM(OFFSET('Output data (results)'!$B$10,O$15-2000+INDEX($I$2:$I$4,MATCH($B$1,$H$2:$H$4,0)),INDEX($M$2:$M$9,MATCH($B19&amp;$C19,$J$2:$J$9,0)),1,INDEX($N$2:$N$9,MATCH($B19&amp;$C19,$J$2:$J$9,0))))</f>
        <v>9.70577372236915</v>
      </c>
      <c r="P19" s="561">
        <f ca="1">SUM(OFFSET('Output data (results)'!$B$10,P$15-2000+INDEX($I$2:$I$4,MATCH($B$1,$H$2:$H$4,0)),INDEX($M$2:$M$9,MATCH($B19&amp;$C19,$J$2:$J$9,0)),1,INDEX($N$2:$N$9,MATCH($B19&amp;$C19,$J$2:$J$9,0))))</f>
        <v>9.4586478530217164</v>
      </c>
      <c r="Q19" s="561">
        <f ca="1">SUM(OFFSET('Output data (results)'!$B$10,Q$15-2000+INDEX($I$2:$I$4,MATCH($B$1,$H$2:$H$4,0)),INDEX($M$2:$M$9,MATCH($B19&amp;$C19,$J$2:$J$9,0)),1,INDEX($N$2:$N$9,MATCH($B19&amp;$C19,$J$2:$J$9,0))))</f>
        <v>9.2197156574950636</v>
      </c>
      <c r="R19" s="561">
        <f ca="1">SUM(OFFSET('Output data (results)'!$B$10,R$15-2000+INDEX($I$2:$I$4,MATCH($B$1,$H$2:$H$4,0)),INDEX($M$2:$M$9,MATCH($B19&amp;$C19,$J$2:$J$9,0)),1,INDEX($N$2:$N$9,MATCH($B19&amp;$C19,$J$2:$J$9,0))))</f>
        <v>8.9889861968589706</v>
      </c>
      <c r="S19" s="561">
        <f ca="1">SUM(OFFSET('Output data (results)'!$B$10,S$15-2000+INDEX($I$2:$I$4,MATCH($B$1,$H$2:$H$4,0)),INDEX($M$2:$M$9,MATCH($B19&amp;$C19,$J$2:$J$9,0)),1,INDEX($N$2:$N$9,MATCH($B19&amp;$C19,$J$2:$J$9,0))))</f>
        <v>8.7664709924555861</v>
      </c>
      <c r="T19" s="561">
        <f ca="1">SUM(OFFSET('Output data (results)'!$B$10,T$15-2000+INDEX($I$2:$I$4,MATCH($B$1,$H$2:$H$4,0)),INDEX($M$2:$M$9,MATCH($B19&amp;$C19,$J$2:$J$9,0)),1,INDEX($N$2:$N$9,MATCH($B19&amp;$C19,$J$2:$J$9,0))))</f>
        <v>8.2860054215164975</v>
      </c>
      <c r="U19" s="561">
        <f ca="1">SUM(OFFSET('Output data (results)'!$B$10,U$15-2000+INDEX($I$2:$I$4,MATCH($B$1,$H$2:$H$4,0)),INDEX($M$2:$M$9,MATCH($B19&amp;$C19,$J$2:$J$9,0)),1,INDEX($N$2:$N$9,MATCH($B19&amp;$C19,$J$2:$J$9,0))))</f>
        <v>7.8328010313776613</v>
      </c>
      <c r="V19" s="561">
        <f ca="1">SUM(OFFSET('Output data (results)'!$B$10,V$15-2000+INDEX($I$2:$I$4,MATCH($B$1,$H$2:$H$4,0)),INDEX($M$2:$M$9,MATCH($B19&amp;$C19,$J$2:$J$9,0)),1,INDEX($N$2:$N$9,MATCH($B19&amp;$C19,$J$2:$J$9,0))))</f>
        <v>7.4052361612654583</v>
      </c>
      <c r="W19" s="561">
        <f ca="1">SUM(OFFSET('Output data (results)'!$B$10,W$15-2000+INDEX($I$2:$I$4,MATCH($B$1,$H$2:$H$4,0)),INDEX($M$2:$M$9,MATCH($B19&amp;$C19,$J$2:$J$9,0)),1,INDEX($N$2:$N$9,MATCH($B19&amp;$C19,$J$2:$J$9,0))))</f>
        <v>7.0355903167236438</v>
      </c>
      <c r="X19" s="561">
        <f ca="1">SUM(OFFSET('Output data (results)'!$B$10,X$15-2000+INDEX($I$2:$I$4,MATCH($B$1,$H$2:$H$4,0)),INDEX($M$2:$M$9,MATCH($B19&amp;$C19,$J$2:$J$9,0)),1,INDEX($N$2:$N$9,MATCH($B19&amp;$C19,$J$2:$J$9,0))))</f>
        <v>6.6686087848965467</v>
      </c>
      <c r="Y19" s="561">
        <f ca="1">SUM(OFFSET('Output data (results)'!$B$10,Y$15-2000+INDEX($I$2:$I$4,MATCH($B$1,$H$2:$H$4,0)),INDEX($M$2:$M$9,MATCH($B19&amp;$C19,$J$2:$J$9,0)),1,INDEX($N$2:$N$9,MATCH($B19&amp;$C19,$J$2:$J$9,0))))</f>
        <v>6.3041459758294183</v>
      </c>
      <c r="Z19" s="561">
        <f ca="1">SUM(OFFSET('Output data (results)'!$B$10,Z$15-2000+INDEX($I$2:$I$4,MATCH($B$1,$H$2:$H$4,0)),INDEX($M$2:$M$9,MATCH($B19&amp;$C19,$J$2:$J$9,0)),1,INDEX($N$2:$N$9,MATCH($B19&amp;$C19,$J$2:$J$9,0))))</f>
        <v>5.942029100082336</v>
      </c>
      <c r="AA19" s="561">
        <f ca="1">SUM(OFFSET('Output data (results)'!$B$10,AA$15-2000+INDEX($I$2:$I$4,MATCH($B$1,$H$2:$H$4,0)),INDEX($M$2:$M$9,MATCH($B19&amp;$C19,$J$2:$J$9,0)),1,INDEX($N$2:$N$9,MATCH($B19&amp;$C19,$J$2:$J$9,0))))</f>
        <v>5.5821326758747709</v>
      </c>
      <c r="AB19" s="561">
        <f ca="1">SUM(OFFSET('Output data (results)'!$B$10,AB$15-2000+INDEX($I$2:$I$4,MATCH($B$1,$H$2:$H$4,0)),INDEX($M$2:$M$9,MATCH($B19&amp;$C19,$J$2:$J$9,0)),1,INDEX($N$2:$N$9,MATCH($B19&amp;$C19,$J$2:$J$9,0))))</f>
        <v>5.2243366645737792</v>
      </c>
      <c r="AC19" s="561">
        <f ca="1">SUM(OFFSET('Output data (results)'!$B$10,AC$15-2000+INDEX($I$2:$I$4,MATCH($B$1,$H$2:$H$4,0)),INDEX($M$2:$M$9,MATCH($B19&amp;$C19,$J$2:$J$9,0)),1,INDEX($N$2:$N$9,MATCH($B19&amp;$C19,$J$2:$J$9,0))))</f>
        <v>5.0973408053128288</v>
      </c>
      <c r="AD19" s="561">
        <f ca="1">SUM(OFFSET('Output data (results)'!$B$10,AD$15-2000+INDEX($I$2:$I$4,MATCH($B$1,$H$2:$H$4,0)),INDEX($M$2:$M$9,MATCH($B19&amp;$C19,$J$2:$J$9,0)),1,INDEX($N$2:$N$9,MATCH($B19&amp;$C19,$J$2:$J$9,0))))</f>
        <v>4.8689984470480265</v>
      </c>
      <c r="AE19" s="561">
        <f ca="1">SUM(OFFSET('Output data (results)'!$B$10,AE$15-2000+INDEX($I$2:$I$4,MATCH($B$1,$H$2:$H$4,0)),INDEX($M$2:$M$9,MATCH($B19&amp;$C19,$J$2:$J$9,0)),1,INDEX($N$2:$N$9,MATCH($B19&amp;$C19,$J$2:$J$9,0))))</f>
        <v>4.6419303978636588</v>
      </c>
      <c r="AF19" s="561">
        <f ca="1">SUM(OFFSET('Output data (results)'!$B$10,AF$15-2000+INDEX($I$2:$I$4,MATCH($B$1,$H$2:$H$4,0)),INDEX($M$2:$M$9,MATCH($B19&amp;$C19,$J$2:$J$9,0)),1,INDEX($N$2:$N$9,MATCH($B19&amp;$C19,$J$2:$J$9,0))))</f>
        <v>4.4160717891932046</v>
      </c>
      <c r="AG19" s="561">
        <f ca="1">SUM(OFFSET('Output data (results)'!$B$10,AG$15-2000+INDEX($I$2:$I$4,MATCH($B$1,$H$2:$H$4,0)),INDEX($M$2:$M$9,MATCH($B19&amp;$C19,$J$2:$J$9,0)),1,INDEX($N$2:$N$9,MATCH($B19&amp;$C19,$J$2:$J$9,0))))</f>
        <v>4.1913602616858698</v>
      </c>
      <c r="AH19" s="561">
        <f ca="1">SUM(OFFSET('Output data (results)'!$B$10,AH$15-2000+INDEX($I$2:$I$4,MATCH($B$1,$H$2:$H$4,0)),INDEX($M$2:$M$9,MATCH($B19&amp;$C19,$J$2:$J$9,0)),1,INDEX($N$2:$N$9,MATCH($B19&amp;$C19,$J$2:$J$9,0))))</f>
        <v>3.9677358095470314</v>
      </c>
      <c r="AI19" s="561">
        <f ca="1">SUM(OFFSET('Output data (results)'!$B$10,AI$15-2000+INDEX($I$2:$I$4,MATCH($B$1,$H$2:$H$4,0)),INDEX($M$2:$M$9,MATCH($B19&amp;$C19,$J$2:$J$9,0)),1,INDEX($N$2:$N$9,MATCH($B19&amp;$C19,$J$2:$J$9,0))))</f>
        <v>3.7451406339806237</v>
      </c>
      <c r="AJ19" s="561">
        <f ca="1">SUM(OFFSET('Output data (results)'!$B$10,AJ$15-2000+INDEX($I$2:$I$4,MATCH($B$1,$H$2:$H$4,0)),INDEX($M$2:$M$9,MATCH($B19&amp;$C19,$J$2:$J$9,0)),1,INDEX($N$2:$N$9,MATCH($B19&amp;$C19,$J$2:$J$9,0))))</f>
        <v>3.5235182341155764</v>
      </c>
      <c r="AK19" s="561">
        <f ca="1">SUM(OFFSET('Output data (results)'!$B$10,AK$15-2000+INDEX($I$2:$I$4,MATCH($B$1,$H$2:$H$4,0)),INDEX($M$2:$M$9,MATCH($B19&amp;$C19,$J$2:$J$9,0)),1,INDEX($N$2:$N$9,MATCH($B19&amp;$C19,$J$2:$J$9,0))))</f>
        <v>3.3028149784945313</v>
      </c>
      <c r="AL19" s="561">
        <f ca="1">SUM(OFFSET('Output data (results)'!$B$10,AL$15-2000+INDEX($I$2:$I$4,MATCH($B$1,$H$2:$H$4,0)),INDEX($M$2:$M$9,MATCH($B19&amp;$C19,$J$2:$J$9,0)),1,INDEX($N$2:$N$9,MATCH($B19&amp;$C19,$J$2:$J$9,0))))</f>
        <v>3.0829790442898553</v>
      </c>
      <c r="AM19" s="561">
        <f ca="1">SUM(OFFSET('Output data (results)'!$B$10,AM$15-2000+INDEX($I$2:$I$4,MATCH($B$1,$H$2:$H$4,0)),INDEX($M$2:$M$9,MATCH($B19&amp;$C19,$J$2:$J$9,0)),1,INDEX($N$2:$N$9,MATCH($B19&amp;$C19,$J$2:$J$9,0))))</f>
        <v>2.8639603013196191</v>
      </c>
      <c r="AN19" s="561">
        <f ca="1">SUM(OFFSET('Output data (results)'!$B$10,AN$15-2000+INDEX($I$2:$I$4,MATCH($B$1,$H$2:$H$4,0)),INDEX($M$2:$M$9,MATCH($B19&amp;$C19,$J$2:$J$9,0)),1,INDEX($N$2:$N$9,MATCH($B19&amp;$C19,$J$2:$J$9,0))))</f>
        <v>2.8602272455296589</v>
      </c>
      <c r="AO19" s="561">
        <f ca="1">SUM(OFFSET('Output data (results)'!$B$10,AO$15-2000+INDEX($I$2:$I$4,MATCH($B$1,$H$2:$H$4,0)),INDEX($M$2:$M$9,MATCH($B19&amp;$C19,$J$2:$J$9,0)),1,INDEX($N$2:$N$9,MATCH($B19&amp;$C19,$J$2:$J$9,0))))</f>
        <v>2.8566863020543547</v>
      </c>
      <c r="AP19" s="561">
        <f ca="1">SUM(OFFSET('Output data (results)'!$B$10,AP$15-2000+INDEX($I$2:$I$4,MATCH($B$1,$H$2:$H$4,0)),INDEX($M$2:$M$9,MATCH($B19&amp;$C19,$J$2:$J$9,0)),1,INDEX($N$2:$N$9,MATCH($B19&amp;$C19,$J$2:$J$9,0))))</f>
        <v>2.8533336770863817</v>
      </c>
    </row>
    <row r="20" spans="1:42">
      <c r="A20" s="10" t="s">
        <v>675</v>
      </c>
      <c r="B20" t="s">
        <v>680</v>
      </c>
      <c r="C20" t="s">
        <v>188</v>
      </c>
      <c r="D20" s="1163">
        <f ca="1">SUM(OFFSET('Output data (results)'!$B$10,D$15-2000,INDEX($M$2:$M$9,MATCH($B20&amp;$C20,$J$2:$J$9,0)),1,INDEX($N$2:$N$9,MATCH($B20&amp;$C20,$J$2:$J$9,0))))</f>
        <v>121.42022721713889</v>
      </c>
      <c r="E20" s="1163">
        <f ca="1">SUM(OFFSET('Output data (results)'!$B$10,E$15-2000,INDEX($M$2:$M$9,MATCH($B20&amp;$C20,$J$2:$J$9,0)),1,INDEX($N$2:$N$9,MATCH($B20&amp;$C20,$J$2:$J$9,0))))</f>
        <v>123.22777500074881</v>
      </c>
      <c r="F20" s="1163">
        <f ca="1">SUM(OFFSET('Output data (results)'!$B$10,F$15-2000,INDEX($M$2:$M$9,MATCH($B20&amp;$C20,$J$2:$J$9,0)),1,INDEX($N$2:$N$9,MATCH($B20&amp;$C20,$J$2:$J$9,0))))</f>
        <v>125.10267629930888</v>
      </c>
      <c r="G20" s="1163">
        <f ca="1">SUM(OFFSET('Output data (results)'!$B$10,G$15-2000,INDEX($M$2:$M$9,MATCH($B20&amp;$C20,$J$2:$J$9,0)),1,INDEX($N$2:$N$9,MATCH($B20&amp;$C20,$J$2:$J$9,0))))</f>
        <v>127.04753208598689</v>
      </c>
      <c r="H20" s="1163">
        <f ca="1">SUM(OFFSET('Output data (results)'!$B$10,H$15-2000,INDEX($M$2:$M$9,MATCH($B20&amp;$C20,$J$2:$J$9,0)),1,INDEX($N$2:$N$9,MATCH($B20&amp;$C20,$J$2:$J$9,0))))</f>
        <v>129.06507290384971</v>
      </c>
      <c r="I20" s="1163">
        <f ca="1">SUM(OFFSET('Output data (results)'!$B$10,I$15-2000,INDEX($M$2:$M$9,MATCH($B20&amp;$C20,$J$2:$J$9,0)),1,INDEX($N$2:$N$9,MATCH($B20&amp;$C20,$J$2:$J$9,0))))</f>
        <v>131.15816527384879</v>
      </c>
      <c r="J20" s="561">
        <f ca="1">SUM(OFFSET('Output data (results)'!$B$10,J$15-2000+INDEX($I$2:$I$4,MATCH($B$1,$H$2:$H$4,0)),INDEX($M$2:$M$9,MATCH($B20&amp;$C20,$J$2:$J$9,0)),1,INDEX($N$2:$N$9,MATCH($B20&amp;$C20,$J$2:$J$9,0))))</f>
        <v>134.80821026422416</v>
      </c>
      <c r="K20" s="561">
        <f ca="1">SUM(OFFSET('Output data (results)'!$B$10,K$15-2000+INDEX($I$2:$I$4,MATCH($B$1,$H$2:$H$4,0)),INDEX($M$2:$M$9,MATCH($B20&amp;$C20,$J$2:$J$9,0)),1,INDEX($N$2:$N$9,MATCH($B20&amp;$C20,$J$2:$J$9,0))))</f>
        <v>138.54200894277699</v>
      </c>
      <c r="L20" s="561">
        <f ca="1">SUM(OFFSET('Output data (results)'!$B$10,L$15-2000+INDEX($I$2:$I$4,MATCH($B$1,$H$2:$H$4,0)),INDEX($M$2:$M$9,MATCH($B20&amp;$C20,$J$2:$J$9,0)),1,INDEX($N$2:$N$9,MATCH($B20&amp;$C20,$J$2:$J$9,0))))</f>
        <v>142.36131561162929</v>
      </c>
      <c r="M20" s="561">
        <f ca="1">SUM(OFFSET('Output data (results)'!$B$10,M$15-2000+INDEX($I$2:$I$4,MATCH($B$1,$H$2:$H$4,0)),INDEX($M$2:$M$9,MATCH($B20&amp;$C20,$J$2:$J$9,0)),1,INDEX($N$2:$N$9,MATCH($B20&amp;$C20,$J$2:$J$9,0))))</f>
        <v>145.8554935003541</v>
      </c>
      <c r="N20" s="561">
        <f ca="1">SUM(OFFSET('Output data (results)'!$B$10,N$15-2000+INDEX($I$2:$I$4,MATCH($B$1,$H$2:$H$4,0)),INDEX($M$2:$M$9,MATCH($B20&amp;$C20,$J$2:$J$9,0)),1,INDEX($N$2:$N$9,MATCH($B20&amp;$C20,$J$2:$J$9,0))))</f>
        <v>149.28011052683274</v>
      </c>
      <c r="O20" s="561">
        <f ca="1">SUM(OFFSET('Output data (results)'!$B$10,O$15-2000+INDEX($I$2:$I$4,MATCH($B$1,$H$2:$H$4,0)),INDEX($M$2:$M$9,MATCH($B20&amp;$C20,$J$2:$J$9,0)),1,INDEX($N$2:$N$9,MATCH($B20&amp;$C20,$J$2:$J$9,0))))</f>
        <v>152.62659791862941</v>
      </c>
      <c r="P20" s="561">
        <f ca="1">SUM(OFFSET('Output data (results)'!$B$10,P$15-2000+INDEX($I$2:$I$4,MATCH($B$1,$H$2:$H$4,0)),INDEX($M$2:$M$9,MATCH($B20&amp;$C20,$J$2:$J$9,0)),1,INDEX($N$2:$N$9,MATCH($B20&amp;$C20,$J$2:$J$9,0))))</f>
        <v>155.97867704009508</v>
      </c>
      <c r="Q20" s="561">
        <f ca="1">SUM(OFFSET('Output data (results)'!$B$10,Q$15-2000+INDEX($I$2:$I$4,MATCH($B$1,$H$2:$H$4,0)),INDEX($M$2:$M$9,MATCH($B20&amp;$C20,$J$2:$J$9,0)),1,INDEX($N$2:$N$9,MATCH($B20&amp;$C20,$J$2:$J$9,0))))</f>
        <v>159.3338256616378</v>
      </c>
      <c r="R20" s="561">
        <f ca="1">SUM(OFFSET('Output data (results)'!$B$10,R$15-2000+INDEX($I$2:$I$4,MATCH($B$1,$H$2:$H$4,0)),INDEX($M$2:$M$9,MATCH($B20&amp;$C20,$J$2:$J$9,0)),1,INDEX($N$2:$N$9,MATCH($B20&amp;$C20,$J$2:$J$9,0))))</f>
        <v>162.68947382129002</v>
      </c>
      <c r="S20" s="561">
        <f ca="1">SUM(OFFSET('Output data (results)'!$B$10,S$15-2000+INDEX($I$2:$I$4,MATCH($B$1,$H$2:$H$4,0)),INDEX($M$2:$M$9,MATCH($B20&amp;$C20,$J$2:$J$9,0)),1,INDEX($N$2:$N$9,MATCH($B20&amp;$C20,$J$2:$J$9,0))))</f>
        <v>166.04300689775917</v>
      </c>
      <c r="T20" s="561">
        <f ca="1">SUM(OFFSET('Output data (results)'!$B$10,T$15-2000+INDEX($I$2:$I$4,MATCH($B$1,$H$2:$H$4,0)),INDEX($M$2:$M$9,MATCH($B20&amp;$C20,$J$2:$J$9,0)),1,INDEX($N$2:$N$9,MATCH($B20&amp;$C20,$J$2:$J$9,0))))</f>
        <v>169.39176881605974</v>
      </c>
      <c r="U20" s="561">
        <f ca="1">SUM(OFFSET('Output data (results)'!$B$10,U$15-2000+INDEX($I$2:$I$4,MATCH($B$1,$H$2:$H$4,0)),INDEX($M$2:$M$9,MATCH($B20&amp;$C20,$J$2:$J$9,0)),1,INDEX($N$2:$N$9,MATCH($B20&amp;$C20,$J$2:$J$9,0))))</f>
        <v>172.74523259876619</v>
      </c>
      <c r="V20" s="561">
        <f ca="1">SUM(OFFSET('Output data (results)'!$B$10,V$15-2000+INDEX($I$2:$I$4,MATCH($B$1,$H$2:$H$4,0)),INDEX($M$2:$M$9,MATCH($B20&amp;$C20,$J$2:$J$9,0)),1,INDEX($N$2:$N$9,MATCH($B20&amp;$C20,$J$2:$J$9,0))))</f>
        <v>176.10138325378151</v>
      </c>
      <c r="W20" s="561">
        <f ca="1">SUM(OFFSET('Output data (results)'!$B$10,W$15-2000+INDEX($I$2:$I$4,MATCH($B$1,$H$2:$H$4,0)),INDEX($M$2:$M$9,MATCH($B20&amp;$C20,$J$2:$J$9,0)),1,INDEX($N$2:$N$9,MATCH($B20&amp;$C20,$J$2:$J$9,0))))</f>
        <v>179.4581726546424</v>
      </c>
      <c r="X20" s="561">
        <f ca="1">SUM(OFFSET('Output data (results)'!$B$10,X$15-2000+INDEX($I$2:$I$4,MATCH($B$1,$H$2:$H$4,0)),INDEX($M$2:$M$9,MATCH($B20&amp;$C20,$J$2:$J$9,0)),1,INDEX($N$2:$N$9,MATCH($B20&amp;$C20,$J$2:$J$9,0))))</f>
        <v>182.81352150458534</v>
      </c>
      <c r="Y20" s="561">
        <f ca="1">SUM(OFFSET('Output data (results)'!$B$10,Y$15-2000+INDEX($I$2:$I$4,MATCH($B$1,$H$2:$H$4,0)),INDEX($M$2:$M$9,MATCH($B20&amp;$C20,$J$2:$J$9,0)),1,INDEX($N$2:$N$9,MATCH($B20&amp;$C20,$J$2:$J$9,0))))</f>
        <v>186.16532137376296</v>
      </c>
      <c r="Z20" s="561">
        <f ca="1">SUM(OFFSET('Output data (results)'!$B$10,Z$15-2000+INDEX($I$2:$I$4,MATCH($B$1,$H$2:$H$4,0)),INDEX($M$2:$M$9,MATCH($B20&amp;$C20,$J$2:$J$9,0)),1,INDEX($N$2:$N$9,MATCH($B20&amp;$C20,$J$2:$J$9,0))))</f>
        <v>189.51516064563538</v>
      </c>
      <c r="AA20" s="561">
        <f ca="1">SUM(OFFSET('Output data (results)'!$B$10,AA$15-2000+INDEX($I$2:$I$4,MATCH($B$1,$H$2:$H$4,0)),INDEX($M$2:$M$9,MATCH($B20&amp;$C20,$J$2:$J$9,0)),1,INDEX($N$2:$N$9,MATCH($B20&amp;$C20,$J$2:$J$9,0))))</f>
        <v>192.86107792537675</v>
      </c>
      <c r="AB20" s="561">
        <f ca="1">SUM(OFFSET('Output data (results)'!$B$10,AB$15-2000+INDEX($I$2:$I$4,MATCH($B$1,$H$2:$H$4,0)),INDEX($M$2:$M$9,MATCH($B20&amp;$C20,$J$2:$J$9,0)),1,INDEX($N$2:$N$9,MATCH($B20&amp;$C20,$J$2:$J$9,0))))</f>
        <v>196.2010884025151</v>
      </c>
      <c r="AC20" s="561">
        <f ca="1">SUM(OFFSET('Output data (results)'!$B$10,AC$15-2000+INDEX($I$2:$I$4,MATCH($B$1,$H$2:$H$4,0)),INDEX($M$2:$M$9,MATCH($B20&amp;$C20,$J$2:$J$9,0)),1,INDEX($N$2:$N$9,MATCH($B20&amp;$C20,$J$2:$J$9,0))))</f>
        <v>199.53318573887742</v>
      </c>
      <c r="AD20" s="561">
        <f ca="1">SUM(OFFSET('Output data (results)'!$B$10,AD$15-2000+INDEX($I$2:$I$4,MATCH($B$1,$H$2:$H$4,0)),INDEX($M$2:$M$9,MATCH($B20&amp;$C20,$J$2:$J$9,0)),1,INDEX($N$2:$N$9,MATCH($B20&amp;$C20,$J$2:$J$9,0))))</f>
        <v>202.85534400917143</v>
      </c>
      <c r="AE20" s="561">
        <f ca="1">SUM(OFFSET('Output data (results)'!$B$10,AE$15-2000+INDEX($I$2:$I$4,MATCH($B$1,$H$2:$H$4,0)),INDEX($M$2:$M$9,MATCH($B20&amp;$C20,$J$2:$J$9,0)),1,INDEX($N$2:$N$9,MATCH($B20&amp;$C20,$J$2:$J$9,0))))</f>
        <v>206.16973227726049</v>
      </c>
      <c r="AF20" s="561">
        <f ca="1">SUM(OFFSET('Output data (results)'!$B$10,AF$15-2000+INDEX($I$2:$I$4,MATCH($B$1,$H$2:$H$4,0)),INDEX($M$2:$M$9,MATCH($B20&amp;$C20,$J$2:$J$9,0)),1,INDEX($N$2:$N$9,MATCH($B20&amp;$C20,$J$2:$J$9,0))))</f>
        <v>209.47449575093481</v>
      </c>
      <c r="AG20" s="561">
        <f ca="1">SUM(OFFSET('Output data (results)'!$B$10,AG$15-2000+INDEX($I$2:$I$4,MATCH($B$1,$H$2:$H$4,0)),INDEX($M$2:$M$9,MATCH($B20&amp;$C20,$J$2:$J$9,0)),1,INDEX($N$2:$N$9,MATCH($B20&amp;$C20,$J$2:$J$9,0))))</f>
        <v>212.76776459578866</v>
      </c>
      <c r="AH20" s="561">
        <f ca="1">SUM(OFFSET('Output data (results)'!$B$10,AH$15-2000+INDEX($I$2:$I$4,MATCH($B$1,$H$2:$H$4,0)),INDEX($M$2:$M$9,MATCH($B20&amp;$C20,$J$2:$J$9,0)),1,INDEX($N$2:$N$9,MATCH($B20&amp;$C20,$J$2:$J$9,0))))</f>
        <v>216.04765565344923</v>
      </c>
      <c r="AI20" s="561">
        <f ca="1">SUM(OFFSET('Output data (results)'!$B$10,AI$15-2000+INDEX($I$2:$I$4,MATCH($B$1,$H$2:$H$4,0)),INDEX($M$2:$M$9,MATCH($B20&amp;$C20,$J$2:$J$9,0)),1,INDEX($N$2:$N$9,MATCH($B20&amp;$C20,$J$2:$J$9,0))))</f>
        <v>219.31227419518692</v>
      </c>
      <c r="AJ20" s="561">
        <f ca="1">SUM(OFFSET('Output data (results)'!$B$10,AJ$15-2000+INDEX($I$2:$I$4,MATCH($B$1,$H$2:$H$4,0)),INDEX($M$2:$M$9,MATCH($B20&amp;$C20,$J$2:$J$9,0)),1,INDEX($N$2:$N$9,MATCH($B20&amp;$C20,$J$2:$J$9,0))))</f>
        <v>222.5598987753194</v>
      </c>
      <c r="AK20" s="561">
        <f ca="1">SUM(OFFSET('Output data (results)'!$B$10,AK$15-2000+INDEX($I$2:$I$4,MATCH($B$1,$H$2:$H$4,0)),INDEX($M$2:$M$9,MATCH($B20&amp;$C20,$J$2:$J$9,0)),1,INDEX($N$2:$N$9,MATCH($B20&amp;$C20,$J$2:$J$9,0))))</f>
        <v>225.78862496436287</v>
      </c>
      <c r="AL20" s="561">
        <f ca="1">SUM(OFFSET('Output data (results)'!$B$10,AL$15-2000+INDEX($I$2:$I$4,MATCH($B$1,$H$2:$H$4,0)),INDEX($M$2:$M$9,MATCH($B20&amp;$C20,$J$2:$J$9,0)),1,INDEX($N$2:$N$9,MATCH($B20&amp;$C20,$J$2:$J$9,0))))</f>
        <v>228.99654211456212</v>
      </c>
      <c r="AM20" s="561">
        <f ca="1">SUM(OFFSET('Output data (results)'!$B$10,AM$15-2000+INDEX($I$2:$I$4,MATCH($B$1,$H$2:$H$4,0)),INDEX($M$2:$M$9,MATCH($B20&amp;$C20,$J$2:$J$9,0)),1,INDEX($N$2:$N$9,MATCH($B20&amp;$C20,$J$2:$J$9,0))))</f>
        <v>232.18173521622998</v>
      </c>
      <c r="AN20" s="561">
        <f ca="1">SUM(OFFSET('Output data (results)'!$B$10,AN$15-2000+INDEX($I$2:$I$4,MATCH($B$1,$H$2:$H$4,0)),INDEX($M$2:$M$9,MATCH($B20&amp;$C20,$J$2:$J$9,0)),1,INDEX($N$2:$N$9,MATCH($B20&amp;$C20,$J$2:$J$9,0))))</f>
        <v>235.34228677758742</v>
      </c>
      <c r="AO20" s="561">
        <f ca="1">SUM(OFFSET('Output data (results)'!$B$10,AO$15-2000+INDEX($I$2:$I$4,MATCH($B$1,$H$2:$H$4,0)),INDEX($M$2:$M$9,MATCH($B20&amp;$C20,$J$2:$J$9,0)),1,INDEX($N$2:$N$9,MATCH($B20&amp;$C20,$J$2:$J$9,0))))</f>
        <v>238.4756378801587</v>
      </c>
      <c r="AP20" s="561">
        <f ca="1">SUM(OFFSET('Output data (results)'!$B$10,AP$15-2000+INDEX($I$2:$I$4,MATCH($B$1,$H$2:$H$4,0)),INDEX($M$2:$M$9,MATCH($B20&amp;$C20,$J$2:$J$9,0)),1,INDEX($N$2:$N$9,MATCH($B20&amp;$C20,$J$2:$J$9,0))))</f>
        <v>241.57984647045004</v>
      </c>
    </row>
    <row r="21" spans="1:42">
      <c r="A21" s="10" t="s">
        <v>676</v>
      </c>
      <c r="B21" t="s">
        <v>678</v>
      </c>
      <c r="C21" t="s">
        <v>191</v>
      </c>
      <c r="D21" s="1163">
        <f ca="1">SUM(OFFSET('Output data (results)'!$B$10,D$15-2000,INDEX($M$2:$M$9,MATCH($B21&amp;$C21,$J$2:$J$9,0)),1,INDEX($N$2:$N$9,MATCH($B21&amp;$C21,$J$2:$J$9,0))))</f>
        <v>0.80950612728087734</v>
      </c>
      <c r="E21" s="1163">
        <f ca="1">SUM(OFFSET('Output data (results)'!$B$10,E$15-2000,INDEX($M$2:$M$9,MATCH($B21&amp;$C21,$J$2:$J$9,0)),1,INDEX($N$2:$N$9,MATCH($B21&amp;$C21,$J$2:$J$9,0))))</f>
        <v>0.88555342828472039</v>
      </c>
      <c r="F21" s="1163">
        <f ca="1">SUM(OFFSET('Output data (results)'!$B$10,F$15-2000,INDEX($M$2:$M$9,MATCH($B21&amp;$C21,$J$2:$J$9,0)),1,INDEX($N$2:$N$9,MATCH($B21&amp;$C21,$J$2:$J$9,0))))</f>
        <v>0.95495152833656827</v>
      </c>
      <c r="G21" s="1163">
        <f ca="1">SUM(OFFSET('Output data (results)'!$B$10,G$15-2000,INDEX($M$2:$M$9,MATCH($B21&amp;$C21,$J$2:$J$9,0)),1,INDEX($N$2:$N$9,MATCH($B21&amp;$C21,$J$2:$J$9,0))))</f>
        <v>1.01842205283452</v>
      </c>
      <c r="H21" s="1163">
        <f ca="1">SUM(OFFSET('Output data (results)'!$B$10,H$15-2000,INDEX($M$2:$M$9,MATCH($B21&amp;$C21,$J$2:$J$9,0)),1,INDEX($N$2:$N$9,MATCH($B21&amp;$C21,$J$2:$J$9,0))))</f>
        <v>1.0757345093651158</v>
      </c>
      <c r="I21" s="1163">
        <f ca="1">SUM(OFFSET('Output data (results)'!$B$10,I$15-2000,INDEX($M$2:$M$9,MATCH($B21&amp;$C21,$J$2:$J$9,0)),1,INDEX($N$2:$N$9,MATCH($B21&amp;$C21,$J$2:$J$9,0))))</f>
        <v>1.1299025045628048</v>
      </c>
      <c r="J21" s="561">
        <f ca="1">SUM(OFFSET('Output data (results)'!$B$10,J$15-2000+INDEX($I$2:$I$4,MATCH($B$1,$H$2:$H$4,0)),INDEX($M$2:$M$9,MATCH($B21&amp;$C21,$J$2:$J$9,0)),1,INDEX($N$2:$N$9,MATCH($B21&amp;$C21,$J$2:$J$9,0))))</f>
        <v>1.2230505634295874</v>
      </c>
      <c r="K21" s="561">
        <f ca="1">SUM(OFFSET('Output data (results)'!$B$10,K$15-2000+INDEX($I$2:$I$4,MATCH($B$1,$H$2:$H$4,0)),INDEX($M$2:$M$9,MATCH($B21&amp;$C21,$J$2:$J$9,0)),1,INDEX($N$2:$N$9,MATCH($B21&amp;$C21,$J$2:$J$9,0))))</f>
        <v>1.2992896180954818</v>
      </c>
      <c r="L21" s="561">
        <f ca="1">SUM(OFFSET('Output data (results)'!$B$10,L$15-2000+INDEX($I$2:$I$4,MATCH($B$1,$H$2:$H$4,0)),INDEX($M$2:$M$9,MATCH($B21&amp;$C21,$J$2:$J$9,0)),1,INDEX($N$2:$N$9,MATCH($B21&amp;$C21,$J$2:$J$9,0))))</f>
        <v>1.349664643968483</v>
      </c>
      <c r="M21" s="561">
        <f ca="1">SUM(OFFSET('Output data (results)'!$B$10,M$15-2000+INDEX($I$2:$I$4,MATCH($B$1,$H$2:$H$4,0)),INDEX($M$2:$M$9,MATCH($B21&amp;$C21,$J$2:$J$9,0)),1,INDEX($N$2:$N$9,MATCH($B21&amp;$C21,$J$2:$J$9,0))))</f>
        <v>1.4302618803906229</v>
      </c>
      <c r="N21" s="561">
        <f ca="1">SUM(OFFSET('Output data (results)'!$B$10,N$15-2000+INDEX($I$2:$I$4,MATCH($B$1,$H$2:$H$4,0)),INDEX($M$2:$M$9,MATCH($B21&amp;$C21,$J$2:$J$9,0)),1,INDEX($N$2:$N$9,MATCH($B21&amp;$C21,$J$2:$J$9,0))))</f>
        <v>1.5088347660845904</v>
      </c>
      <c r="O21" s="561">
        <f ca="1">SUM(OFFSET('Output data (results)'!$B$10,O$15-2000+INDEX($I$2:$I$4,MATCH($B$1,$H$2:$H$4,0)),INDEX($M$2:$M$9,MATCH($B21&amp;$C21,$J$2:$J$9,0)),1,INDEX($N$2:$N$9,MATCH($B21&amp;$C21,$J$2:$J$9,0))))</f>
        <v>1.597716069311075</v>
      </c>
      <c r="P21" s="561">
        <f ca="1">SUM(OFFSET('Output data (results)'!$B$10,P$15-2000+INDEX($I$2:$I$4,MATCH($B$1,$H$2:$H$4,0)),INDEX($M$2:$M$9,MATCH($B21&amp;$C21,$J$2:$J$9,0)),1,INDEX($N$2:$N$9,MATCH($B21&amp;$C21,$J$2:$J$9,0))))</f>
        <v>1.687506930703305</v>
      </c>
      <c r="Q21" s="561">
        <f ca="1">SUM(OFFSET('Output data (results)'!$B$10,Q$15-2000+INDEX($I$2:$I$4,MATCH($B$1,$H$2:$H$4,0)),INDEX($M$2:$M$9,MATCH($B21&amp;$C21,$J$2:$J$9,0)),1,INDEX($N$2:$N$9,MATCH($B21&amp;$C21,$J$2:$J$9,0))))</f>
        <v>1.7765088114008285</v>
      </c>
      <c r="R21" s="561">
        <f ca="1">SUM(OFFSET('Output data (results)'!$B$10,R$15-2000+INDEX($I$2:$I$4,MATCH($B$1,$H$2:$H$4,0)),INDEX($M$2:$M$9,MATCH($B21&amp;$C21,$J$2:$J$9,0)),1,INDEX($N$2:$N$9,MATCH($B21&amp;$C21,$J$2:$J$9,0))))</f>
        <v>1.8665220016547992</v>
      </c>
      <c r="S21" s="561">
        <f ca="1">SUM(OFFSET('Output data (results)'!$B$10,S$15-2000+INDEX($I$2:$I$4,MATCH($B$1,$H$2:$H$4,0)),INDEX($M$2:$M$9,MATCH($B21&amp;$C21,$J$2:$J$9,0)),1,INDEX($N$2:$N$9,MATCH($B21&amp;$C21,$J$2:$J$9,0))))</f>
        <v>1.956503701966531</v>
      </c>
      <c r="T21" s="561">
        <f ca="1">SUM(OFFSET('Output data (results)'!$B$10,T$15-2000+INDEX($I$2:$I$4,MATCH($B$1,$H$2:$H$4,0)),INDEX($M$2:$M$9,MATCH($B21&amp;$C21,$J$2:$J$9,0)),1,INDEX($N$2:$N$9,MATCH($B21&amp;$C21,$J$2:$J$9,0))))</f>
        <v>1.9622345047869667</v>
      </c>
      <c r="U21" s="561">
        <f ca="1">SUM(OFFSET('Output data (results)'!$B$10,U$15-2000+INDEX($I$2:$I$4,MATCH($B$1,$H$2:$H$4,0)),INDEX($M$2:$M$9,MATCH($B21&amp;$C21,$J$2:$J$9,0)),1,INDEX($N$2:$N$9,MATCH($B21&amp;$C21,$J$2:$J$9,0))))</f>
        <v>1.9684079768946225</v>
      </c>
      <c r="V21" s="561">
        <f ca="1">SUM(OFFSET('Output data (results)'!$B$10,V$15-2000+INDEX($I$2:$I$4,MATCH($B$1,$H$2:$H$4,0)),INDEX($M$2:$M$9,MATCH($B21&amp;$C21,$J$2:$J$9,0)),1,INDEX($N$2:$N$9,MATCH($B21&amp;$C21,$J$2:$J$9,0))))</f>
        <v>1.9758505697768012</v>
      </c>
      <c r="W21" s="561">
        <f ca="1">SUM(OFFSET('Output data (results)'!$B$10,W$15-2000+INDEX($I$2:$I$4,MATCH($B$1,$H$2:$H$4,0)),INDEX($M$2:$M$9,MATCH($B21&amp;$C21,$J$2:$J$9,0)),1,INDEX($N$2:$N$9,MATCH($B21&amp;$C21,$J$2:$J$9,0))))</f>
        <v>1.9862074934340841</v>
      </c>
      <c r="X21" s="561">
        <f ca="1">SUM(OFFSET('Output data (results)'!$B$10,X$15-2000+INDEX($I$2:$I$4,MATCH($B$1,$H$2:$H$4,0)),INDEX($M$2:$M$9,MATCH($B21&amp;$C21,$J$2:$J$9,0)),1,INDEX($N$2:$N$9,MATCH($B21&amp;$C21,$J$2:$J$9,0))))</f>
        <v>1.9957873175881933</v>
      </c>
      <c r="Y21" s="561">
        <f ca="1">SUM(OFFSET('Output data (results)'!$B$10,Y$15-2000+INDEX($I$2:$I$4,MATCH($B$1,$H$2:$H$4,0)),INDEX($M$2:$M$9,MATCH($B21&amp;$C21,$J$2:$J$9,0)),1,INDEX($N$2:$N$9,MATCH($B21&amp;$C21,$J$2:$J$9,0))))</f>
        <v>2.0071265507856841</v>
      </c>
      <c r="Z21" s="561">
        <f ca="1">SUM(OFFSET('Output data (results)'!$B$10,Z$15-2000+INDEX($I$2:$I$4,MATCH($B$1,$H$2:$H$4,0)),INDEX($M$2:$M$9,MATCH($B21&amp;$C21,$J$2:$J$9,0)),1,INDEX($N$2:$N$9,MATCH($B21&amp;$C21,$J$2:$J$9,0))))</f>
        <v>2.0213600738663144</v>
      </c>
      <c r="AA21" s="561">
        <f ca="1">SUM(OFFSET('Output data (results)'!$B$10,AA$15-2000+INDEX($I$2:$I$4,MATCH($B$1,$H$2:$H$4,0)),INDEX($M$2:$M$9,MATCH($B21&amp;$C21,$J$2:$J$9,0)),1,INDEX($N$2:$N$9,MATCH($B21&amp;$C21,$J$2:$J$9,0))))</f>
        <v>2.0330241325058078</v>
      </c>
      <c r="AB21" s="561">
        <f ca="1">SUM(OFFSET('Output data (results)'!$B$10,AB$15-2000+INDEX($I$2:$I$4,MATCH($B$1,$H$2:$H$4,0)),INDEX($M$2:$M$9,MATCH($B21&amp;$C21,$J$2:$J$9,0)),1,INDEX($N$2:$N$9,MATCH($B21&amp;$C21,$J$2:$J$9,0))))</f>
        <v>2.044783588764759</v>
      </c>
      <c r="AC21" s="561">
        <f ca="1">SUM(OFFSET('Output data (results)'!$B$10,AC$15-2000+INDEX($I$2:$I$4,MATCH($B$1,$H$2:$H$4,0)),INDEX($M$2:$M$9,MATCH($B21&amp;$C21,$J$2:$J$9,0)),1,INDEX($N$2:$N$9,MATCH($B21&amp;$C21,$J$2:$J$9,0))))</f>
        <v>2.0589181841988173</v>
      </c>
      <c r="AD21" s="561">
        <f ca="1">SUM(OFFSET('Output data (results)'!$B$10,AD$15-2000+INDEX($I$2:$I$4,MATCH($B$1,$H$2:$H$4,0)),INDEX($M$2:$M$9,MATCH($B21&amp;$C21,$J$2:$J$9,0)),1,INDEX($N$2:$N$9,MATCH($B21&amp;$C21,$J$2:$J$9,0))))</f>
        <v>2.0739660030593727</v>
      </c>
      <c r="AE21" s="561">
        <f ca="1">SUM(OFFSET('Output data (results)'!$B$10,AE$15-2000+INDEX($I$2:$I$4,MATCH($B$1,$H$2:$H$4,0)),INDEX($M$2:$M$9,MATCH($B21&amp;$C21,$J$2:$J$9,0)),1,INDEX($N$2:$N$9,MATCH($B21&amp;$C21,$J$2:$J$9,0))))</f>
        <v>2.0899446034835552</v>
      </c>
      <c r="AF21" s="561">
        <f ca="1">SUM(OFFSET('Output data (results)'!$B$10,AF$15-2000+INDEX($I$2:$I$4,MATCH($B$1,$H$2:$H$4,0)),INDEX($M$2:$M$9,MATCH($B21&amp;$C21,$J$2:$J$9,0)),1,INDEX($N$2:$N$9,MATCH($B21&amp;$C21,$J$2:$J$9,0))))</f>
        <v>2.1066371850474037</v>
      </c>
      <c r="AG21" s="561">
        <f ca="1">SUM(OFFSET('Output data (results)'!$B$10,AG$15-2000+INDEX($I$2:$I$4,MATCH($B$1,$H$2:$H$4,0)),INDEX($M$2:$M$9,MATCH($B21&amp;$C21,$J$2:$J$9,0)),1,INDEX($N$2:$N$9,MATCH($B21&amp;$C21,$J$2:$J$9,0))))</f>
        <v>2.1238882975262192</v>
      </c>
      <c r="AH21" s="561">
        <f ca="1">SUM(OFFSET('Output data (results)'!$B$10,AH$15-2000+INDEX($I$2:$I$4,MATCH($B$1,$H$2:$H$4,0)),INDEX($M$2:$M$9,MATCH($B21&amp;$C21,$J$2:$J$9,0)),1,INDEX($N$2:$N$9,MATCH($B21&amp;$C21,$J$2:$J$9,0))))</f>
        <v>2.1400764420938856</v>
      </c>
      <c r="AI21" s="561">
        <f ca="1">SUM(OFFSET('Output data (results)'!$B$10,AI$15-2000+INDEX($I$2:$I$4,MATCH($B$1,$H$2:$H$4,0)),INDEX($M$2:$M$9,MATCH($B21&amp;$C21,$J$2:$J$9,0)),1,INDEX($N$2:$N$9,MATCH($B21&amp;$C21,$J$2:$J$9,0))))</f>
        <v>2.1566074334487908</v>
      </c>
      <c r="AJ21" s="561">
        <f ca="1">SUM(OFFSET('Output data (results)'!$B$10,AJ$15-2000+INDEX($I$2:$I$4,MATCH($B$1,$H$2:$H$4,0)),INDEX($M$2:$M$9,MATCH($B21&amp;$C21,$J$2:$J$9,0)),1,INDEX($N$2:$N$9,MATCH($B21&amp;$C21,$J$2:$J$9,0))))</f>
        <v>2.1734992480722126</v>
      </c>
      <c r="AK21" s="561">
        <f ca="1">SUM(OFFSET('Output data (results)'!$B$10,AK$15-2000+INDEX($I$2:$I$4,MATCH($B$1,$H$2:$H$4,0)),INDEX($M$2:$M$9,MATCH($B21&amp;$C21,$J$2:$J$9,0)),1,INDEX($N$2:$N$9,MATCH($B21&amp;$C21,$J$2:$J$9,0))))</f>
        <v>2.1911620743378983</v>
      </c>
      <c r="AL21" s="561">
        <f ca="1">SUM(OFFSET('Output data (results)'!$B$10,AL$15-2000+INDEX($I$2:$I$4,MATCH($B$1,$H$2:$H$4,0)),INDEX($M$2:$M$9,MATCH($B21&amp;$C21,$J$2:$J$9,0)),1,INDEX($N$2:$N$9,MATCH($B21&amp;$C21,$J$2:$J$9,0))))</f>
        <v>2.2092860168754864</v>
      </c>
      <c r="AM21" s="561">
        <f ca="1">SUM(OFFSET('Output data (results)'!$B$10,AM$15-2000+INDEX($I$2:$I$4,MATCH($B$1,$H$2:$H$4,0)),INDEX($M$2:$M$9,MATCH($B21&amp;$C21,$J$2:$J$9,0)),1,INDEX($N$2:$N$9,MATCH($B21&amp;$C21,$J$2:$J$9,0))))</f>
        <v>2.220423955031515</v>
      </c>
      <c r="AN21" s="561">
        <f ca="1">SUM(OFFSET('Output data (results)'!$B$10,AN$15-2000+INDEX($I$2:$I$4,MATCH($B$1,$H$2:$H$4,0)),INDEX($M$2:$M$9,MATCH($B21&amp;$C21,$J$2:$J$9,0)),1,INDEX($N$2:$N$9,MATCH($B21&amp;$C21,$J$2:$J$9,0))))</f>
        <v>2.2305283708051076</v>
      </c>
      <c r="AO21" s="561">
        <f ca="1">SUM(OFFSET('Output data (results)'!$B$10,AO$15-2000+INDEX($I$2:$I$4,MATCH($B$1,$H$2:$H$4,0)),INDEX($M$2:$M$9,MATCH($B21&amp;$C21,$J$2:$J$9,0)),1,INDEX($N$2:$N$9,MATCH($B21&amp;$C21,$J$2:$J$9,0))))</f>
        <v>2.2412957043738486</v>
      </c>
      <c r="AP21" s="561">
        <f ca="1">SUM(OFFSET('Output data (results)'!$B$10,AP$15-2000+INDEX($I$2:$I$4,MATCH($B$1,$H$2:$H$4,0)),INDEX($M$2:$M$9,MATCH($B21&amp;$C21,$J$2:$J$9,0)),1,INDEX($N$2:$N$9,MATCH($B21&amp;$C21,$J$2:$J$9,0))))</f>
        <v>2.2513408873733809</v>
      </c>
    </row>
    <row r="22" spans="1:42">
      <c r="A22" s="10" t="s">
        <v>674</v>
      </c>
      <c r="B22" t="s">
        <v>679</v>
      </c>
      <c r="C22" t="s">
        <v>191</v>
      </c>
      <c r="D22" s="1163">
        <f ca="1">SUM(OFFSET('Output data (results)'!$B$10,D$15-2000,INDEX($M$2:$M$9,MATCH($B22&amp;$C22,$J$2:$J$9,0)),1,INDEX($N$2:$N$9,MATCH($B22&amp;$C22,$J$2:$J$9,0))))</f>
        <v>0.15062420601993221</v>
      </c>
      <c r="E22" s="1163">
        <f ca="1">SUM(OFFSET('Output data (results)'!$B$10,E$15-2000,INDEX($M$2:$M$9,MATCH($B22&amp;$C22,$J$2:$J$9,0)),1,INDEX($N$2:$N$9,MATCH($B22&amp;$C22,$J$2:$J$9,0))))</f>
        <v>0.15288683728203895</v>
      </c>
      <c r="F22" s="1163">
        <f ca="1">SUM(OFFSET('Output data (results)'!$B$10,F$15-2000,INDEX($M$2:$M$9,MATCH($B22&amp;$C22,$J$2:$J$9,0)),1,INDEX($N$2:$N$9,MATCH($B22&amp;$C22,$J$2:$J$9,0))))</f>
        <v>0.15478900602055312</v>
      </c>
      <c r="G22" s="1163">
        <f ca="1">SUM(OFFSET('Output data (results)'!$B$10,G$15-2000,INDEX($M$2:$M$9,MATCH($B22&amp;$C22,$J$2:$J$9,0)),1,INDEX($N$2:$N$9,MATCH($B22&amp;$C22,$J$2:$J$9,0))))</f>
        <v>0.15631323645044112</v>
      </c>
      <c r="H22" s="1163">
        <f ca="1">SUM(OFFSET('Output data (results)'!$B$10,H$15-2000,INDEX($M$2:$M$9,MATCH($B22&amp;$C22,$J$2:$J$9,0)),1,INDEX($N$2:$N$9,MATCH($B22&amp;$C22,$J$2:$J$9,0))))</f>
        <v>0.15744066531857534</v>
      </c>
      <c r="I22" s="1163">
        <f ca="1">SUM(OFFSET('Output data (results)'!$B$10,I$15-2000,INDEX($M$2:$M$9,MATCH($B22&amp;$C22,$J$2:$J$9,0)),1,INDEX($N$2:$N$9,MATCH($B22&amp;$C22,$J$2:$J$9,0))))</f>
        <v>0.15815094808448069</v>
      </c>
      <c r="J22" s="561">
        <f ca="1">SUM(OFFSET('Output data (results)'!$B$10,J$15-2000+INDEX($I$2:$I$4,MATCH($B$1,$H$2:$H$4,0)),INDEX($M$2:$M$9,MATCH($B22&amp;$C22,$J$2:$J$9,0)),1,INDEX($N$2:$N$9,MATCH($B22&amp;$C22,$J$2:$J$9,0))))</f>
        <v>0.15406641502389429</v>
      </c>
      <c r="K22" s="561">
        <f ca="1">SUM(OFFSET('Output data (results)'!$B$10,K$15-2000+INDEX($I$2:$I$4,MATCH($B$1,$H$2:$H$4,0)),INDEX($M$2:$M$9,MATCH($B22&amp;$C22,$J$2:$J$9,0)),1,INDEX($N$2:$N$9,MATCH($B22&amp;$C22,$J$2:$J$9,0))))</f>
        <v>0.1500659770331802</v>
      </c>
      <c r="L22" s="561">
        <f ca="1">SUM(OFFSET('Output data (results)'!$B$10,L$15-2000+INDEX($I$2:$I$4,MATCH($B$1,$H$2:$H$4,0)),INDEX($M$2:$M$9,MATCH($B22&amp;$C22,$J$2:$J$9,0)),1,INDEX($N$2:$N$9,MATCH($B22&amp;$C22,$J$2:$J$9,0))))</f>
        <v>0.14614704458216801</v>
      </c>
      <c r="M22" s="561">
        <f ca="1">SUM(OFFSET('Output data (results)'!$B$10,M$15-2000+INDEX($I$2:$I$4,MATCH($B$1,$H$2:$H$4,0)),INDEX($M$2:$M$9,MATCH($B22&amp;$C22,$J$2:$J$9,0)),1,INDEX($N$2:$N$9,MATCH($B22&amp;$C22,$J$2:$J$9,0))))</f>
        <v>0.14235291142378337</v>
      </c>
      <c r="N22" s="561">
        <f ca="1">SUM(OFFSET('Output data (results)'!$B$10,N$15-2000+INDEX($I$2:$I$4,MATCH($B$1,$H$2:$H$4,0)),INDEX($M$2:$M$9,MATCH($B22&amp;$C22,$J$2:$J$9,0)),1,INDEX($N$2:$N$9,MATCH($B22&amp;$C22,$J$2:$J$9,0))))</f>
        <v>0.13867511752423495</v>
      </c>
      <c r="O22" s="561">
        <f ca="1">SUM(OFFSET('Output data (results)'!$B$10,O$15-2000+INDEX($I$2:$I$4,MATCH($B$1,$H$2:$H$4,0)),INDEX($M$2:$M$9,MATCH($B22&amp;$C22,$J$2:$J$9,0)),1,INDEX($N$2:$N$9,MATCH($B22&amp;$C22,$J$2:$J$9,0))))</f>
        <v>0.13512075173961197</v>
      </c>
      <c r="P22" s="561">
        <f ca="1">SUM(OFFSET('Output data (results)'!$B$10,P$15-2000+INDEX($I$2:$I$4,MATCH($B$1,$H$2:$H$4,0)),INDEX($M$2:$M$9,MATCH($B22&amp;$C22,$J$2:$J$9,0)),1,INDEX($N$2:$N$9,MATCH($B22&amp;$C22,$J$2:$J$9,0))))</f>
        <v>0.13168034253621469</v>
      </c>
      <c r="Q22" s="561">
        <f ca="1">SUM(OFFSET('Output data (results)'!$B$10,Q$15-2000+INDEX($I$2:$I$4,MATCH($B$1,$H$2:$H$4,0)),INDEX($M$2:$M$9,MATCH($B22&amp;$C22,$J$2:$J$9,0)),1,INDEX($N$2:$N$9,MATCH($B22&amp;$C22,$J$2:$J$9,0))))</f>
        <v>0.12835400310178607</v>
      </c>
      <c r="R22" s="561">
        <f ca="1">SUM(OFFSET('Output data (results)'!$B$10,R$15-2000+INDEX($I$2:$I$4,MATCH($B$1,$H$2:$H$4,0)),INDEX($M$2:$M$9,MATCH($B22&amp;$C22,$J$2:$J$9,0)),1,INDEX($N$2:$N$9,MATCH($B22&amp;$C22,$J$2:$J$9,0))))</f>
        <v>0.12514185958171087</v>
      </c>
      <c r="S22" s="561">
        <f ca="1">SUM(OFFSET('Output data (results)'!$B$10,S$15-2000+INDEX($I$2:$I$4,MATCH($B$1,$H$2:$H$4,0)),INDEX($M$2:$M$9,MATCH($B22&amp;$C22,$J$2:$J$9,0)),1,INDEX($N$2:$N$9,MATCH($B22&amp;$C22,$J$2:$J$9,0))))</f>
        <v>0.12204407237251766</v>
      </c>
      <c r="T22" s="561">
        <f ca="1">SUM(OFFSET('Output data (results)'!$B$10,T$15-2000+INDEX($I$2:$I$4,MATCH($B$1,$H$2:$H$4,0)),INDEX($M$2:$M$9,MATCH($B22&amp;$C22,$J$2:$J$9,0)),1,INDEX($N$2:$N$9,MATCH($B22&amp;$C22,$J$2:$J$9,0))))</f>
        <v>0.115355180689347</v>
      </c>
      <c r="U22" s="561">
        <f ca="1">SUM(OFFSET('Output data (results)'!$B$10,U$15-2000+INDEX($I$2:$I$4,MATCH($B$1,$H$2:$H$4,0)),INDEX($M$2:$M$9,MATCH($B22&amp;$C22,$J$2:$J$9,0)),1,INDEX($N$2:$N$9,MATCH($B22&amp;$C22,$J$2:$J$9,0))))</f>
        <v>0.109045810654672</v>
      </c>
      <c r="V22" s="561">
        <f ca="1">SUM(OFFSET('Output data (results)'!$B$10,V$15-2000+INDEX($I$2:$I$4,MATCH($B$1,$H$2:$H$4,0)),INDEX($M$2:$M$9,MATCH($B22&amp;$C22,$J$2:$J$9,0)),1,INDEX($N$2:$N$9,MATCH($B22&amp;$C22,$J$2:$J$9,0))))</f>
        <v>0.1030933860134649</v>
      </c>
      <c r="W22" s="561">
        <f ca="1">SUM(OFFSET('Output data (results)'!$B$10,W$15-2000+INDEX($I$2:$I$4,MATCH($B$1,$H$2:$H$4,0)),INDEX($M$2:$M$9,MATCH($B22&amp;$C22,$J$2:$J$9,0)),1,INDEX($N$2:$N$9,MATCH($B22&amp;$C22,$J$2:$J$9,0))))</f>
        <v>9.7947291964641164E-2</v>
      </c>
      <c r="X22" s="561">
        <f ca="1">SUM(OFFSET('Output data (results)'!$B$10,X$15-2000+INDEX($I$2:$I$4,MATCH($B$1,$H$2:$H$4,0)),INDEX($M$2:$M$9,MATCH($B22&amp;$C22,$J$2:$J$9,0)),1,INDEX($N$2:$N$9,MATCH($B22&amp;$C22,$J$2:$J$9,0))))</f>
        <v>9.2838289645666039E-2</v>
      </c>
      <c r="Y22" s="561">
        <f ca="1">SUM(OFFSET('Output data (results)'!$B$10,Y$15-2000+INDEX($I$2:$I$4,MATCH($B$1,$H$2:$H$4,0)),INDEX($M$2:$M$9,MATCH($B22&amp;$C22,$J$2:$J$9,0)),1,INDEX($N$2:$N$9,MATCH($B22&amp;$C22,$J$2:$J$9,0))))</f>
        <v>8.7764352198640955E-2</v>
      </c>
      <c r="Z22" s="561">
        <f ca="1">SUM(OFFSET('Output data (results)'!$B$10,Z$15-2000+INDEX($I$2:$I$4,MATCH($B$1,$H$2:$H$4,0)),INDEX($M$2:$M$9,MATCH($B22&amp;$C22,$J$2:$J$9,0)),1,INDEX($N$2:$N$9,MATCH($B22&amp;$C22,$J$2:$J$9,0))))</f>
        <v>8.2723074102926009E-2</v>
      </c>
      <c r="AA22" s="561">
        <f ca="1">SUM(OFFSET('Output data (results)'!$B$10,AA$15-2000+INDEX($I$2:$I$4,MATCH($B$1,$H$2:$H$4,0)),INDEX($M$2:$M$9,MATCH($B22&amp;$C22,$J$2:$J$9,0)),1,INDEX($N$2:$N$9,MATCH($B22&amp;$C22,$J$2:$J$9,0))))</f>
        <v>7.7712708440346528E-2</v>
      </c>
      <c r="AB22" s="561">
        <f ca="1">SUM(OFFSET('Output data (results)'!$B$10,AB$15-2000+INDEX($I$2:$I$4,MATCH($B$1,$H$2:$H$4,0)),INDEX($M$2:$M$9,MATCH($B22&amp;$C22,$J$2:$J$9,0)),1,INDEX($N$2:$N$9,MATCH($B22&amp;$C22,$J$2:$J$9,0))))</f>
        <v>7.2731584070529293E-2</v>
      </c>
      <c r="AC22" s="561">
        <f ca="1">SUM(OFFSET('Output data (results)'!$B$10,AC$15-2000+INDEX($I$2:$I$4,MATCH($B$1,$H$2:$H$4,0)),INDEX($M$2:$M$9,MATCH($B22&amp;$C22,$J$2:$J$9,0)),1,INDEX($N$2:$N$9,MATCH($B22&amp;$C22,$J$2:$J$9,0))))</f>
        <v>7.0963587364444025E-2</v>
      </c>
      <c r="AD22" s="561">
        <f ca="1">SUM(OFFSET('Output data (results)'!$B$10,AD$15-2000+INDEX($I$2:$I$4,MATCH($B$1,$H$2:$H$4,0)),INDEX($M$2:$M$9,MATCH($B22&amp;$C22,$J$2:$J$9,0)),1,INDEX($N$2:$N$9,MATCH($B22&amp;$C22,$J$2:$J$9,0))))</f>
        <v>6.7784676338357941E-2</v>
      </c>
      <c r="AE22" s="561">
        <f ca="1">SUM(OFFSET('Output data (results)'!$B$10,AE$15-2000+INDEX($I$2:$I$4,MATCH($B$1,$H$2:$H$4,0)),INDEX($M$2:$M$9,MATCH($B22&amp;$C22,$J$2:$J$9,0)),1,INDEX($N$2:$N$9,MATCH($B22&amp;$C22,$J$2:$J$9,0))))</f>
        <v>6.4623505845466042E-2</v>
      </c>
      <c r="AF22" s="561">
        <f ca="1">SUM(OFFSET('Output data (results)'!$B$10,AF$15-2000+INDEX($I$2:$I$4,MATCH($B$1,$H$2:$H$4,0)),INDEX($M$2:$M$9,MATCH($B22&amp;$C22,$J$2:$J$9,0)),1,INDEX($N$2:$N$9,MATCH($B22&amp;$C22,$J$2:$J$9,0))))</f>
        <v>6.1479172805836382E-2</v>
      </c>
      <c r="AG22" s="561">
        <f ca="1">SUM(OFFSET('Output data (results)'!$B$10,AG$15-2000+INDEX($I$2:$I$4,MATCH($B$1,$H$2:$H$4,0)),INDEX($M$2:$M$9,MATCH($B22&amp;$C22,$J$2:$J$9,0)),1,INDEX($N$2:$N$9,MATCH($B22&amp;$C22,$J$2:$J$9,0))))</f>
        <v>5.8350809072055046E-2</v>
      </c>
      <c r="AH22" s="561">
        <f ca="1">SUM(OFFSET('Output data (results)'!$B$10,AH$15-2000+INDEX($I$2:$I$4,MATCH($B$1,$H$2:$H$4,0)),INDEX($M$2:$M$9,MATCH($B22&amp;$C22,$J$2:$J$9,0)),1,INDEX($N$2:$N$9,MATCH($B22&amp;$C22,$J$2:$J$9,0))))</f>
        <v>5.5237579262182354E-2</v>
      </c>
      <c r="AI22" s="561">
        <f ca="1">SUM(OFFSET('Output data (results)'!$B$10,AI$15-2000+INDEX($I$2:$I$4,MATCH($B$1,$H$2:$H$4,0)),INDEX($M$2:$M$9,MATCH($B22&amp;$C22,$J$2:$J$9,0)),1,INDEX($N$2:$N$9,MATCH($B22&amp;$C22,$J$2:$J$9,0))))</f>
        <v>5.2138678719423556E-2</v>
      </c>
      <c r="AJ22" s="561">
        <f ca="1">SUM(OFFSET('Output data (results)'!$B$10,AJ$15-2000+INDEX($I$2:$I$4,MATCH($B$1,$H$2:$H$4,0)),INDEX($M$2:$M$9,MATCH($B22&amp;$C22,$J$2:$J$9,0)),1,INDEX($N$2:$N$9,MATCH($B22&amp;$C22,$J$2:$J$9,0))))</f>
        <v>4.9053320856290474E-2</v>
      </c>
      <c r="AK22" s="561">
        <f ca="1">SUM(OFFSET('Output data (results)'!$B$10,AK$15-2000+INDEX($I$2:$I$4,MATCH($B$1,$H$2:$H$4,0)),INDEX($M$2:$M$9,MATCH($B22&amp;$C22,$J$2:$J$9,0)),1,INDEX($N$2:$N$9,MATCH($B22&amp;$C22,$J$2:$J$9,0))))</f>
        <v>4.5980759032376868E-2</v>
      </c>
      <c r="AL22" s="561">
        <f ca="1">SUM(OFFSET('Output data (results)'!$B$10,AL$15-2000+INDEX($I$2:$I$4,MATCH($B$1,$H$2:$H$4,0)),INDEX($M$2:$M$9,MATCH($B22&amp;$C22,$J$2:$J$9,0)),1,INDEX($N$2:$N$9,MATCH($B22&amp;$C22,$J$2:$J$9,0))))</f>
        <v>4.2920271786454856E-2</v>
      </c>
      <c r="AM22" s="561">
        <f ca="1">SUM(OFFSET('Output data (results)'!$B$10,AM$15-2000+INDEX($I$2:$I$4,MATCH($B$1,$H$2:$H$4,0)),INDEX($M$2:$M$9,MATCH($B22&amp;$C22,$J$2:$J$9,0)),1,INDEX($N$2:$N$9,MATCH($B22&amp;$C22,$J$2:$J$9,0))))</f>
        <v>3.9871161221781672E-2</v>
      </c>
      <c r="AN22" s="561">
        <f ca="1">SUM(OFFSET('Output data (results)'!$B$10,AN$15-2000+INDEX($I$2:$I$4,MATCH($B$1,$H$2:$H$4,0)),INDEX($M$2:$M$9,MATCH($B22&amp;$C22,$J$2:$J$9,0)),1,INDEX($N$2:$N$9,MATCH($B22&amp;$C22,$J$2:$J$9,0))))</f>
        <v>3.9819190784487965E-2</v>
      </c>
      <c r="AO22" s="561">
        <f ca="1">SUM(OFFSET('Output data (results)'!$B$10,AO$15-2000+INDEX($I$2:$I$4,MATCH($B$1,$H$2:$H$4,0)),INDEX($M$2:$M$9,MATCH($B22&amp;$C22,$J$2:$J$9,0)),1,INDEX($N$2:$N$9,MATCH($B22&amp;$C22,$J$2:$J$9,0))))</f>
        <v>3.9769894874863793E-2</v>
      </c>
      <c r="AP22" s="561">
        <f ca="1">SUM(OFFSET('Output data (results)'!$B$10,AP$15-2000+INDEX($I$2:$I$4,MATCH($B$1,$H$2:$H$4,0)),INDEX($M$2:$M$9,MATCH($B22&amp;$C22,$J$2:$J$9,0)),1,INDEX($N$2:$N$9,MATCH($B22&amp;$C22,$J$2:$J$9,0))))</f>
        <v>3.9723220676707957E-2</v>
      </c>
    </row>
    <row r="23" spans="1:42">
      <c r="A23" s="10" t="s">
        <v>675</v>
      </c>
      <c r="B23" t="s">
        <v>680</v>
      </c>
      <c r="C23" t="s">
        <v>191</v>
      </c>
      <c r="D23" s="1163">
        <f ca="1">SUM(OFFSET('Output data (results)'!$B$10,D$15-2000,INDEX($M$2:$M$9,MATCH($B23&amp;$C23,$J$2:$J$9,0)),1,INDEX($N$2:$N$9,MATCH($B23&amp;$C23,$J$2:$J$9,0))))</f>
        <v>2.6383207851384207</v>
      </c>
      <c r="E23" s="1163">
        <f ca="1">SUM(OFFSET('Output data (results)'!$B$10,E$15-2000,INDEX($M$2:$M$9,MATCH($B23&amp;$C23,$J$2:$J$9,0)),1,INDEX($N$2:$N$9,MATCH($B23&amp;$C23,$J$2:$J$9,0))))</f>
        <v>2.6775967031376564</v>
      </c>
      <c r="F23" s="1163">
        <f ca="1">SUM(OFFSET('Output data (results)'!$B$10,F$15-2000,INDEX($M$2:$M$9,MATCH($B23&amp;$C23,$J$2:$J$9,0)),1,INDEX($N$2:$N$9,MATCH($B23&amp;$C23,$J$2:$J$9,0))))</f>
        <v>2.718336134939475</v>
      </c>
      <c r="G23" s="1163">
        <f ca="1">SUM(OFFSET('Output data (results)'!$B$10,G$15-2000,INDEX($M$2:$M$9,MATCH($B23&amp;$C23,$J$2:$J$9,0)),1,INDEX($N$2:$N$9,MATCH($B23&amp;$C23,$J$2:$J$9,0))))</f>
        <v>2.7605955966757243</v>
      </c>
      <c r="H23" s="1163">
        <f ca="1">SUM(OFFSET('Output data (results)'!$B$10,H$15-2000,INDEX($M$2:$M$9,MATCH($B23&amp;$C23,$J$2:$J$9,0)),1,INDEX($N$2:$N$9,MATCH($B23&amp;$C23,$J$2:$J$9,0))))</f>
        <v>2.804434419881956</v>
      </c>
      <c r="I23" s="1163">
        <f ca="1">SUM(OFFSET('Output data (results)'!$B$10,I$15-2000,INDEX($M$2:$M$9,MATCH($B23&amp;$C23,$J$2:$J$9,0)),1,INDEX($N$2:$N$9,MATCH($B23&amp;$C23,$J$2:$J$9,0))))</f>
        <v>2.8499148907355294</v>
      </c>
      <c r="J23" s="561">
        <f ca="1">SUM(OFFSET('Output data (results)'!$B$10,J$15-2000+INDEX($I$2:$I$4,MATCH($B$1,$H$2:$H$4,0)),INDEX($M$2:$M$9,MATCH($B23&amp;$C23,$J$2:$J$9,0)),1,INDEX($N$2:$N$9,MATCH($B23&amp;$C23,$J$2:$J$9,0))))</f>
        <v>2.8960026873618072</v>
      </c>
      <c r="K23" s="561">
        <f ca="1">SUM(OFFSET('Output data (results)'!$B$10,K$15-2000+INDEX($I$2:$I$4,MATCH($B$1,$H$2:$H$4,0)),INDEX($M$2:$M$9,MATCH($B23&amp;$C23,$J$2:$J$9,0)),1,INDEX($N$2:$N$9,MATCH($B23&amp;$C23,$J$2:$J$9,0))))</f>
        <v>2.9428357992270668</v>
      </c>
      <c r="L23" s="561">
        <f ca="1">SUM(OFFSET('Output data (results)'!$B$10,L$15-2000+INDEX($I$2:$I$4,MATCH($B$1,$H$2:$H$4,0)),INDEX($M$2:$M$9,MATCH($B23&amp;$C23,$J$2:$J$9,0)),1,INDEX($N$2:$N$9,MATCH($B23&amp;$C23,$J$2:$J$9,0))))</f>
        <v>2.9904262793007734</v>
      </c>
      <c r="M23" s="561">
        <f ca="1">SUM(OFFSET('Output data (results)'!$B$10,M$15-2000+INDEX($I$2:$I$4,MATCH($B$1,$H$2:$H$4,0)),INDEX($M$2:$M$9,MATCH($B23&amp;$C23,$J$2:$J$9,0)),1,INDEX($N$2:$N$9,MATCH($B23&amp;$C23,$J$2:$J$9,0))))</f>
        <v>3.0302180288466625</v>
      </c>
      <c r="N23" s="561">
        <f ca="1">SUM(OFFSET('Output data (results)'!$B$10,N$15-2000+INDEX($I$2:$I$4,MATCH($B$1,$H$2:$H$4,0)),INDEX($M$2:$M$9,MATCH($B23&amp;$C23,$J$2:$J$9,0)),1,INDEX($N$2:$N$9,MATCH($B23&amp;$C23,$J$2:$J$9,0))))</f>
        <v>3.0677168311206198</v>
      </c>
      <c r="O23" s="561">
        <f ca="1">SUM(OFFSET('Output data (results)'!$B$10,O$15-2000+INDEX($I$2:$I$4,MATCH($B$1,$H$2:$H$4,0)),INDEX($M$2:$M$9,MATCH($B23&amp;$C23,$J$2:$J$9,0)),1,INDEX($N$2:$N$9,MATCH($B23&amp;$C23,$J$2:$J$9,0))))</f>
        <v>3.1028223203879186</v>
      </c>
      <c r="P23" s="561">
        <f ca="1">SUM(OFFSET('Output data (results)'!$B$10,P$15-2000+INDEX($I$2:$I$4,MATCH($B$1,$H$2:$H$4,0)),INDEX($M$2:$M$9,MATCH($B23&amp;$C23,$J$2:$J$9,0)),1,INDEX($N$2:$N$9,MATCH($B23&amp;$C23,$J$2:$J$9,0))))</f>
        <v>3.1372946822597805</v>
      </c>
      <c r="Q23" s="561">
        <f ca="1">SUM(OFFSET('Output data (results)'!$B$10,Q$15-2000+INDEX($I$2:$I$4,MATCH($B$1,$H$2:$H$4,0)),INDEX($M$2:$M$9,MATCH($B23&amp;$C23,$J$2:$J$9,0)),1,INDEX($N$2:$N$9,MATCH($B23&amp;$C23,$J$2:$J$9,0))))</f>
        <v>3.1711036769819763</v>
      </c>
      <c r="R23" s="561">
        <f ca="1">SUM(OFFSET('Output data (results)'!$B$10,R$15-2000+INDEX($I$2:$I$4,MATCH($B$1,$H$2:$H$4,0)),INDEX($M$2:$M$9,MATCH($B23&amp;$C23,$J$2:$J$9,0)),1,INDEX($N$2:$N$9,MATCH($B23&amp;$C23,$J$2:$J$9,0))))</f>
        <v>3.2042193824925169</v>
      </c>
      <c r="S23" s="561">
        <f ca="1">SUM(OFFSET('Output data (results)'!$B$10,S$15-2000+INDEX($I$2:$I$4,MATCH($B$1,$H$2:$H$4,0)),INDEX($M$2:$M$9,MATCH($B23&amp;$C23,$J$2:$J$9,0)),1,INDEX($N$2:$N$9,MATCH($B23&amp;$C23,$J$2:$J$9,0))))</f>
        <v>3.2366122379757729</v>
      </c>
      <c r="T23" s="561">
        <f ca="1">SUM(OFFSET('Output data (results)'!$B$10,T$15-2000+INDEX($I$2:$I$4,MATCH($B$1,$H$2:$H$4,0)),INDEX($M$2:$M$9,MATCH($B23&amp;$C23,$J$2:$J$9,0)),1,INDEX($N$2:$N$9,MATCH($B23&amp;$C23,$J$2:$J$9,0))))</f>
        <v>3.2682530873125892</v>
      </c>
      <c r="U23" s="561">
        <f ca="1">SUM(OFFSET('Output data (results)'!$B$10,U$15-2000+INDEX($I$2:$I$4,MATCH($B$1,$H$2:$H$4,0)),INDEX($M$2:$M$9,MATCH($B23&amp;$C23,$J$2:$J$9,0)),1,INDEX($N$2:$N$9,MATCH($B23&amp;$C23,$J$2:$J$9,0))))</f>
        <v>3.2993456099811418</v>
      </c>
      <c r="V23" s="561">
        <f ca="1">SUM(OFFSET('Output data (results)'!$B$10,V$15-2000+INDEX($I$2:$I$4,MATCH($B$1,$H$2:$H$4,0)),INDEX($M$2:$M$9,MATCH($B23&amp;$C23,$J$2:$J$9,0)),1,INDEX($N$2:$N$9,MATCH($B23&amp;$C23,$J$2:$J$9,0))))</f>
        <v>3.3298681271770771</v>
      </c>
      <c r="W23" s="561">
        <f ca="1">SUM(OFFSET('Output data (results)'!$B$10,W$15-2000+INDEX($I$2:$I$4,MATCH($B$1,$H$2:$H$4,0)),INDEX($M$2:$M$9,MATCH($B23&amp;$C23,$J$2:$J$9,0)),1,INDEX($N$2:$N$9,MATCH($B23&amp;$C23,$J$2:$J$9,0))))</f>
        <v>3.3597991969031304</v>
      </c>
      <c r="X23" s="561">
        <f ca="1">SUM(OFFSET('Output data (results)'!$B$10,X$15-2000+INDEX($I$2:$I$4,MATCH($B$1,$H$2:$H$4,0)),INDEX($M$2:$M$9,MATCH($B23&amp;$C23,$J$2:$J$9,0)),1,INDEX($N$2:$N$9,MATCH($B23&amp;$C23,$J$2:$J$9,0))))</f>
        <v>3.3891176387911139</v>
      </c>
      <c r="Y23" s="561">
        <f ca="1">SUM(OFFSET('Output data (results)'!$B$10,Y$15-2000+INDEX($I$2:$I$4,MATCH($B$1,$H$2:$H$4,0)),INDEX($M$2:$M$9,MATCH($B23&amp;$C23,$J$2:$J$9,0)),1,INDEX($N$2:$N$9,MATCH($B23&amp;$C23,$J$2:$J$9,0))))</f>
        <v>3.4178025588232726</v>
      </c>
      <c r="Z23" s="561">
        <f ca="1">SUM(OFFSET('Output data (results)'!$B$10,Z$15-2000+INDEX($I$2:$I$4,MATCH($B$1,$H$2:$H$4,0)),INDEX($M$2:$M$9,MATCH($B23&amp;$C23,$J$2:$J$9,0)),1,INDEX($N$2:$N$9,MATCH($B23&amp;$C23,$J$2:$J$9,0))))</f>
        <v>3.4459010834271635</v>
      </c>
      <c r="AA23" s="561">
        <f ca="1">SUM(OFFSET('Output data (results)'!$B$10,AA$15-2000+INDEX($I$2:$I$4,MATCH($B$1,$H$2:$H$4,0)),INDEX($M$2:$M$9,MATCH($B23&amp;$C23,$J$2:$J$9,0)),1,INDEX($N$2:$N$9,MATCH($B23&amp;$C23,$J$2:$J$9,0))))</f>
        <v>3.4733946157037967</v>
      </c>
      <c r="AB23" s="561">
        <f ca="1">SUM(OFFSET('Output data (results)'!$B$10,AB$15-2000+INDEX($I$2:$I$4,MATCH($B$1,$H$2:$H$4,0)),INDEX($M$2:$M$9,MATCH($B23&amp;$C23,$J$2:$J$9,0)),1,INDEX($N$2:$N$9,MATCH($B23&amp;$C23,$J$2:$J$9,0))))</f>
        <v>3.5002648416776503</v>
      </c>
      <c r="AC23" s="561">
        <f ca="1">SUM(OFFSET('Output data (results)'!$B$10,AC$15-2000+INDEX($I$2:$I$4,MATCH($B$1,$H$2:$H$4,0)),INDEX($M$2:$M$9,MATCH($B23&amp;$C23,$J$2:$J$9,0)),1,INDEX($N$2:$N$9,MATCH($B23&amp;$C23,$J$2:$J$9,0))))</f>
        <v>3.5264937504636227</v>
      </c>
      <c r="AD23" s="561">
        <f ca="1">SUM(OFFSET('Output data (results)'!$B$10,AD$15-2000+INDEX($I$2:$I$4,MATCH($B$1,$H$2:$H$4,0)),INDEX($M$2:$M$9,MATCH($B23&amp;$C23,$J$2:$J$9,0)),1,INDEX($N$2:$N$9,MATCH($B23&amp;$C23,$J$2:$J$9,0))))</f>
        <v>3.5520636542370059</v>
      </c>
      <c r="AE23" s="561">
        <f ca="1">SUM(OFFSET('Output data (results)'!$B$10,AE$15-2000+INDEX($I$2:$I$4,MATCH($B$1,$H$2:$H$4,0)),INDEX($M$2:$M$9,MATCH($B23&amp;$C23,$J$2:$J$9,0)),1,INDEX($N$2:$N$9,MATCH($B23&amp;$C23,$J$2:$J$9,0))))</f>
        <v>3.5770302960376927</v>
      </c>
      <c r="AF23" s="561">
        <f ca="1">SUM(OFFSET('Output data (results)'!$B$10,AF$15-2000+INDEX($I$2:$I$4,MATCH($B$1,$H$2:$H$4,0)),INDEX($M$2:$M$9,MATCH($B23&amp;$C23,$J$2:$J$9,0)),1,INDEX($N$2:$N$9,MATCH($B23&amp;$C23,$J$2:$J$9,0))))</f>
        <v>3.6013782150525211</v>
      </c>
      <c r="AG23" s="561">
        <f ca="1">SUM(OFFSET('Output data (results)'!$B$10,AG$15-2000+INDEX($I$2:$I$4,MATCH($B$1,$H$2:$H$4,0)),INDEX($M$2:$M$9,MATCH($B23&amp;$C23,$J$2:$J$9,0)),1,INDEX($N$2:$N$9,MATCH($B23&amp;$C23,$J$2:$J$9,0))))</f>
        <v>3.6250922504898839</v>
      </c>
      <c r="AH23" s="561">
        <f ca="1">SUM(OFFSET('Output data (results)'!$B$10,AH$15-2000+INDEX($I$2:$I$4,MATCH($B$1,$H$2:$H$4,0)),INDEX($M$2:$M$9,MATCH($B23&amp;$C23,$J$2:$J$9,0)),1,INDEX($N$2:$N$9,MATCH($B23&amp;$C23,$J$2:$J$9,0))))</f>
        <v>3.6481575572197178</v>
      </c>
      <c r="AI23" s="561">
        <f ca="1">SUM(OFFSET('Output data (results)'!$B$10,AI$15-2000+INDEX($I$2:$I$4,MATCH($B$1,$H$2:$H$4,0)),INDEX($M$2:$M$9,MATCH($B23&amp;$C23,$J$2:$J$9,0)),1,INDEX($N$2:$N$9,MATCH($B23&amp;$C23,$J$2:$J$9,0))))</f>
        <v>3.6705596211764653</v>
      </c>
      <c r="AJ23" s="561">
        <f ca="1">SUM(OFFSET('Output data (results)'!$B$10,AJ$15-2000+INDEX($I$2:$I$4,MATCH($B$1,$H$2:$H$4,0)),INDEX($M$2:$M$9,MATCH($B23&amp;$C23,$J$2:$J$9,0)),1,INDEX($N$2:$N$9,MATCH($B23&amp;$C23,$J$2:$J$9,0))))</f>
        <v>3.6922873115934127</v>
      </c>
      <c r="AK23" s="561">
        <f ca="1">SUM(OFFSET('Output data (results)'!$B$10,AK$15-2000+INDEX($I$2:$I$4,MATCH($B$1,$H$2:$H$4,0)),INDEX($M$2:$M$9,MATCH($B23&amp;$C23,$J$2:$J$9,0)),1,INDEX($N$2:$N$9,MATCH($B23&amp;$C23,$J$2:$J$9,0))))</f>
        <v>3.7133268749407069</v>
      </c>
      <c r="AL23" s="561">
        <f ca="1">SUM(OFFSET('Output data (results)'!$B$10,AL$15-2000+INDEX($I$2:$I$4,MATCH($B$1,$H$2:$H$4,0)),INDEX($M$2:$M$9,MATCH($B23&amp;$C23,$J$2:$J$9,0)),1,INDEX($N$2:$N$9,MATCH($B23&amp;$C23,$J$2:$J$9,0))))</f>
        <v>3.7336649298790605</v>
      </c>
      <c r="AM23" s="561">
        <f ca="1">SUM(OFFSET('Output data (results)'!$B$10,AM$15-2000+INDEX($I$2:$I$4,MATCH($B$1,$H$2:$H$4,0)),INDEX($M$2:$M$9,MATCH($B23&amp;$C23,$J$2:$J$9,0)),1,INDEX($N$2:$N$9,MATCH($B23&amp;$C23,$J$2:$J$9,0))))</f>
        <v>3.753288481385181</v>
      </c>
      <c r="AN23" s="561">
        <f ca="1">SUM(OFFSET('Output data (results)'!$B$10,AN$15-2000+INDEX($I$2:$I$4,MATCH($B$1,$H$2:$H$4,0)),INDEX($M$2:$M$9,MATCH($B23&amp;$C23,$J$2:$J$9,0)),1,INDEX($N$2:$N$9,MATCH($B23&amp;$C23,$J$2:$J$9,0))))</f>
        <v>3.7721849345366727</v>
      </c>
      <c r="AO23" s="561">
        <f ca="1">SUM(OFFSET('Output data (results)'!$B$10,AO$15-2000+INDEX($I$2:$I$4,MATCH($B$1,$H$2:$H$4,0)),INDEX($M$2:$M$9,MATCH($B23&amp;$C23,$J$2:$J$9,0)),1,INDEX($N$2:$N$9,MATCH($B23&amp;$C23,$J$2:$J$9,0))))</f>
        <v>3.790331922338789</v>
      </c>
      <c r="AP23" s="561">
        <f ca="1">SUM(OFFSET('Output data (results)'!$B$10,AP$15-2000+INDEX($I$2:$I$4,MATCH($B$1,$H$2:$H$4,0)),INDEX($M$2:$M$9,MATCH($B23&amp;$C23,$J$2:$J$9,0)),1,INDEX($N$2:$N$9,MATCH($B23&amp;$C23,$J$2:$J$9,0))))</f>
        <v>3.8077175451869141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abSelected="1" topLeftCell="A91" zoomScale="56" zoomScaleNormal="60" workbookViewId="0">
      <selection activeCell="D119" sqref="D119"/>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455"/>
      <c r="B2" s="456" t="s">
        <v>2</v>
      </c>
      <c r="C2" s="456" t="s">
        <v>4</v>
      </c>
      <c r="D2" s="457" t="s">
        <v>468</v>
      </c>
    </row>
    <row r="3" spans="1:14" ht="31.5">
      <c r="A3" s="189" t="s">
        <v>488</v>
      </c>
      <c r="B3" s="412" t="s">
        <v>227</v>
      </c>
      <c r="C3" s="406">
        <v>578.73</v>
      </c>
      <c r="D3" s="196" t="s">
        <v>487</v>
      </c>
    </row>
    <row r="4" spans="1:14" ht="31.5">
      <c r="A4" s="189" t="s">
        <v>486</v>
      </c>
      <c r="B4" s="412" t="s">
        <v>227</v>
      </c>
      <c r="C4" s="406">
        <f>'Waste Summary 2017 SASOW'!P6</f>
        <v>424.26313389388866</v>
      </c>
      <c r="D4" s="196" t="s">
        <v>469</v>
      </c>
    </row>
    <row r="5" spans="1:14" ht="31.5">
      <c r="A5" s="189" t="s">
        <v>475</v>
      </c>
      <c r="B5" s="454" t="str">
        <f>'Waste Summary 2017 SASOW'!C34</f>
        <v>ton industrial waste/Rmill GDP</v>
      </c>
      <c r="C5" s="406">
        <f>'Waste Summary 2017 SASOW'!B34</f>
        <v>28.06789123869763</v>
      </c>
      <c r="D5" s="196" t="s">
        <v>470</v>
      </c>
    </row>
    <row r="6" spans="1:14" ht="31.5">
      <c r="A6" s="189" t="s">
        <v>570</v>
      </c>
      <c r="B6" s="454" t="str">
        <f>B5</f>
        <v>ton industrial waste/Rmill GDP</v>
      </c>
      <c r="C6" s="406">
        <f>'Waste Summary 2017 SASOW'!B36</f>
        <v>12.031045626813224</v>
      </c>
      <c r="D6" s="196" t="s">
        <v>470</v>
      </c>
    </row>
    <row r="7" spans="1:14" ht="55.9" customHeight="1">
      <c r="A7" s="189" t="s">
        <v>476</v>
      </c>
      <c r="B7" s="190" t="s">
        <v>3</v>
      </c>
      <c r="C7" s="406">
        <f>37*365/1000</f>
        <v>13.505000000000001</v>
      </c>
      <c r="D7" s="196" t="s">
        <v>471</v>
      </c>
    </row>
    <row r="8" spans="1:14" ht="31.5">
      <c r="A8" s="189" t="s">
        <v>295</v>
      </c>
      <c r="B8" s="190" t="s">
        <v>52</v>
      </c>
      <c r="C8" s="406">
        <v>29.169396153846154</v>
      </c>
      <c r="D8" s="196" t="s">
        <v>474</v>
      </c>
    </row>
    <row r="9" spans="1:14" ht="48" customHeight="1" thickBot="1">
      <c r="A9" s="191" t="s">
        <v>502</v>
      </c>
      <c r="B9" s="192" t="s">
        <v>3</v>
      </c>
      <c r="C9" s="1129">
        <f>H117*10^6/(G117*B117*10^6)</f>
        <v>30.607090442386749</v>
      </c>
      <c r="D9" s="197" t="s">
        <v>534</v>
      </c>
    </row>
    <row r="10" spans="1:14">
      <c r="A10" s="327"/>
      <c r="B10" s="328"/>
      <c r="C10" s="329"/>
      <c r="D10" s="330"/>
    </row>
    <row r="11" spans="1:14" ht="16.5" thickBot="1">
      <c r="A11" s="476" t="s">
        <v>533</v>
      </c>
      <c r="B11" s="318"/>
      <c r="C11"/>
      <c r="D11" s="3"/>
      <c r="E11" s="3"/>
      <c r="F11" s="3"/>
      <c r="G11" s="3"/>
      <c r="H11" s="3"/>
      <c r="I11" s="3"/>
      <c r="J11" s="3"/>
      <c r="K11" s="3"/>
      <c r="L11" s="3"/>
      <c r="M11" s="3"/>
      <c r="N11" s="3"/>
    </row>
    <row r="12" spans="1:14" ht="31.5">
      <c r="A12" s="423"/>
      <c r="B12" s="424" t="s">
        <v>327</v>
      </c>
      <c r="C12" s="1169" t="s">
        <v>221</v>
      </c>
      <c r="D12" s="1169" t="s">
        <v>85</v>
      </c>
      <c r="E12" s="1169" t="s">
        <v>87</v>
      </c>
      <c r="F12" s="1169" t="s">
        <v>222</v>
      </c>
      <c r="G12" s="1169" t="s">
        <v>115</v>
      </c>
      <c r="H12" s="1169" t="s">
        <v>223</v>
      </c>
      <c r="I12" s="1169" t="s">
        <v>472</v>
      </c>
      <c r="J12" s="1169" t="s">
        <v>329</v>
      </c>
      <c r="K12" s="1169" t="s">
        <v>330</v>
      </c>
      <c r="L12" s="1169" t="s">
        <v>331</v>
      </c>
      <c r="M12" s="1169" t="s">
        <v>332</v>
      </c>
      <c r="N12" s="1168" t="s">
        <v>225</v>
      </c>
    </row>
    <row r="13" spans="1:14">
      <c r="A13" s="425"/>
      <c r="B13" s="320" t="s">
        <v>333</v>
      </c>
      <c r="C13" s="1275">
        <v>1233791.4119790548</v>
      </c>
      <c r="D13" s="1275">
        <v>1138884.3802883581</v>
      </c>
      <c r="E13" s="1275">
        <v>378326.54427023319</v>
      </c>
      <c r="F13" s="1275">
        <v>0</v>
      </c>
      <c r="G13" s="1275">
        <v>0</v>
      </c>
      <c r="H13" s="1275">
        <v>0</v>
      </c>
      <c r="I13" s="1275"/>
      <c r="J13" s="1275">
        <v>381000</v>
      </c>
      <c r="K13" s="1275">
        <v>338388.97868490184</v>
      </c>
      <c r="L13" s="1275">
        <v>297470.77450579114</v>
      </c>
      <c r="M13" s="1275">
        <v>0</v>
      </c>
      <c r="N13" s="1276">
        <f t="shared" ref="N13:N21" si="0">SUM(C13:M13)</f>
        <v>3767862.0897283391</v>
      </c>
    </row>
    <row r="14" spans="1:14">
      <c r="A14" s="426" t="s">
        <v>334</v>
      </c>
      <c r="B14" s="320" t="s">
        <v>335</v>
      </c>
      <c r="C14" s="1275">
        <v>964286</v>
      </c>
      <c r="D14" s="1275">
        <v>964286</v>
      </c>
      <c r="E14" s="1275">
        <v>0</v>
      </c>
      <c r="F14" s="1275">
        <v>0</v>
      </c>
      <c r="G14" s="1275">
        <v>0</v>
      </c>
      <c r="H14" s="1275">
        <v>0</v>
      </c>
      <c r="I14" s="1275">
        <v>2892858</v>
      </c>
      <c r="J14" s="1275">
        <v>0</v>
      </c>
      <c r="K14" s="1275">
        <v>0</v>
      </c>
      <c r="L14" s="1275">
        <v>0</v>
      </c>
      <c r="M14" s="1275">
        <v>0</v>
      </c>
      <c r="N14" s="1276">
        <f t="shared" si="0"/>
        <v>4821430</v>
      </c>
    </row>
    <row r="15" spans="1:14">
      <c r="A15" s="426" t="s">
        <v>336</v>
      </c>
      <c r="B15" s="320" t="s">
        <v>337</v>
      </c>
      <c r="C15" s="1275">
        <v>72176.800000000003</v>
      </c>
      <c r="D15" s="1275">
        <v>72176.800000000003</v>
      </c>
      <c r="E15" s="1275">
        <v>0</v>
      </c>
      <c r="F15" s="1275">
        <v>0</v>
      </c>
      <c r="G15" s="1275">
        <v>0</v>
      </c>
      <c r="H15" s="1275">
        <v>0</v>
      </c>
      <c r="I15" s="1275">
        <v>216530.4</v>
      </c>
      <c r="J15" s="1275">
        <v>0</v>
      </c>
      <c r="K15" s="1275">
        <v>0</v>
      </c>
      <c r="L15" s="1275">
        <v>0</v>
      </c>
      <c r="M15" s="1275">
        <v>0</v>
      </c>
      <c r="N15" s="1276">
        <f t="shared" si="0"/>
        <v>360884</v>
      </c>
    </row>
    <row r="16" spans="1:14">
      <c r="A16" s="426" t="s">
        <v>338</v>
      </c>
      <c r="B16" s="320" t="s">
        <v>339</v>
      </c>
      <c r="C16" s="1275">
        <v>0</v>
      </c>
      <c r="D16" s="1275">
        <v>0</v>
      </c>
      <c r="E16" s="1275">
        <v>520349.97572976683</v>
      </c>
      <c r="F16" s="1275">
        <v>0</v>
      </c>
      <c r="G16" s="1275">
        <v>0</v>
      </c>
      <c r="H16" s="1275">
        <v>0</v>
      </c>
      <c r="I16" s="1275">
        <v>0</v>
      </c>
      <c r="J16" s="1275">
        <v>237880.00199999998</v>
      </c>
      <c r="K16" s="1275">
        <v>465419.88531509798</v>
      </c>
      <c r="L16" s="1275">
        <v>409141.02549420868</v>
      </c>
      <c r="M16" s="1275">
        <v>123895.58799999999</v>
      </c>
      <c r="N16" s="1276">
        <f t="shared" si="0"/>
        <v>1756686.4765390735</v>
      </c>
    </row>
    <row r="17" spans="1:16">
      <c r="A17" s="426" t="s">
        <v>338</v>
      </c>
      <c r="B17" s="320" t="s">
        <v>340</v>
      </c>
      <c r="C17" s="1275">
        <v>0</v>
      </c>
      <c r="D17" s="1275">
        <v>0</v>
      </c>
      <c r="E17" s="1275">
        <v>1241029.48</v>
      </c>
      <c r="F17" s="1275">
        <v>0</v>
      </c>
      <c r="G17" s="1275">
        <v>0</v>
      </c>
      <c r="H17" s="1275">
        <v>0</v>
      </c>
      <c r="I17" s="1275">
        <v>0</v>
      </c>
      <c r="J17" s="1275">
        <v>480373.99800000002</v>
      </c>
      <c r="K17" s="1275">
        <v>1987194.1360000002</v>
      </c>
      <c r="L17" s="1275">
        <v>2826447.2</v>
      </c>
      <c r="M17" s="1275">
        <v>38271.412000000004</v>
      </c>
      <c r="N17" s="1276">
        <f t="shared" si="0"/>
        <v>6573316.2259999998</v>
      </c>
    </row>
    <row r="18" spans="1:16">
      <c r="A18" s="426" t="s">
        <v>341</v>
      </c>
      <c r="B18" s="320" t="s">
        <v>342</v>
      </c>
      <c r="C18" s="1275">
        <v>2500000</v>
      </c>
      <c r="D18" s="1275">
        <v>4200000</v>
      </c>
      <c r="E18" s="1275">
        <v>0</v>
      </c>
      <c r="F18" s="1275">
        <v>0</v>
      </c>
      <c r="G18" s="1275">
        <v>0</v>
      </c>
      <c r="H18" s="1275">
        <v>0</v>
      </c>
      <c r="I18" s="1275">
        <v>0</v>
      </c>
      <c r="J18" s="1275">
        <v>0</v>
      </c>
      <c r="K18" s="1275">
        <v>0</v>
      </c>
      <c r="L18" s="1275">
        <v>0</v>
      </c>
      <c r="M18" s="1275">
        <v>0</v>
      </c>
      <c r="N18" s="1276">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744</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5" thickBot="1">
      <c r="A31" s="1277"/>
      <c r="B31" s="430" t="s">
        <v>745</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78">
        <f>SUM(C28:M28)</f>
        <v>1</v>
      </c>
      <c r="O31" s="332"/>
      <c r="P31" s="332"/>
    </row>
    <row r="32" spans="1:16" ht="16.5" thickBot="1">
      <c r="A32" s="104"/>
      <c r="B32" s="331"/>
      <c r="C32" s="417"/>
      <c r="D32" s="417"/>
      <c r="E32" s="417"/>
      <c r="F32" s="417"/>
      <c r="G32" s="417"/>
      <c r="H32" s="417"/>
      <c r="I32" s="417"/>
      <c r="J32" s="417"/>
      <c r="K32" s="417"/>
      <c r="L32" s="417"/>
      <c r="M32" s="417"/>
      <c r="N32" s="332"/>
      <c r="O32" s="332"/>
      <c r="P32" s="332"/>
    </row>
    <row r="33" spans="1:29">
      <c r="A33" s="1701"/>
      <c r="B33" s="1698" t="s">
        <v>485</v>
      </c>
      <c r="C33" s="1699"/>
      <c r="D33" s="1699"/>
      <c r="E33" s="1699"/>
      <c r="F33" s="1700"/>
      <c r="G33" s="1698" t="s">
        <v>532</v>
      </c>
      <c r="H33" s="1699"/>
      <c r="I33" s="1700"/>
      <c r="J33" s="417"/>
      <c r="L33" s="417"/>
      <c r="M33" s="417"/>
      <c r="N33" s="332"/>
      <c r="O33" s="332"/>
      <c r="P33" s="332"/>
    </row>
    <row r="34" spans="1:29" ht="16.5" thickBot="1">
      <c r="A34" s="1702"/>
      <c r="B34" s="1177" t="s">
        <v>473</v>
      </c>
      <c r="C34" s="1178" t="s">
        <v>785</v>
      </c>
      <c r="D34" s="1178" t="s">
        <v>377</v>
      </c>
      <c r="E34" s="1178" t="s">
        <v>477</v>
      </c>
      <c r="F34" s="1179" t="s">
        <v>303</v>
      </c>
      <c r="G34" s="1177" t="s">
        <v>493</v>
      </c>
      <c r="H34" s="1178" t="s">
        <v>494</v>
      </c>
      <c r="I34" s="1179" t="s">
        <v>303</v>
      </c>
      <c r="J34" s="184"/>
      <c r="K34" s="184"/>
      <c r="L34" s="184"/>
    </row>
    <row r="35" spans="1:29">
      <c r="A35" s="1440" t="s">
        <v>267</v>
      </c>
      <c r="B35" s="1181">
        <f>(0.5*'Waste Summary 2017 SASOW'!M6+0.9*('Waste Summary 2017 SASOW'!L6+'Waste Summary 2017 SASOW'!N6))/'Waste Summary 2017 SASOW'!J6</f>
        <v>0.46471844811027063</v>
      </c>
      <c r="C35" s="1181">
        <f>'Waste Summary 2017 SASOW'!O22</f>
        <v>0.41381327103365251</v>
      </c>
      <c r="D35" s="1181">
        <f>(0.5*'Waste Summary 2017 SASOW'!M6+('Waste Summary 2017 SASOW'!L6+'Waste Summary 2017 SASOW'!N6)*0.1)/'Waste Summary 2017 SASOW'!J6</f>
        <v>0.12146828085607692</v>
      </c>
      <c r="E35" s="1182">
        <v>0</v>
      </c>
      <c r="F35" s="647">
        <f>SUM(B35:E35)</f>
        <v>1</v>
      </c>
      <c r="G35" s="708">
        <f>N17/(N17+N18*0.5)</f>
        <v>0.66241124199764068</v>
      </c>
      <c r="H35" s="647">
        <f>(N18*0.5)/(N18*0.5+N17)</f>
        <v>0.33758875800235938</v>
      </c>
      <c r="I35" s="715">
        <f>SUM(G35:H35)</f>
        <v>1</v>
      </c>
      <c r="J35" s="1635">
        <f>H35*C35</f>
        <v>0.13969870821314448</v>
      </c>
      <c r="K35" s="417"/>
      <c r="L35" s="184"/>
    </row>
    <row r="36" spans="1:29">
      <c r="A36" s="1441" t="s">
        <v>758</v>
      </c>
      <c r="B36" s="436">
        <f>'Waste Summary 2017 SASOW'!L20+'Waste Summary 2017 SASOW'!M20+'Waste Summary 2017 SASOW'!N20</f>
        <v>0.7821504466492184</v>
      </c>
      <c r="C36" s="436">
        <f>'Waste Summary 2017 SASOW'!O20</f>
        <v>8.8860692477895534E-2</v>
      </c>
      <c r="D36" s="436">
        <v>0</v>
      </c>
      <c r="E36" s="1180">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3"/>
      <c r="K36" s="184"/>
      <c r="L36" s="184"/>
      <c r="O36" s="332"/>
      <c r="P36" s="332"/>
    </row>
    <row r="37" spans="1:29">
      <c r="A37" s="1441" t="s">
        <v>759</v>
      </c>
      <c r="B37" s="436">
        <f>'Waste Summary 2017 SASOW'!L24+'Waste Summary 2017 SASOW'!M24+'Waste Summary 2017 SASOW'!N24</f>
        <v>0.57380711973947707</v>
      </c>
      <c r="C37" s="436">
        <f>'Waste Summary 2017 SASOW'!O24</f>
        <v>0.12526763815896438</v>
      </c>
      <c r="D37" s="436">
        <f>0</f>
        <v>0</v>
      </c>
      <c r="E37" s="1180">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2" t="s">
        <v>753</v>
      </c>
      <c r="B38" s="417">
        <v>0.8</v>
      </c>
      <c r="C38" s="417">
        <v>0.11</v>
      </c>
      <c r="D38" s="417">
        <v>0.09</v>
      </c>
      <c r="E38" s="417">
        <v>0</v>
      </c>
      <c r="F38" s="417">
        <f>SUM(B38:E38)</f>
        <v>1</v>
      </c>
      <c r="G38" s="649">
        <v>1</v>
      </c>
      <c r="H38" s="417">
        <v>0</v>
      </c>
      <c r="I38" s="525">
        <f t="shared" si="14"/>
        <v>1</v>
      </c>
      <c r="J38" s="184"/>
      <c r="K38" s="184"/>
      <c r="L38" s="184"/>
    </row>
    <row r="39" spans="1:29" ht="16.5" thickBot="1">
      <c r="A39" s="1443" t="s">
        <v>757</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5" thickBot="1">
      <c r="D40" s="184"/>
      <c r="G40" s="184"/>
      <c r="H40" s="435"/>
      <c r="I40" s="184"/>
      <c r="J40" s="184"/>
      <c r="K40" s="184"/>
      <c r="L40" s="433"/>
    </row>
    <row r="41" spans="1:29">
      <c r="A41" s="1703" t="s">
        <v>615</v>
      </c>
      <c r="B41" s="1704"/>
      <c r="C41" s="1705"/>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5"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5" thickBot="1">
      <c r="A44" s="435"/>
      <c r="B44" s="184"/>
      <c r="C44" s="417"/>
      <c r="D44" s="184"/>
      <c r="F44" s="432"/>
      <c r="G44" s="434"/>
      <c r="H44" s="434"/>
      <c r="I44" s="434"/>
      <c r="J44" s="434"/>
      <c r="K44" s="434"/>
      <c r="L44" s="434"/>
      <c r="M44" s="408"/>
    </row>
    <row r="45" spans="1:29">
      <c r="A45" s="435"/>
      <c r="B45" s="184"/>
      <c r="C45" s="417"/>
      <c r="D45" s="184"/>
    </row>
    <row r="46" spans="1:29" ht="16.5" thickBot="1">
      <c r="A46" s="435"/>
      <c r="B46" s="184"/>
      <c r="C46" s="417"/>
      <c r="D46" s="184"/>
    </row>
    <row r="47" spans="1:29" ht="16.5" thickBot="1">
      <c r="A47" s="435"/>
      <c r="B47" s="1717" t="s">
        <v>527</v>
      </c>
      <c r="C47" s="1718"/>
      <c r="D47" s="1718"/>
      <c r="E47" s="1719"/>
      <c r="F47" s="1110" t="s">
        <v>529</v>
      </c>
      <c r="G47" s="1110"/>
      <c r="H47" s="1110"/>
      <c r="I47" s="1706" t="s">
        <v>631</v>
      </c>
      <c r="J47" s="1706"/>
      <c r="K47" s="1706"/>
      <c r="L47" s="1706"/>
      <c r="M47" s="1707"/>
      <c r="N47" s="1708" t="s">
        <v>530</v>
      </c>
      <c r="O47" s="1706"/>
      <c r="P47" s="1706"/>
      <c r="Q47" s="1706"/>
      <c r="R47" s="1706"/>
      <c r="S47" s="1706"/>
      <c r="T47" s="1706"/>
      <c r="U47" s="1706"/>
      <c r="V47" s="1706"/>
      <c r="W47" s="1706"/>
      <c r="X47" s="1706"/>
      <c r="Y47" s="1706"/>
      <c r="Z47" s="1706"/>
      <c r="AA47" s="1706"/>
      <c r="AB47" s="1706"/>
      <c r="AC47" s="1707"/>
    </row>
    <row r="48" spans="1:29" ht="94.5">
      <c r="A48" s="1715" t="s">
        <v>217</v>
      </c>
      <c r="B48" s="1106" t="s">
        <v>218</v>
      </c>
      <c r="C48" s="1106" t="s">
        <v>390</v>
      </c>
      <c r="D48" s="563" t="s">
        <v>629</v>
      </c>
      <c r="E48" s="469" t="s">
        <v>630</v>
      </c>
      <c r="F48" s="1111" t="s">
        <v>501</v>
      </c>
      <c r="G48" s="563" t="s">
        <v>504</v>
      </c>
      <c r="H48" s="469" t="s">
        <v>528</v>
      </c>
      <c r="I48" s="1167" t="s">
        <v>478</v>
      </c>
      <c r="J48" s="444" t="s">
        <v>475</v>
      </c>
      <c r="K48" s="444" t="s">
        <v>288</v>
      </c>
      <c r="L48" s="451" t="s">
        <v>747</v>
      </c>
      <c r="M48" s="451" t="s">
        <v>748</v>
      </c>
      <c r="N48" s="1709" t="s">
        <v>481</v>
      </c>
      <c r="O48" s="1710"/>
      <c r="P48" s="1710"/>
      <c r="Q48" s="1710"/>
      <c r="R48" s="1710"/>
      <c r="S48" s="1710"/>
      <c r="T48" s="1710"/>
      <c r="U48" s="1711"/>
      <c r="V48" s="1712" t="s">
        <v>746</v>
      </c>
      <c r="W48" s="1713"/>
      <c r="X48" s="1713"/>
      <c r="Y48" s="1713"/>
      <c r="Z48" s="1713"/>
      <c r="AA48" s="1713"/>
      <c r="AB48" s="1713"/>
      <c r="AC48" s="1714"/>
    </row>
    <row r="49" spans="1:29" ht="39" customHeight="1" thickBot="1">
      <c r="A49" s="1716"/>
      <c r="B49" s="458" t="s">
        <v>232</v>
      </c>
      <c r="C49" s="459" t="s">
        <v>482</v>
      </c>
      <c r="D49" s="459" t="s">
        <v>480</v>
      </c>
      <c r="E49" s="477" t="s">
        <v>480</v>
      </c>
      <c r="F49" s="1112" t="s">
        <v>229</v>
      </c>
      <c r="G49" s="459" t="s">
        <v>229</v>
      </c>
      <c r="H49" s="477" t="s">
        <v>228</v>
      </c>
      <c r="I49" s="562" t="s">
        <v>227</v>
      </c>
      <c r="J49" s="446" t="s">
        <v>393</v>
      </c>
      <c r="K49" s="446" t="s">
        <v>228</v>
      </c>
      <c r="L49" s="1287" t="s">
        <v>228</v>
      </c>
      <c r="M49" s="447" t="s">
        <v>228</v>
      </c>
      <c r="N49" s="416" t="s">
        <v>221</v>
      </c>
      <c r="O49" s="185" t="s">
        <v>85</v>
      </c>
      <c r="P49" s="185" t="s">
        <v>87</v>
      </c>
      <c r="Q49" s="185" t="s">
        <v>222</v>
      </c>
      <c r="R49" s="185" t="s">
        <v>115</v>
      </c>
      <c r="S49" s="185" t="s">
        <v>223</v>
      </c>
      <c r="T49" s="185" t="s">
        <v>224</v>
      </c>
      <c r="U49" s="188" t="s">
        <v>225</v>
      </c>
      <c r="V49" s="1279" t="s">
        <v>221</v>
      </c>
      <c r="W49" s="1280" t="s">
        <v>85</v>
      </c>
      <c r="X49" s="1280" t="s">
        <v>87</v>
      </c>
      <c r="Y49" s="1280" t="s">
        <v>222</v>
      </c>
      <c r="Z49" s="1280" t="s">
        <v>115</v>
      </c>
      <c r="AA49" s="1280" t="s">
        <v>223</v>
      </c>
      <c r="AB49" s="1280" t="s">
        <v>224</v>
      </c>
      <c r="AC49" s="1281" t="s">
        <v>225</v>
      </c>
    </row>
    <row r="50" spans="1:29">
      <c r="A50" s="760">
        <f>year</f>
        <v>1950</v>
      </c>
      <c r="B50" s="1654">
        <v>5.3541578999999997</v>
      </c>
      <c r="C50" s="761"/>
      <c r="D50" s="1575">
        <v>0</v>
      </c>
      <c r="E50" s="1576">
        <v>0</v>
      </c>
      <c r="F50" s="186">
        <f>C43</f>
        <v>0.71479999999999999</v>
      </c>
      <c r="G50" s="186">
        <f>C42</f>
        <v>0.28959999999999997</v>
      </c>
      <c r="H50" s="478">
        <v>0</v>
      </c>
      <c r="I50" s="1288">
        <f>$C$3</f>
        <v>578.73</v>
      </c>
      <c r="J50" s="1289">
        <f>'Waste Summary 2017 SASOW'!B34</f>
        <v>28.06789123869763</v>
      </c>
      <c r="K50" s="1290">
        <f t="shared" ref="K50:K110" si="15">B50*I50</f>
        <v>3098.6118014670001</v>
      </c>
      <c r="L50" s="1290">
        <f>C50*J50*1000/1000</f>
        <v>0</v>
      </c>
      <c r="M50" s="1291">
        <f t="shared" ref="M50:M113" si="16">C50*J50*1000/1000</f>
        <v>0</v>
      </c>
      <c r="N50" s="1249">
        <f t="shared" ref="N50:S50" si="17">C29</f>
        <v>0.19892488097366726</v>
      </c>
      <c r="O50" s="1249">
        <f t="shared" si="17"/>
        <v>0.26585903447659598</v>
      </c>
      <c r="P50" s="1249">
        <f t="shared" si="17"/>
        <v>8.9228108703258049E-2</v>
      </c>
      <c r="Q50" s="1249">
        <f t="shared" si="17"/>
        <v>0</v>
      </c>
      <c r="R50" s="1249">
        <f t="shared" si="17"/>
        <v>0</v>
      </c>
      <c r="S50" s="1249">
        <f t="shared" si="17"/>
        <v>0</v>
      </c>
      <c r="T50" s="1249">
        <f>SUM(I29:M29)</f>
        <v>0.4459879758464787</v>
      </c>
      <c r="U50" s="1282">
        <f t="shared" ref="U50:U81" si="18">SUM(N50:T50)</f>
        <v>1</v>
      </c>
      <c r="V50" s="1283">
        <f>C31</f>
        <v>0.29028184578274857</v>
      </c>
      <c r="W50" s="1249">
        <f>D31</f>
        <v>0.30317187715157518</v>
      </c>
      <c r="X50" s="1249">
        <f>E31</f>
        <v>8.2805443243048754E-2</v>
      </c>
      <c r="Y50" s="1249">
        <f t="shared" ref="Y50:AA50" si="19">F31</f>
        <v>0</v>
      </c>
      <c r="Z50" s="1249">
        <f t="shared" si="19"/>
        <v>0</v>
      </c>
      <c r="AA50" s="1249">
        <f t="shared" si="19"/>
        <v>0</v>
      </c>
      <c r="AB50" s="1249">
        <f>SUM(I31:M31)</f>
        <v>0.32374083382262742</v>
      </c>
      <c r="AC50" s="1282">
        <f>SUM(V50:AB50)</f>
        <v>0.99999999999999989</v>
      </c>
    </row>
    <row r="51" spans="1:29">
      <c r="A51" s="187">
        <f t="shared" ref="A51:A82" si="20">A50+1</f>
        <v>1951</v>
      </c>
      <c r="B51" s="1655">
        <v>5.53942844</v>
      </c>
      <c r="C51" s="409"/>
      <c r="D51" s="1577">
        <v>0</v>
      </c>
      <c r="E51" s="1578">
        <v>0</v>
      </c>
      <c r="F51" s="186">
        <f>F50</f>
        <v>0.71479999999999999</v>
      </c>
      <c r="G51" s="186">
        <f>G50</f>
        <v>0.28959999999999997</v>
      </c>
      <c r="H51" s="478">
        <v>0</v>
      </c>
      <c r="I51" s="1292">
        <f t="shared" ref="I51:I109" si="21">$C$3</f>
        <v>578.73</v>
      </c>
      <c r="J51" s="1293">
        <f t="shared" ref="J51:J114" si="22">J50</f>
        <v>28.06789123869763</v>
      </c>
      <c r="K51" s="1294">
        <f t="shared" si="15"/>
        <v>3205.8334210812</v>
      </c>
      <c r="L51" s="1294">
        <f t="shared" ref="L51:L99" si="23">C51*J51*1000/1000</f>
        <v>0</v>
      </c>
      <c r="M51" s="1295">
        <f t="shared" si="16"/>
        <v>0</v>
      </c>
      <c r="N51" s="1249">
        <f t="shared" ref="N51:T66" si="24">N50</f>
        <v>0.19892488097366726</v>
      </c>
      <c r="O51" s="1249">
        <f t="shared" si="24"/>
        <v>0.26585903447659598</v>
      </c>
      <c r="P51" s="1249">
        <f t="shared" si="24"/>
        <v>8.9228108703258049E-2</v>
      </c>
      <c r="Q51" s="1249">
        <f t="shared" si="24"/>
        <v>0</v>
      </c>
      <c r="R51" s="1249">
        <f t="shared" si="24"/>
        <v>0</v>
      </c>
      <c r="S51" s="1249">
        <f t="shared" si="24"/>
        <v>0</v>
      </c>
      <c r="T51" s="1249">
        <f t="shared" si="24"/>
        <v>0.4459879758464787</v>
      </c>
      <c r="U51" s="1282">
        <f t="shared" si="18"/>
        <v>1</v>
      </c>
      <c r="V51" s="1283">
        <f>V50</f>
        <v>0.29028184578274857</v>
      </c>
      <c r="W51" s="1249">
        <f t="shared" ref="W51:AB66" si="25">W50</f>
        <v>0.30317187715157518</v>
      </c>
      <c r="X51" s="1249">
        <f t="shared" si="25"/>
        <v>8.2805443243048754E-2</v>
      </c>
      <c r="Y51" s="1249">
        <f t="shared" si="25"/>
        <v>0</v>
      </c>
      <c r="Z51" s="1249">
        <f t="shared" si="25"/>
        <v>0</v>
      </c>
      <c r="AA51" s="1249">
        <f t="shared" si="25"/>
        <v>0</v>
      </c>
      <c r="AB51" s="1249">
        <f t="shared" si="25"/>
        <v>0.32374083382262742</v>
      </c>
      <c r="AC51" s="1282">
        <f t="shared" ref="AC51:AC114" si="26">SUM(V51:AB51)</f>
        <v>0.99999999999999989</v>
      </c>
    </row>
    <row r="52" spans="1:29">
      <c r="A52" s="187">
        <f t="shared" si="20"/>
        <v>1952</v>
      </c>
      <c r="B52" s="1655">
        <v>5.7129272200000001</v>
      </c>
      <c r="C52" s="409"/>
      <c r="D52" s="1577">
        <v>0</v>
      </c>
      <c r="E52" s="1578">
        <v>0</v>
      </c>
      <c r="F52" s="186">
        <f t="shared" ref="F52:F115" si="27">F51</f>
        <v>0.71479999999999999</v>
      </c>
      <c r="G52" s="186">
        <f t="shared" ref="G52:G115" si="28">G51</f>
        <v>0.28959999999999997</v>
      </c>
      <c r="H52" s="478">
        <v>0</v>
      </c>
      <c r="I52" s="1292">
        <f t="shared" si="21"/>
        <v>578.73</v>
      </c>
      <c r="J52" s="1293">
        <f t="shared" si="22"/>
        <v>28.06789123869763</v>
      </c>
      <c r="K52" s="1294">
        <f t="shared" si="15"/>
        <v>3306.2423700306003</v>
      </c>
      <c r="L52" s="1294">
        <f t="shared" si="23"/>
        <v>0</v>
      </c>
      <c r="M52" s="1295">
        <f t="shared" si="16"/>
        <v>0</v>
      </c>
      <c r="N52" s="1249">
        <f t="shared" si="24"/>
        <v>0.19892488097366726</v>
      </c>
      <c r="O52" s="1249">
        <f t="shared" si="24"/>
        <v>0.26585903447659598</v>
      </c>
      <c r="P52" s="1249">
        <f t="shared" si="24"/>
        <v>8.9228108703258049E-2</v>
      </c>
      <c r="Q52" s="1249">
        <f t="shared" si="24"/>
        <v>0</v>
      </c>
      <c r="R52" s="1249">
        <f t="shared" si="24"/>
        <v>0</v>
      </c>
      <c r="S52" s="1249">
        <f t="shared" si="24"/>
        <v>0</v>
      </c>
      <c r="T52" s="1249">
        <f t="shared" si="24"/>
        <v>0.4459879758464787</v>
      </c>
      <c r="U52" s="1282">
        <f t="shared" si="18"/>
        <v>1</v>
      </c>
      <c r="V52" s="1283">
        <f t="shared" ref="V52:AB67" si="29">V51</f>
        <v>0.29028184578274857</v>
      </c>
      <c r="W52" s="1249">
        <f t="shared" si="25"/>
        <v>0.30317187715157518</v>
      </c>
      <c r="X52" s="1249">
        <f t="shared" si="25"/>
        <v>8.2805443243048754E-2</v>
      </c>
      <c r="Y52" s="1249">
        <f t="shared" si="25"/>
        <v>0</v>
      </c>
      <c r="Z52" s="1249">
        <f t="shared" si="25"/>
        <v>0</v>
      </c>
      <c r="AA52" s="1249">
        <f t="shared" si="25"/>
        <v>0</v>
      </c>
      <c r="AB52" s="1249">
        <f t="shared" si="25"/>
        <v>0.32374083382262742</v>
      </c>
      <c r="AC52" s="1282">
        <f t="shared" si="26"/>
        <v>0.99999999999999989</v>
      </c>
    </row>
    <row r="53" spans="1:29">
      <c r="A53" s="187">
        <f t="shared" si="20"/>
        <v>1953</v>
      </c>
      <c r="B53" s="1655">
        <v>5.9284297800000001</v>
      </c>
      <c r="C53" s="409"/>
      <c r="D53" s="1577">
        <v>0</v>
      </c>
      <c r="E53" s="1578">
        <v>0</v>
      </c>
      <c r="F53" s="186">
        <f t="shared" si="27"/>
        <v>0.71479999999999999</v>
      </c>
      <c r="G53" s="186">
        <f t="shared" si="28"/>
        <v>0.28959999999999997</v>
      </c>
      <c r="H53" s="478">
        <v>0</v>
      </c>
      <c r="I53" s="1292">
        <f t="shared" si="21"/>
        <v>578.73</v>
      </c>
      <c r="J53" s="1293">
        <f t="shared" si="22"/>
        <v>28.06789123869763</v>
      </c>
      <c r="K53" s="1294">
        <f t="shared" si="15"/>
        <v>3430.9601665794003</v>
      </c>
      <c r="L53" s="1294">
        <f t="shared" si="23"/>
        <v>0</v>
      </c>
      <c r="M53" s="1295">
        <f t="shared" si="16"/>
        <v>0</v>
      </c>
      <c r="N53" s="1249">
        <f t="shared" si="24"/>
        <v>0.19892488097366726</v>
      </c>
      <c r="O53" s="1249">
        <f t="shared" si="24"/>
        <v>0.26585903447659598</v>
      </c>
      <c r="P53" s="1249">
        <f t="shared" si="24"/>
        <v>8.9228108703258049E-2</v>
      </c>
      <c r="Q53" s="1249">
        <f t="shared" si="24"/>
        <v>0</v>
      </c>
      <c r="R53" s="1249">
        <f t="shared" si="24"/>
        <v>0</v>
      </c>
      <c r="S53" s="1249">
        <f t="shared" si="24"/>
        <v>0</v>
      </c>
      <c r="T53" s="1249">
        <f t="shared" si="24"/>
        <v>0.4459879758464787</v>
      </c>
      <c r="U53" s="1282">
        <f t="shared" si="18"/>
        <v>1</v>
      </c>
      <c r="V53" s="1283">
        <f t="shared" si="29"/>
        <v>0.29028184578274857</v>
      </c>
      <c r="W53" s="1249">
        <f t="shared" si="25"/>
        <v>0.30317187715157518</v>
      </c>
      <c r="X53" s="1249">
        <f t="shared" si="25"/>
        <v>8.2805443243048754E-2</v>
      </c>
      <c r="Y53" s="1249">
        <f t="shared" si="25"/>
        <v>0</v>
      </c>
      <c r="Z53" s="1249">
        <f t="shared" si="25"/>
        <v>0</v>
      </c>
      <c r="AA53" s="1249">
        <f t="shared" si="25"/>
        <v>0</v>
      </c>
      <c r="AB53" s="1249">
        <f t="shared" si="25"/>
        <v>0.32374083382262742</v>
      </c>
      <c r="AC53" s="1282">
        <f t="shared" si="26"/>
        <v>0.99999999999999989</v>
      </c>
    </row>
    <row r="54" spans="1:29">
      <c r="A54" s="187">
        <f t="shared" si="20"/>
        <v>1954</v>
      </c>
      <c r="B54" s="1655">
        <v>6.1065695599999996</v>
      </c>
      <c r="C54" s="409"/>
      <c r="D54" s="1577">
        <v>0</v>
      </c>
      <c r="E54" s="1578">
        <v>0</v>
      </c>
      <c r="F54" s="186">
        <f t="shared" si="27"/>
        <v>0.71479999999999999</v>
      </c>
      <c r="G54" s="186">
        <f t="shared" si="28"/>
        <v>0.28959999999999997</v>
      </c>
      <c r="H54" s="478">
        <v>0</v>
      </c>
      <c r="I54" s="1292">
        <f t="shared" si="21"/>
        <v>578.73</v>
      </c>
      <c r="J54" s="1293">
        <f t="shared" si="22"/>
        <v>28.06789123869763</v>
      </c>
      <c r="K54" s="1294">
        <f t="shared" si="15"/>
        <v>3534.0550014587998</v>
      </c>
      <c r="L54" s="1294">
        <f t="shared" si="23"/>
        <v>0</v>
      </c>
      <c r="M54" s="1295">
        <f t="shared" si="16"/>
        <v>0</v>
      </c>
      <c r="N54" s="1249">
        <f t="shared" si="24"/>
        <v>0.19892488097366726</v>
      </c>
      <c r="O54" s="1249">
        <f t="shared" si="24"/>
        <v>0.26585903447659598</v>
      </c>
      <c r="P54" s="1249">
        <f t="shared" si="24"/>
        <v>8.9228108703258049E-2</v>
      </c>
      <c r="Q54" s="1249">
        <f t="shared" si="24"/>
        <v>0</v>
      </c>
      <c r="R54" s="1249">
        <f t="shared" si="24"/>
        <v>0</v>
      </c>
      <c r="S54" s="1249">
        <f t="shared" si="24"/>
        <v>0</v>
      </c>
      <c r="T54" s="1249">
        <f t="shared" si="24"/>
        <v>0.4459879758464787</v>
      </c>
      <c r="U54" s="1282">
        <f t="shared" si="18"/>
        <v>1</v>
      </c>
      <c r="V54" s="1283">
        <f t="shared" si="29"/>
        <v>0.29028184578274857</v>
      </c>
      <c r="W54" s="1249">
        <f t="shared" si="25"/>
        <v>0.30317187715157518</v>
      </c>
      <c r="X54" s="1249">
        <f t="shared" si="25"/>
        <v>8.2805443243048754E-2</v>
      </c>
      <c r="Y54" s="1249">
        <f t="shared" si="25"/>
        <v>0</v>
      </c>
      <c r="Z54" s="1249">
        <f t="shared" si="25"/>
        <v>0</v>
      </c>
      <c r="AA54" s="1249">
        <f t="shared" si="25"/>
        <v>0</v>
      </c>
      <c r="AB54" s="1249">
        <f t="shared" si="25"/>
        <v>0.32374083382262742</v>
      </c>
      <c r="AC54" s="1282">
        <f t="shared" si="26"/>
        <v>0.99999999999999989</v>
      </c>
    </row>
    <row r="55" spans="1:29">
      <c r="A55" s="187">
        <f t="shared" si="20"/>
        <v>1955</v>
      </c>
      <c r="B55" s="1655">
        <v>6.2725644799999998</v>
      </c>
      <c r="C55" s="409"/>
      <c r="D55" s="1577">
        <v>0</v>
      </c>
      <c r="E55" s="1578">
        <v>0</v>
      </c>
      <c r="F55" s="186">
        <f t="shared" si="27"/>
        <v>0.71479999999999999</v>
      </c>
      <c r="G55" s="186">
        <f t="shared" si="28"/>
        <v>0.28959999999999997</v>
      </c>
      <c r="H55" s="478">
        <v>0</v>
      </c>
      <c r="I55" s="1292">
        <f t="shared" si="21"/>
        <v>578.73</v>
      </c>
      <c r="J55" s="1293">
        <f t="shared" si="22"/>
        <v>28.06789123869763</v>
      </c>
      <c r="K55" s="1294">
        <f t="shared" si="15"/>
        <v>3630.1212415104001</v>
      </c>
      <c r="L55" s="1294">
        <f t="shared" si="23"/>
        <v>0</v>
      </c>
      <c r="M55" s="1295">
        <f t="shared" si="16"/>
        <v>0</v>
      </c>
      <c r="N55" s="1249">
        <f t="shared" si="24"/>
        <v>0.19892488097366726</v>
      </c>
      <c r="O55" s="1249">
        <f t="shared" si="24"/>
        <v>0.26585903447659598</v>
      </c>
      <c r="P55" s="1249">
        <f t="shared" si="24"/>
        <v>8.9228108703258049E-2</v>
      </c>
      <c r="Q55" s="1249">
        <f t="shared" si="24"/>
        <v>0</v>
      </c>
      <c r="R55" s="1249">
        <f t="shared" si="24"/>
        <v>0</v>
      </c>
      <c r="S55" s="1249">
        <f t="shared" si="24"/>
        <v>0</v>
      </c>
      <c r="T55" s="1249">
        <f t="shared" si="24"/>
        <v>0.4459879758464787</v>
      </c>
      <c r="U55" s="1282">
        <f t="shared" si="18"/>
        <v>1</v>
      </c>
      <c r="V55" s="1283">
        <f t="shared" si="29"/>
        <v>0.29028184578274857</v>
      </c>
      <c r="W55" s="1249">
        <f t="shared" si="25"/>
        <v>0.30317187715157518</v>
      </c>
      <c r="X55" s="1249">
        <f t="shared" si="25"/>
        <v>8.2805443243048754E-2</v>
      </c>
      <c r="Y55" s="1249">
        <f t="shared" si="25"/>
        <v>0</v>
      </c>
      <c r="Z55" s="1249">
        <f t="shared" si="25"/>
        <v>0</v>
      </c>
      <c r="AA55" s="1249">
        <f t="shared" si="25"/>
        <v>0</v>
      </c>
      <c r="AB55" s="1249">
        <f t="shared" si="25"/>
        <v>0.32374083382262742</v>
      </c>
      <c r="AC55" s="1282">
        <f t="shared" si="26"/>
        <v>0.99999999999999989</v>
      </c>
    </row>
    <row r="56" spans="1:29">
      <c r="A56" s="187">
        <f t="shared" si="20"/>
        <v>1956</v>
      </c>
      <c r="B56" s="1655">
        <v>6.4651860000000001</v>
      </c>
      <c r="C56" s="409"/>
      <c r="D56" s="1577">
        <v>0</v>
      </c>
      <c r="E56" s="1578">
        <v>0</v>
      </c>
      <c r="F56" s="186">
        <f t="shared" si="27"/>
        <v>0.71479999999999999</v>
      </c>
      <c r="G56" s="186">
        <f t="shared" si="28"/>
        <v>0.28959999999999997</v>
      </c>
      <c r="H56" s="478">
        <v>0</v>
      </c>
      <c r="I56" s="1292">
        <f t="shared" si="21"/>
        <v>578.73</v>
      </c>
      <c r="J56" s="1293">
        <f t="shared" si="22"/>
        <v>28.06789123869763</v>
      </c>
      <c r="K56" s="1294">
        <f t="shared" si="15"/>
        <v>3741.5970937800003</v>
      </c>
      <c r="L56" s="1294">
        <f t="shared" si="23"/>
        <v>0</v>
      </c>
      <c r="M56" s="1295">
        <f t="shared" si="16"/>
        <v>0</v>
      </c>
      <c r="N56" s="1249">
        <f t="shared" si="24"/>
        <v>0.19892488097366726</v>
      </c>
      <c r="O56" s="1249">
        <f t="shared" si="24"/>
        <v>0.26585903447659598</v>
      </c>
      <c r="P56" s="1249">
        <f t="shared" si="24"/>
        <v>8.9228108703258049E-2</v>
      </c>
      <c r="Q56" s="1249">
        <f t="shared" si="24"/>
        <v>0</v>
      </c>
      <c r="R56" s="1249">
        <f t="shared" si="24"/>
        <v>0</v>
      </c>
      <c r="S56" s="1249">
        <f t="shared" si="24"/>
        <v>0</v>
      </c>
      <c r="T56" s="1249">
        <f t="shared" si="24"/>
        <v>0.4459879758464787</v>
      </c>
      <c r="U56" s="1282">
        <f t="shared" si="18"/>
        <v>1</v>
      </c>
      <c r="V56" s="1283">
        <f t="shared" si="29"/>
        <v>0.29028184578274857</v>
      </c>
      <c r="W56" s="1249">
        <f t="shared" si="25"/>
        <v>0.30317187715157518</v>
      </c>
      <c r="X56" s="1249">
        <f t="shared" si="25"/>
        <v>8.2805443243048754E-2</v>
      </c>
      <c r="Y56" s="1249">
        <f t="shared" si="25"/>
        <v>0</v>
      </c>
      <c r="Z56" s="1249">
        <f t="shared" si="25"/>
        <v>0</v>
      </c>
      <c r="AA56" s="1249">
        <f t="shared" si="25"/>
        <v>0</v>
      </c>
      <c r="AB56" s="1249">
        <f t="shared" si="25"/>
        <v>0.32374083382262742</v>
      </c>
      <c r="AC56" s="1282">
        <f t="shared" si="26"/>
        <v>0.99999999999999989</v>
      </c>
    </row>
    <row r="57" spans="1:29">
      <c r="A57" s="187">
        <f t="shared" si="20"/>
        <v>1957</v>
      </c>
      <c r="B57" s="1655">
        <v>6.6592707999999998</v>
      </c>
      <c r="C57" s="409"/>
      <c r="D57" s="1577">
        <v>0</v>
      </c>
      <c r="E57" s="1578">
        <v>0</v>
      </c>
      <c r="F57" s="186">
        <f t="shared" si="27"/>
        <v>0.71479999999999999</v>
      </c>
      <c r="G57" s="186">
        <f t="shared" si="28"/>
        <v>0.28959999999999997</v>
      </c>
      <c r="H57" s="478">
        <v>0</v>
      </c>
      <c r="I57" s="1292">
        <f t="shared" si="21"/>
        <v>578.73</v>
      </c>
      <c r="J57" s="1293">
        <f t="shared" si="22"/>
        <v>28.06789123869763</v>
      </c>
      <c r="K57" s="1294">
        <f t="shared" si="15"/>
        <v>3853.9197900839999</v>
      </c>
      <c r="L57" s="1294">
        <f t="shared" si="23"/>
        <v>0</v>
      </c>
      <c r="M57" s="1295">
        <f t="shared" si="16"/>
        <v>0</v>
      </c>
      <c r="N57" s="1249">
        <f t="shared" si="24"/>
        <v>0.19892488097366726</v>
      </c>
      <c r="O57" s="1249">
        <f t="shared" si="24"/>
        <v>0.26585903447659598</v>
      </c>
      <c r="P57" s="1249">
        <f t="shared" si="24"/>
        <v>8.9228108703258049E-2</v>
      </c>
      <c r="Q57" s="1249">
        <f t="shared" si="24"/>
        <v>0</v>
      </c>
      <c r="R57" s="1249">
        <f t="shared" si="24"/>
        <v>0</v>
      </c>
      <c r="S57" s="1249">
        <f t="shared" si="24"/>
        <v>0</v>
      </c>
      <c r="T57" s="1249">
        <f t="shared" si="24"/>
        <v>0.4459879758464787</v>
      </c>
      <c r="U57" s="1282">
        <f t="shared" si="18"/>
        <v>1</v>
      </c>
      <c r="V57" s="1283">
        <f t="shared" si="29"/>
        <v>0.29028184578274857</v>
      </c>
      <c r="W57" s="1249">
        <f t="shared" si="25"/>
        <v>0.30317187715157518</v>
      </c>
      <c r="X57" s="1249">
        <f t="shared" si="25"/>
        <v>8.2805443243048754E-2</v>
      </c>
      <c r="Y57" s="1249">
        <f t="shared" si="25"/>
        <v>0</v>
      </c>
      <c r="Z57" s="1249">
        <f t="shared" si="25"/>
        <v>0</v>
      </c>
      <c r="AA57" s="1249">
        <f t="shared" si="25"/>
        <v>0</v>
      </c>
      <c r="AB57" s="1249">
        <f t="shared" si="25"/>
        <v>0.32374083382262742</v>
      </c>
      <c r="AC57" s="1282">
        <f t="shared" si="26"/>
        <v>0.99999999999999989</v>
      </c>
    </row>
    <row r="58" spans="1:29">
      <c r="A58" s="187">
        <f t="shared" si="20"/>
        <v>1958</v>
      </c>
      <c r="B58" s="1655">
        <v>6.8699176</v>
      </c>
      <c r="C58" s="409"/>
      <c r="D58" s="1577">
        <v>0</v>
      </c>
      <c r="E58" s="1578">
        <v>0</v>
      </c>
      <c r="F58" s="186">
        <f t="shared" si="27"/>
        <v>0.71479999999999999</v>
      </c>
      <c r="G58" s="186">
        <f t="shared" si="28"/>
        <v>0.28959999999999997</v>
      </c>
      <c r="H58" s="478">
        <v>0</v>
      </c>
      <c r="I58" s="1292">
        <f t="shared" si="21"/>
        <v>578.73</v>
      </c>
      <c r="J58" s="1293">
        <f t="shared" si="22"/>
        <v>28.06789123869763</v>
      </c>
      <c r="K58" s="1294">
        <f t="shared" si="15"/>
        <v>3975.8274126480001</v>
      </c>
      <c r="L58" s="1294">
        <f t="shared" si="23"/>
        <v>0</v>
      </c>
      <c r="M58" s="1295">
        <f t="shared" si="16"/>
        <v>0</v>
      </c>
      <c r="N58" s="1249">
        <f t="shared" si="24"/>
        <v>0.19892488097366726</v>
      </c>
      <c r="O58" s="1249">
        <f t="shared" si="24"/>
        <v>0.26585903447659598</v>
      </c>
      <c r="P58" s="1249">
        <f t="shared" si="24"/>
        <v>8.9228108703258049E-2</v>
      </c>
      <c r="Q58" s="1249">
        <f t="shared" si="24"/>
        <v>0</v>
      </c>
      <c r="R58" s="1249">
        <f t="shared" si="24"/>
        <v>0</v>
      </c>
      <c r="S58" s="1249">
        <f t="shared" si="24"/>
        <v>0</v>
      </c>
      <c r="T58" s="1249">
        <f t="shared" si="24"/>
        <v>0.4459879758464787</v>
      </c>
      <c r="U58" s="1282">
        <f t="shared" si="18"/>
        <v>1</v>
      </c>
      <c r="V58" s="1283">
        <f t="shared" si="29"/>
        <v>0.29028184578274857</v>
      </c>
      <c r="W58" s="1249">
        <f t="shared" si="25"/>
        <v>0.30317187715157518</v>
      </c>
      <c r="X58" s="1249">
        <f t="shared" si="25"/>
        <v>8.2805443243048754E-2</v>
      </c>
      <c r="Y58" s="1249">
        <f t="shared" si="25"/>
        <v>0</v>
      </c>
      <c r="Z58" s="1249">
        <f t="shared" si="25"/>
        <v>0</v>
      </c>
      <c r="AA58" s="1249">
        <f t="shared" si="25"/>
        <v>0</v>
      </c>
      <c r="AB58" s="1249">
        <f t="shared" si="25"/>
        <v>0.32374083382262742</v>
      </c>
      <c r="AC58" s="1282">
        <f t="shared" si="26"/>
        <v>0.99999999999999989</v>
      </c>
    </row>
    <row r="59" spans="1:29">
      <c r="A59" s="187">
        <f t="shared" si="20"/>
        <v>1959</v>
      </c>
      <c r="B59" s="1655">
        <v>7.0827593200000001</v>
      </c>
      <c r="C59" s="409"/>
      <c r="D59" s="1577">
        <v>0</v>
      </c>
      <c r="E59" s="1578">
        <v>0</v>
      </c>
      <c r="F59" s="186">
        <f t="shared" si="27"/>
        <v>0.71479999999999999</v>
      </c>
      <c r="G59" s="186">
        <f t="shared" si="28"/>
        <v>0.28959999999999997</v>
      </c>
      <c r="H59" s="478">
        <v>0</v>
      </c>
      <c r="I59" s="1292">
        <f t="shared" si="21"/>
        <v>578.73</v>
      </c>
      <c r="J59" s="1293">
        <f t="shared" si="22"/>
        <v>28.06789123869763</v>
      </c>
      <c r="K59" s="1294">
        <f t="shared" si="15"/>
        <v>4099.0053012635999</v>
      </c>
      <c r="L59" s="1294">
        <f t="shared" si="23"/>
        <v>0</v>
      </c>
      <c r="M59" s="1295">
        <f t="shared" si="16"/>
        <v>0</v>
      </c>
      <c r="N59" s="1249">
        <f t="shared" si="24"/>
        <v>0.19892488097366726</v>
      </c>
      <c r="O59" s="1249">
        <f t="shared" si="24"/>
        <v>0.26585903447659598</v>
      </c>
      <c r="P59" s="1249">
        <f t="shared" si="24"/>
        <v>8.9228108703258049E-2</v>
      </c>
      <c r="Q59" s="1249">
        <f t="shared" si="24"/>
        <v>0</v>
      </c>
      <c r="R59" s="1249">
        <f t="shared" si="24"/>
        <v>0</v>
      </c>
      <c r="S59" s="1249">
        <f t="shared" si="24"/>
        <v>0</v>
      </c>
      <c r="T59" s="1249">
        <f t="shared" si="24"/>
        <v>0.4459879758464787</v>
      </c>
      <c r="U59" s="1282">
        <f t="shared" si="18"/>
        <v>1</v>
      </c>
      <c r="V59" s="1283">
        <f t="shared" si="29"/>
        <v>0.29028184578274857</v>
      </c>
      <c r="W59" s="1249">
        <f t="shared" si="25"/>
        <v>0.30317187715157518</v>
      </c>
      <c r="X59" s="1249">
        <f t="shared" si="25"/>
        <v>8.2805443243048754E-2</v>
      </c>
      <c r="Y59" s="1249">
        <f t="shared" si="25"/>
        <v>0</v>
      </c>
      <c r="Z59" s="1249">
        <f t="shared" si="25"/>
        <v>0</v>
      </c>
      <c r="AA59" s="1249">
        <f t="shared" si="25"/>
        <v>0</v>
      </c>
      <c r="AB59" s="1249">
        <f t="shared" si="25"/>
        <v>0.32374083382262742</v>
      </c>
      <c r="AC59" s="1282">
        <f t="shared" si="26"/>
        <v>0.99999999999999989</v>
      </c>
    </row>
    <row r="60" spans="1:29">
      <c r="A60" s="187">
        <f t="shared" si="20"/>
        <v>1960</v>
      </c>
      <c r="B60" s="1655">
        <v>7.2819655999999995</v>
      </c>
      <c r="C60" s="529"/>
      <c r="D60" s="1577">
        <v>0</v>
      </c>
      <c r="E60" s="1578">
        <v>0</v>
      </c>
      <c r="F60" s="186">
        <f t="shared" si="27"/>
        <v>0.71479999999999999</v>
      </c>
      <c r="G60" s="186">
        <f t="shared" si="28"/>
        <v>0.28959999999999997</v>
      </c>
      <c r="H60" s="478">
        <v>0</v>
      </c>
      <c r="I60" s="1292">
        <f t="shared" si="21"/>
        <v>578.73</v>
      </c>
      <c r="J60" s="1293">
        <f t="shared" si="22"/>
        <v>28.06789123869763</v>
      </c>
      <c r="K60" s="1294">
        <f t="shared" si="15"/>
        <v>4214.2919516880002</v>
      </c>
      <c r="L60" s="1294">
        <f t="shared" si="23"/>
        <v>0</v>
      </c>
      <c r="M60" s="1295">
        <f t="shared" si="16"/>
        <v>0</v>
      </c>
      <c r="N60" s="1249">
        <f t="shared" si="24"/>
        <v>0.19892488097366726</v>
      </c>
      <c r="O60" s="1249">
        <f t="shared" si="24"/>
        <v>0.26585903447659598</v>
      </c>
      <c r="P60" s="1249">
        <f t="shared" si="24"/>
        <v>8.9228108703258049E-2</v>
      </c>
      <c r="Q60" s="1249">
        <f t="shared" si="24"/>
        <v>0</v>
      </c>
      <c r="R60" s="1249">
        <f t="shared" si="24"/>
        <v>0</v>
      </c>
      <c r="S60" s="1249">
        <f t="shared" si="24"/>
        <v>0</v>
      </c>
      <c r="T60" s="1249">
        <f t="shared" si="24"/>
        <v>0.4459879758464787</v>
      </c>
      <c r="U60" s="1282">
        <f t="shared" si="18"/>
        <v>1</v>
      </c>
      <c r="V60" s="1283">
        <f t="shared" si="29"/>
        <v>0.29028184578274857</v>
      </c>
      <c r="W60" s="1249">
        <f t="shared" si="25"/>
        <v>0.30317187715157518</v>
      </c>
      <c r="X60" s="1249">
        <f t="shared" si="25"/>
        <v>8.2805443243048754E-2</v>
      </c>
      <c r="Y60" s="1249">
        <f t="shared" si="25"/>
        <v>0</v>
      </c>
      <c r="Z60" s="1249">
        <f t="shared" si="25"/>
        <v>0</v>
      </c>
      <c r="AA60" s="1249">
        <f t="shared" si="25"/>
        <v>0</v>
      </c>
      <c r="AB60" s="1249">
        <f t="shared" si="25"/>
        <v>0.32374083382262742</v>
      </c>
      <c r="AC60" s="1282">
        <f t="shared" si="26"/>
        <v>0.99999999999999989</v>
      </c>
    </row>
    <row r="61" spans="1:29">
      <c r="A61" s="187">
        <f t="shared" si="20"/>
        <v>1961</v>
      </c>
      <c r="B61" s="1655">
        <v>7.6498422000000001</v>
      </c>
      <c r="C61" s="528">
        <v>599.59447889563342</v>
      </c>
      <c r="D61" s="1577">
        <v>0</v>
      </c>
      <c r="E61" s="1578">
        <v>0</v>
      </c>
      <c r="F61" s="186">
        <f t="shared" si="27"/>
        <v>0.71479999999999999</v>
      </c>
      <c r="G61" s="186">
        <f t="shared" si="28"/>
        <v>0.28959999999999997</v>
      </c>
      <c r="H61" s="478">
        <v>0</v>
      </c>
      <c r="I61" s="1292">
        <f t="shared" si="21"/>
        <v>578.73</v>
      </c>
      <c r="J61" s="1293">
        <f t="shared" si="22"/>
        <v>28.06789123869763</v>
      </c>
      <c r="K61" s="1294">
        <f t="shared" si="15"/>
        <v>4427.193176406</v>
      </c>
      <c r="L61" s="1294">
        <f t="shared" si="23"/>
        <v>16829.35262096622</v>
      </c>
      <c r="M61" s="1295">
        <f t="shared" si="16"/>
        <v>16829.35262096622</v>
      </c>
      <c r="N61" s="1249">
        <f t="shared" si="24"/>
        <v>0.19892488097366726</v>
      </c>
      <c r="O61" s="1249">
        <f t="shared" si="24"/>
        <v>0.26585903447659598</v>
      </c>
      <c r="P61" s="1249">
        <f t="shared" si="24"/>
        <v>8.9228108703258049E-2</v>
      </c>
      <c r="Q61" s="1249">
        <f t="shared" si="24"/>
        <v>0</v>
      </c>
      <c r="R61" s="1249">
        <f t="shared" si="24"/>
        <v>0</v>
      </c>
      <c r="S61" s="1249">
        <f t="shared" si="24"/>
        <v>0</v>
      </c>
      <c r="T61" s="1249">
        <f t="shared" si="24"/>
        <v>0.4459879758464787</v>
      </c>
      <c r="U61" s="1282">
        <f t="shared" si="18"/>
        <v>1</v>
      </c>
      <c r="V61" s="1283">
        <f t="shared" si="29"/>
        <v>0.29028184578274857</v>
      </c>
      <c r="W61" s="1249">
        <f t="shared" si="25"/>
        <v>0.30317187715157518</v>
      </c>
      <c r="X61" s="1249">
        <f t="shared" si="25"/>
        <v>8.2805443243048754E-2</v>
      </c>
      <c r="Y61" s="1249">
        <f t="shared" si="25"/>
        <v>0</v>
      </c>
      <c r="Z61" s="1249">
        <f t="shared" si="25"/>
        <v>0</v>
      </c>
      <c r="AA61" s="1249">
        <f t="shared" si="25"/>
        <v>0</v>
      </c>
      <c r="AB61" s="1249">
        <f t="shared" si="25"/>
        <v>0.32374083382262742</v>
      </c>
      <c r="AC61" s="1282">
        <f t="shared" si="26"/>
        <v>0.99999999999999989</v>
      </c>
    </row>
    <row r="62" spans="1:29">
      <c r="A62" s="187">
        <f t="shared" si="20"/>
        <v>1962</v>
      </c>
      <c r="B62" s="1655">
        <v>7.8559936000000006</v>
      </c>
      <c r="C62" s="528">
        <v>636.63672484588017</v>
      </c>
      <c r="D62" s="1577">
        <v>0</v>
      </c>
      <c r="E62" s="1578">
        <v>0</v>
      </c>
      <c r="F62" s="186">
        <f t="shared" si="27"/>
        <v>0.71479999999999999</v>
      </c>
      <c r="G62" s="186">
        <f t="shared" si="28"/>
        <v>0.28959999999999997</v>
      </c>
      <c r="H62" s="478">
        <v>0</v>
      </c>
      <c r="I62" s="1292">
        <f t="shared" si="21"/>
        <v>578.73</v>
      </c>
      <c r="J62" s="1293">
        <f t="shared" si="22"/>
        <v>28.06789123869763</v>
      </c>
      <c r="K62" s="1294">
        <f t="shared" si="15"/>
        <v>4546.4991761280007</v>
      </c>
      <c r="L62" s="1294">
        <f t="shared" si="23"/>
        <v>17869.050351534835</v>
      </c>
      <c r="M62" s="1295">
        <f t="shared" si="16"/>
        <v>17869.050351534835</v>
      </c>
      <c r="N62" s="1249">
        <f t="shared" si="24"/>
        <v>0.19892488097366726</v>
      </c>
      <c r="O62" s="1249">
        <f t="shared" si="24"/>
        <v>0.26585903447659598</v>
      </c>
      <c r="P62" s="1249">
        <f t="shared" si="24"/>
        <v>8.9228108703258049E-2</v>
      </c>
      <c r="Q62" s="1249">
        <f t="shared" si="24"/>
        <v>0</v>
      </c>
      <c r="R62" s="1249">
        <f t="shared" si="24"/>
        <v>0</v>
      </c>
      <c r="S62" s="1249">
        <f t="shared" si="24"/>
        <v>0</v>
      </c>
      <c r="T62" s="1249">
        <f t="shared" si="24"/>
        <v>0.4459879758464787</v>
      </c>
      <c r="U62" s="1282">
        <f t="shared" si="18"/>
        <v>1</v>
      </c>
      <c r="V62" s="1283">
        <f t="shared" si="29"/>
        <v>0.29028184578274857</v>
      </c>
      <c r="W62" s="1249">
        <f t="shared" si="25"/>
        <v>0.30317187715157518</v>
      </c>
      <c r="X62" s="1249">
        <f t="shared" si="25"/>
        <v>8.2805443243048754E-2</v>
      </c>
      <c r="Y62" s="1249">
        <f t="shared" si="25"/>
        <v>0</v>
      </c>
      <c r="Z62" s="1249">
        <f t="shared" si="25"/>
        <v>0</v>
      </c>
      <c r="AA62" s="1249">
        <f t="shared" si="25"/>
        <v>0</v>
      </c>
      <c r="AB62" s="1249">
        <f t="shared" si="25"/>
        <v>0.32374083382262742</v>
      </c>
      <c r="AC62" s="1282">
        <f t="shared" si="26"/>
        <v>0.99999999999999989</v>
      </c>
    </row>
    <row r="63" spans="1:29">
      <c r="A63" s="187">
        <f t="shared" si="20"/>
        <v>1963</v>
      </c>
      <c r="B63" s="1655">
        <v>8.062145000000001</v>
      </c>
      <c r="C63" s="528">
        <v>683.57985178312117</v>
      </c>
      <c r="D63" s="1577">
        <v>0</v>
      </c>
      <c r="E63" s="1578">
        <v>0</v>
      </c>
      <c r="F63" s="186">
        <f t="shared" si="27"/>
        <v>0.71479999999999999</v>
      </c>
      <c r="G63" s="186">
        <f t="shared" si="28"/>
        <v>0.28959999999999997</v>
      </c>
      <c r="H63" s="478">
        <v>0</v>
      </c>
      <c r="I63" s="1292">
        <f t="shared" si="21"/>
        <v>578.73</v>
      </c>
      <c r="J63" s="1293">
        <f t="shared" si="22"/>
        <v>28.06789123869763</v>
      </c>
      <c r="K63" s="1294">
        <f t="shared" si="15"/>
        <v>4665.8051758500005</v>
      </c>
      <c r="L63" s="1294">
        <f t="shared" si="23"/>
        <v>19186.644932813691</v>
      </c>
      <c r="M63" s="1295">
        <f t="shared" si="16"/>
        <v>19186.644932813691</v>
      </c>
      <c r="N63" s="1249">
        <f t="shared" si="24"/>
        <v>0.19892488097366726</v>
      </c>
      <c r="O63" s="1249">
        <f t="shared" si="24"/>
        <v>0.26585903447659598</v>
      </c>
      <c r="P63" s="1249">
        <f t="shared" si="24"/>
        <v>8.9228108703258049E-2</v>
      </c>
      <c r="Q63" s="1249">
        <f t="shared" si="24"/>
        <v>0</v>
      </c>
      <c r="R63" s="1249">
        <f t="shared" si="24"/>
        <v>0</v>
      </c>
      <c r="S63" s="1249">
        <f t="shared" si="24"/>
        <v>0</v>
      </c>
      <c r="T63" s="1249">
        <f t="shared" si="24"/>
        <v>0.4459879758464787</v>
      </c>
      <c r="U63" s="1282">
        <f t="shared" si="18"/>
        <v>1</v>
      </c>
      <c r="V63" s="1283">
        <f t="shared" si="29"/>
        <v>0.29028184578274857</v>
      </c>
      <c r="W63" s="1249">
        <f t="shared" si="25"/>
        <v>0.30317187715157518</v>
      </c>
      <c r="X63" s="1249">
        <f t="shared" si="25"/>
        <v>8.2805443243048754E-2</v>
      </c>
      <c r="Y63" s="1249">
        <f t="shared" si="25"/>
        <v>0</v>
      </c>
      <c r="Z63" s="1249">
        <f t="shared" si="25"/>
        <v>0</v>
      </c>
      <c r="AA63" s="1249">
        <f t="shared" si="25"/>
        <v>0</v>
      </c>
      <c r="AB63" s="1249">
        <f t="shared" si="25"/>
        <v>0.32374083382262742</v>
      </c>
      <c r="AC63" s="1282">
        <f t="shared" si="26"/>
        <v>0.99999999999999989</v>
      </c>
    </row>
    <row r="64" spans="1:29">
      <c r="A64" s="187">
        <f t="shared" si="20"/>
        <v>1964</v>
      </c>
      <c r="B64" s="1655">
        <v>8.2682964000000005</v>
      </c>
      <c r="C64" s="528">
        <v>737.85459954797477</v>
      </c>
      <c r="D64" s="1577">
        <v>0</v>
      </c>
      <c r="E64" s="1578">
        <v>0</v>
      </c>
      <c r="F64" s="186">
        <f t="shared" si="27"/>
        <v>0.71479999999999999</v>
      </c>
      <c r="G64" s="186">
        <f t="shared" si="28"/>
        <v>0.28959999999999997</v>
      </c>
      <c r="H64" s="478">
        <v>0</v>
      </c>
      <c r="I64" s="1292">
        <f t="shared" si="21"/>
        <v>578.73</v>
      </c>
      <c r="J64" s="1293">
        <f t="shared" si="22"/>
        <v>28.06789123869763</v>
      </c>
      <c r="K64" s="1294">
        <f t="shared" si="15"/>
        <v>4785.1111755720003</v>
      </c>
      <c r="L64" s="1294">
        <f t="shared" si="23"/>
        <v>20710.02265008535</v>
      </c>
      <c r="M64" s="1295">
        <f t="shared" si="16"/>
        <v>20710.02265008535</v>
      </c>
      <c r="N64" s="1249">
        <f t="shared" si="24"/>
        <v>0.19892488097366726</v>
      </c>
      <c r="O64" s="1249">
        <f t="shared" si="24"/>
        <v>0.26585903447659598</v>
      </c>
      <c r="P64" s="1249">
        <f t="shared" si="24"/>
        <v>8.9228108703258049E-2</v>
      </c>
      <c r="Q64" s="1249">
        <f t="shared" si="24"/>
        <v>0</v>
      </c>
      <c r="R64" s="1249">
        <f t="shared" si="24"/>
        <v>0</v>
      </c>
      <c r="S64" s="1249">
        <f t="shared" si="24"/>
        <v>0</v>
      </c>
      <c r="T64" s="1249">
        <f t="shared" si="24"/>
        <v>0.4459879758464787</v>
      </c>
      <c r="U64" s="1282">
        <f t="shared" si="18"/>
        <v>1</v>
      </c>
      <c r="V64" s="1283">
        <f t="shared" si="29"/>
        <v>0.29028184578274857</v>
      </c>
      <c r="W64" s="1249">
        <f t="shared" si="25"/>
        <v>0.30317187715157518</v>
      </c>
      <c r="X64" s="1249">
        <f t="shared" si="25"/>
        <v>8.2805443243048754E-2</v>
      </c>
      <c r="Y64" s="1249">
        <f t="shared" si="25"/>
        <v>0</v>
      </c>
      <c r="Z64" s="1249">
        <f t="shared" si="25"/>
        <v>0</v>
      </c>
      <c r="AA64" s="1249">
        <f t="shared" si="25"/>
        <v>0</v>
      </c>
      <c r="AB64" s="1249">
        <f t="shared" si="25"/>
        <v>0.32374083382262742</v>
      </c>
      <c r="AC64" s="1282">
        <f t="shared" si="26"/>
        <v>0.99999999999999989</v>
      </c>
    </row>
    <row r="65" spans="1:29">
      <c r="A65" s="187">
        <f t="shared" si="20"/>
        <v>1965</v>
      </c>
      <c r="B65" s="1655">
        <v>8.4744478000000001</v>
      </c>
      <c r="C65" s="528">
        <v>783.03167192931596</v>
      </c>
      <c r="D65" s="1577">
        <v>0</v>
      </c>
      <c r="E65" s="1578">
        <v>0</v>
      </c>
      <c r="F65" s="186">
        <f t="shared" si="27"/>
        <v>0.71479999999999999</v>
      </c>
      <c r="G65" s="186">
        <f t="shared" si="28"/>
        <v>0.28959999999999997</v>
      </c>
      <c r="H65" s="478">
        <v>0</v>
      </c>
      <c r="I65" s="1292">
        <f t="shared" si="21"/>
        <v>578.73</v>
      </c>
      <c r="J65" s="1293">
        <f t="shared" si="22"/>
        <v>28.06789123869763</v>
      </c>
      <c r="K65" s="1294">
        <f t="shared" si="15"/>
        <v>4904.4171752940001</v>
      </c>
      <c r="L65" s="1294">
        <f t="shared" si="23"/>
        <v>21978.047804167603</v>
      </c>
      <c r="M65" s="1295">
        <f t="shared" si="16"/>
        <v>21978.047804167603</v>
      </c>
      <c r="N65" s="1249">
        <f t="shared" si="24"/>
        <v>0.19892488097366726</v>
      </c>
      <c r="O65" s="1249">
        <f t="shared" si="24"/>
        <v>0.26585903447659598</v>
      </c>
      <c r="P65" s="1249">
        <f t="shared" si="24"/>
        <v>8.9228108703258049E-2</v>
      </c>
      <c r="Q65" s="1249">
        <f t="shared" si="24"/>
        <v>0</v>
      </c>
      <c r="R65" s="1249">
        <f t="shared" si="24"/>
        <v>0</v>
      </c>
      <c r="S65" s="1249">
        <f t="shared" si="24"/>
        <v>0</v>
      </c>
      <c r="T65" s="1249">
        <f t="shared" si="24"/>
        <v>0.4459879758464787</v>
      </c>
      <c r="U65" s="1282">
        <f t="shared" si="18"/>
        <v>1</v>
      </c>
      <c r="V65" s="1283">
        <f t="shared" si="29"/>
        <v>0.29028184578274857</v>
      </c>
      <c r="W65" s="1249">
        <f t="shared" si="25"/>
        <v>0.30317187715157518</v>
      </c>
      <c r="X65" s="1249">
        <f t="shared" si="25"/>
        <v>8.2805443243048754E-2</v>
      </c>
      <c r="Y65" s="1249">
        <f t="shared" si="25"/>
        <v>0</v>
      </c>
      <c r="Z65" s="1249">
        <f t="shared" si="25"/>
        <v>0</v>
      </c>
      <c r="AA65" s="1249">
        <f t="shared" si="25"/>
        <v>0</v>
      </c>
      <c r="AB65" s="1249">
        <f t="shared" si="25"/>
        <v>0.32374083382262742</v>
      </c>
      <c r="AC65" s="1282">
        <f t="shared" si="26"/>
        <v>0.99999999999999989</v>
      </c>
    </row>
    <row r="66" spans="1:29">
      <c r="A66" s="187">
        <f t="shared" si="20"/>
        <v>1966</v>
      </c>
      <c r="B66" s="1655">
        <v>8.7407319999999995</v>
      </c>
      <c r="C66" s="528">
        <v>817.78503135778317</v>
      </c>
      <c r="D66" s="1577">
        <v>0</v>
      </c>
      <c r="E66" s="1578">
        <v>0</v>
      </c>
      <c r="F66" s="186">
        <f t="shared" si="27"/>
        <v>0.71479999999999999</v>
      </c>
      <c r="G66" s="186">
        <f t="shared" si="28"/>
        <v>0.28959999999999997</v>
      </c>
      <c r="H66" s="478">
        <v>0</v>
      </c>
      <c r="I66" s="1292">
        <f t="shared" si="21"/>
        <v>578.73</v>
      </c>
      <c r="J66" s="1293">
        <f t="shared" si="22"/>
        <v>28.06789123869763</v>
      </c>
      <c r="K66" s="1294">
        <f t="shared" si="15"/>
        <v>5058.5238303599999</v>
      </c>
      <c r="L66" s="1294">
        <f t="shared" si="23"/>
        <v>22953.50131678519</v>
      </c>
      <c r="M66" s="1295">
        <f t="shared" si="16"/>
        <v>22953.50131678519</v>
      </c>
      <c r="N66" s="1249">
        <f t="shared" si="24"/>
        <v>0.19892488097366726</v>
      </c>
      <c r="O66" s="1249">
        <f t="shared" si="24"/>
        <v>0.26585903447659598</v>
      </c>
      <c r="P66" s="1249">
        <f t="shared" si="24"/>
        <v>8.9228108703258049E-2</v>
      </c>
      <c r="Q66" s="1249">
        <f t="shared" si="24"/>
        <v>0</v>
      </c>
      <c r="R66" s="1249">
        <f t="shared" si="24"/>
        <v>0</v>
      </c>
      <c r="S66" s="1249">
        <f t="shared" si="24"/>
        <v>0</v>
      </c>
      <c r="T66" s="1249">
        <f t="shared" si="24"/>
        <v>0.4459879758464787</v>
      </c>
      <c r="U66" s="1282">
        <f t="shared" si="18"/>
        <v>1</v>
      </c>
      <c r="V66" s="1283">
        <f t="shared" si="29"/>
        <v>0.29028184578274857</v>
      </c>
      <c r="W66" s="1249">
        <f t="shared" si="25"/>
        <v>0.30317187715157518</v>
      </c>
      <c r="X66" s="1249">
        <f t="shared" si="25"/>
        <v>8.2805443243048754E-2</v>
      </c>
      <c r="Y66" s="1249">
        <f t="shared" si="25"/>
        <v>0</v>
      </c>
      <c r="Z66" s="1249">
        <f t="shared" si="25"/>
        <v>0</v>
      </c>
      <c r="AA66" s="1249">
        <f t="shared" si="25"/>
        <v>0</v>
      </c>
      <c r="AB66" s="1249">
        <f t="shared" si="25"/>
        <v>0.32374083382262742</v>
      </c>
      <c r="AC66" s="1282">
        <f t="shared" si="26"/>
        <v>0.99999999999999989</v>
      </c>
    </row>
    <row r="67" spans="1:29">
      <c r="A67" s="187">
        <f t="shared" si="20"/>
        <v>1967</v>
      </c>
      <c r="B67" s="1655">
        <v>9.0098299199999996</v>
      </c>
      <c r="C67" s="528">
        <v>876.63755217357675</v>
      </c>
      <c r="D67" s="1577">
        <v>0</v>
      </c>
      <c r="E67" s="1578">
        <v>0</v>
      </c>
      <c r="F67" s="186">
        <f t="shared" si="27"/>
        <v>0.71479999999999999</v>
      </c>
      <c r="G67" s="186">
        <f t="shared" si="28"/>
        <v>0.28959999999999997</v>
      </c>
      <c r="H67" s="478">
        <v>0</v>
      </c>
      <c r="I67" s="1292">
        <f t="shared" si="21"/>
        <v>578.73</v>
      </c>
      <c r="J67" s="1293">
        <f t="shared" si="22"/>
        <v>28.06789123869763</v>
      </c>
      <c r="K67" s="1294">
        <f t="shared" si="15"/>
        <v>5214.2588696016001</v>
      </c>
      <c r="L67" s="1294">
        <f t="shared" si="23"/>
        <v>24605.367470166071</v>
      </c>
      <c r="M67" s="1295">
        <f t="shared" si="16"/>
        <v>24605.367470166071</v>
      </c>
      <c r="N67" s="1249">
        <f t="shared" ref="N67:T82" si="30">N66</f>
        <v>0.19892488097366726</v>
      </c>
      <c r="O67" s="1249">
        <f t="shared" si="30"/>
        <v>0.26585903447659598</v>
      </c>
      <c r="P67" s="1249">
        <f t="shared" si="30"/>
        <v>8.9228108703258049E-2</v>
      </c>
      <c r="Q67" s="1249">
        <f t="shared" si="30"/>
        <v>0</v>
      </c>
      <c r="R67" s="1249">
        <f t="shared" si="30"/>
        <v>0</v>
      </c>
      <c r="S67" s="1249">
        <f t="shared" si="30"/>
        <v>0</v>
      </c>
      <c r="T67" s="1249">
        <f t="shared" si="30"/>
        <v>0.4459879758464787</v>
      </c>
      <c r="U67" s="1282">
        <f t="shared" si="18"/>
        <v>1</v>
      </c>
      <c r="V67" s="1283">
        <f t="shared" si="29"/>
        <v>0.29028184578274857</v>
      </c>
      <c r="W67" s="1249">
        <f t="shared" si="29"/>
        <v>0.30317187715157518</v>
      </c>
      <c r="X67" s="1249">
        <f t="shared" si="29"/>
        <v>8.2805443243048754E-2</v>
      </c>
      <c r="Y67" s="1249">
        <f t="shared" si="29"/>
        <v>0</v>
      </c>
      <c r="Z67" s="1249">
        <f t="shared" si="29"/>
        <v>0</v>
      </c>
      <c r="AA67" s="1249">
        <f t="shared" si="29"/>
        <v>0</v>
      </c>
      <c r="AB67" s="1249">
        <f t="shared" si="29"/>
        <v>0.32374083382262742</v>
      </c>
      <c r="AC67" s="1282">
        <f t="shared" si="26"/>
        <v>0.99999999999999989</v>
      </c>
    </row>
    <row r="68" spans="1:29">
      <c r="A68" s="187">
        <f t="shared" si="20"/>
        <v>1968</v>
      </c>
      <c r="B68" s="1655">
        <v>9.2808861600000014</v>
      </c>
      <c r="C68" s="528">
        <v>913.04820912190667</v>
      </c>
      <c r="D68" s="1577">
        <v>0</v>
      </c>
      <c r="E68" s="1578">
        <v>0</v>
      </c>
      <c r="F68" s="186">
        <f t="shared" si="27"/>
        <v>0.71479999999999999</v>
      </c>
      <c r="G68" s="186">
        <f t="shared" si="28"/>
        <v>0.28959999999999997</v>
      </c>
      <c r="H68" s="478">
        <v>0</v>
      </c>
      <c r="I68" s="1292">
        <f t="shared" si="21"/>
        <v>578.73</v>
      </c>
      <c r="J68" s="1293">
        <f t="shared" si="22"/>
        <v>28.06789123869763</v>
      </c>
      <c r="K68" s="1294">
        <f t="shared" si="15"/>
        <v>5371.1272473768013</v>
      </c>
      <c r="L68" s="1294">
        <f t="shared" si="23"/>
        <v>25627.337829321325</v>
      </c>
      <c r="M68" s="1295">
        <f t="shared" si="16"/>
        <v>25627.337829321325</v>
      </c>
      <c r="N68" s="1249">
        <f t="shared" si="30"/>
        <v>0.19892488097366726</v>
      </c>
      <c r="O68" s="1249">
        <f t="shared" si="30"/>
        <v>0.26585903447659598</v>
      </c>
      <c r="P68" s="1249">
        <f t="shared" si="30"/>
        <v>8.9228108703258049E-2</v>
      </c>
      <c r="Q68" s="1249">
        <f t="shared" si="30"/>
        <v>0</v>
      </c>
      <c r="R68" s="1249">
        <f t="shared" si="30"/>
        <v>0</v>
      </c>
      <c r="S68" s="1249">
        <f t="shared" si="30"/>
        <v>0</v>
      </c>
      <c r="T68" s="1249">
        <f t="shared" si="30"/>
        <v>0.4459879758464787</v>
      </c>
      <c r="U68" s="1282">
        <f t="shared" si="18"/>
        <v>1</v>
      </c>
      <c r="V68" s="1283">
        <f t="shared" ref="V68:AB83" si="31">V67</f>
        <v>0.29028184578274857</v>
      </c>
      <c r="W68" s="1249">
        <f t="shared" si="31"/>
        <v>0.30317187715157518</v>
      </c>
      <c r="X68" s="1249">
        <f t="shared" si="31"/>
        <v>8.2805443243048754E-2</v>
      </c>
      <c r="Y68" s="1249">
        <f t="shared" si="31"/>
        <v>0</v>
      </c>
      <c r="Z68" s="1249">
        <f t="shared" si="31"/>
        <v>0</v>
      </c>
      <c r="AA68" s="1249">
        <f t="shared" si="31"/>
        <v>0</v>
      </c>
      <c r="AB68" s="1249">
        <f t="shared" si="31"/>
        <v>0.32374083382262742</v>
      </c>
      <c r="AC68" s="1282">
        <f t="shared" si="26"/>
        <v>0.99999999999999989</v>
      </c>
    </row>
    <row r="69" spans="1:29">
      <c r="A69" s="187">
        <f t="shared" si="20"/>
        <v>1969</v>
      </c>
      <c r="B69" s="1655">
        <v>9.5539007199999997</v>
      </c>
      <c r="C69" s="528">
        <v>956.10601604260387</v>
      </c>
      <c r="D69" s="1577">
        <v>0</v>
      </c>
      <c r="E69" s="1578">
        <v>0</v>
      </c>
      <c r="F69" s="186">
        <f t="shared" si="27"/>
        <v>0.71479999999999999</v>
      </c>
      <c r="G69" s="186">
        <f t="shared" si="28"/>
        <v>0.28959999999999997</v>
      </c>
      <c r="H69" s="478">
        <v>0</v>
      </c>
      <c r="I69" s="1292">
        <f t="shared" si="21"/>
        <v>578.73</v>
      </c>
      <c r="J69" s="1293">
        <f t="shared" si="22"/>
        <v>28.06789123869763</v>
      </c>
      <c r="K69" s="1294">
        <f t="shared" si="15"/>
        <v>5529.1289636856</v>
      </c>
      <c r="L69" s="1294">
        <f t="shared" si="23"/>
        <v>26835.879670948296</v>
      </c>
      <c r="M69" s="1295">
        <f t="shared" si="16"/>
        <v>26835.879670948296</v>
      </c>
      <c r="N69" s="1249">
        <f t="shared" si="30"/>
        <v>0.19892488097366726</v>
      </c>
      <c r="O69" s="1249">
        <f t="shared" si="30"/>
        <v>0.26585903447659598</v>
      </c>
      <c r="P69" s="1249">
        <f t="shared" si="30"/>
        <v>8.9228108703258049E-2</v>
      </c>
      <c r="Q69" s="1249">
        <f t="shared" si="30"/>
        <v>0</v>
      </c>
      <c r="R69" s="1249">
        <f t="shared" si="30"/>
        <v>0</v>
      </c>
      <c r="S69" s="1249">
        <f t="shared" si="30"/>
        <v>0</v>
      </c>
      <c r="T69" s="1249">
        <f t="shared" si="30"/>
        <v>0.4459879758464787</v>
      </c>
      <c r="U69" s="1282">
        <f t="shared" si="18"/>
        <v>1</v>
      </c>
      <c r="V69" s="1283">
        <f t="shared" si="31"/>
        <v>0.29028184578274857</v>
      </c>
      <c r="W69" s="1249">
        <f t="shared" si="31"/>
        <v>0.30317187715157518</v>
      </c>
      <c r="X69" s="1249">
        <f t="shared" si="31"/>
        <v>8.2805443243048754E-2</v>
      </c>
      <c r="Y69" s="1249">
        <f t="shared" si="31"/>
        <v>0</v>
      </c>
      <c r="Z69" s="1249">
        <f t="shared" si="31"/>
        <v>0</v>
      </c>
      <c r="AA69" s="1249">
        <f t="shared" si="31"/>
        <v>0</v>
      </c>
      <c r="AB69" s="1249">
        <f t="shared" si="31"/>
        <v>0.32374083382262742</v>
      </c>
      <c r="AC69" s="1282">
        <f t="shared" si="26"/>
        <v>0.99999999999999989</v>
      </c>
    </row>
    <row r="70" spans="1:29">
      <c r="A70" s="187">
        <f t="shared" si="20"/>
        <v>1970</v>
      </c>
      <c r="B70" s="1655">
        <v>9.8288735999999997</v>
      </c>
      <c r="C70" s="528">
        <v>1006.2889052098111</v>
      </c>
      <c r="D70" s="1577">
        <v>0</v>
      </c>
      <c r="E70" s="1578">
        <v>0</v>
      </c>
      <c r="F70" s="186">
        <f t="shared" si="27"/>
        <v>0.71479999999999999</v>
      </c>
      <c r="G70" s="186">
        <f t="shared" si="28"/>
        <v>0.28959999999999997</v>
      </c>
      <c r="H70" s="478">
        <v>0</v>
      </c>
      <c r="I70" s="1292">
        <f t="shared" si="21"/>
        <v>578.73</v>
      </c>
      <c r="J70" s="1293">
        <f t="shared" si="22"/>
        <v>28.06789123869763</v>
      </c>
      <c r="K70" s="1294">
        <f t="shared" si="15"/>
        <v>5688.2640185279997</v>
      </c>
      <c r="L70" s="1294">
        <f t="shared" si="23"/>
        <v>28244.407546137089</v>
      </c>
      <c r="M70" s="1295">
        <f t="shared" si="16"/>
        <v>28244.407546137089</v>
      </c>
      <c r="N70" s="1249">
        <f t="shared" si="30"/>
        <v>0.19892488097366726</v>
      </c>
      <c r="O70" s="1249">
        <f t="shared" si="30"/>
        <v>0.26585903447659598</v>
      </c>
      <c r="P70" s="1249">
        <f t="shared" si="30"/>
        <v>8.9228108703258049E-2</v>
      </c>
      <c r="Q70" s="1249">
        <f t="shared" si="30"/>
        <v>0</v>
      </c>
      <c r="R70" s="1249">
        <f t="shared" si="30"/>
        <v>0</v>
      </c>
      <c r="S70" s="1249">
        <f t="shared" si="30"/>
        <v>0</v>
      </c>
      <c r="T70" s="1249">
        <f t="shared" si="30"/>
        <v>0.4459879758464787</v>
      </c>
      <c r="U70" s="1282">
        <f t="shared" si="18"/>
        <v>1</v>
      </c>
      <c r="V70" s="1283">
        <f t="shared" si="31"/>
        <v>0.29028184578274857</v>
      </c>
      <c r="W70" s="1249">
        <f t="shared" si="31"/>
        <v>0.30317187715157518</v>
      </c>
      <c r="X70" s="1249">
        <f t="shared" si="31"/>
        <v>8.2805443243048754E-2</v>
      </c>
      <c r="Y70" s="1249">
        <f t="shared" si="31"/>
        <v>0</v>
      </c>
      <c r="Z70" s="1249">
        <f t="shared" si="31"/>
        <v>0</v>
      </c>
      <c r="AA70" s="1249">
        <f t="shared" si="31"/>
        <v>0</v>
      </c>
      <c r="AB70" s="1249">
        <f t="shared" si="31"/>
        <v>0.32374083382262742</v>
      </c>
      <c r="AC70" s="1282">
        <f t="shared" si="26"/>
        <v>0.99999999999999989</v>
      </c>
    </row>
    <row r="71" spans="1:29">
      <c r="A71" s="187">
        <f t="shared" si="20"/>
        <v>1971</v>
      </c>
      <c r="B71" s="1655">
        <v>20.567820000000001</v>
      </c>
      <c r="C71" s="528">
        <v>1049.3477098940468</v>
      </c>
      <c r="D71" s="1577">
        <v>0</v>
      </c>
      <c r="E71" s="1578">
        <v>0</v>
      </c>
      <c r="F71" s="186">
        <f t="shared" si="27"/>
        <v>0.71479999999999999</v>
      </c>
      <c r="G71" s="186">
        <f t="shared" si="28"/>
        <v>0.28959999999999997</v>
      </c>
      <c r="H71" s="478">
        <v>0</v>
      </c>
      <c r="I71" s="1292">
        <f t="shared" si="21"/>
        <v>578.73</v>
      </c>
      <c r="J71" s="1293">
        <f t="shared" si="22"/>
        <v>28.06789123869763</v>
      </c>
      <c r="K71" s="1294">
        <f t="shared" si="15"/>
        <v>11903.214468600001</v>
      </c>
      <c r="L71" s="1294">
        <f t="shared" si="23"/>
        <v>29452.977392882538</v>
      </c>
      <c r="M71" s="1295">
        <f t="shared" si="16"/>
        <v>29452.977392882538</v>
      </c>
      <c r="N71" s="1249">
        <f t="shared" si="30"/>
        <v>0.19892488097366726</v>
      </c>
      <c r="O71" s="1249">
        <f t="shared" si="30"/>
        <v>0.26585903447659598</v>
      </c>
      <c r="P71" s="1249">
        <f t="shared" si="30"/>
        <v>8.9228108703258049E-2</v>
      </c>
      <c r="Q71" s="1249">
        <f t="shared" si="30"/>
        <v>0</v>
      </c>
      <c r="R71" s="1249">
        <f t="shared" si="30"/>
        <v>0</v>
      </c>
      <c r="S71" s="1249">
        <f t="shared" si="30"/>
        <v>0</v>
      </c>
      <c r="T71" s="1249">
        <f t="shared" si="30"/>
        <v>0.4459879758464787</v>
      </c>
      <c r="U71" s="1282">
        <f t="shared" si="18"/>
        <v>1</v>
      </c>
      <c r="V71" s="1283">
        <f t="shared" si="31"/>
        <v>0.29028184578274857</v>
      </c>
      <c r="W71" s="1249">
        <f t="shared" si="31"/>
        <v>0.30317187715157518</v>
      </c>
      <c r="X71" s="1249">
        <f t="shared" si="31"/>
        <v>8.2805443243048754E-2</v>
      </c>
      <c r="Y71" s="1249">
        <f t="shared" si="31"/>
        <v>0</v>
      </c>
      <c r="Z71" s="1249">
        <f t="shared" si="31"/>
        <v>0</v>
      </c>
      <c r="AA71" s="1249">
        <f t="shared" si="31"/>
        <v>0</v>
      </c>
      <c r="AB71" s="1249">
        <f t="shared" si="31"/>
        <v>0.32374083382262742</v>
      </c>
      <c r="AC71" s="1282">
        <f t="shared" si="26"/>
        <v>0.99999999999999989</v>
      </c>
    </row>
    <row r="72" spans="1:29">
      <c r="A72" s="187">
        <f t="shared" si="20"/>
        <v>1972</v>
      </c>
      <c r="B72" s="1655">
        <v>21.04466</v>
      </c>
      <c r="C72" s="528">
        <v>1066.7119174754762</v>
      </c>
      <c r="D72" s="1577">
        <v>0</v>
      </c>
      <c r="E72" s="1578">
        <v>0</v>
      </c>
      <c r="F72" s="186">
        <f t="shared" si="27"/>
        <v>0.71479999999999999</v>
      </c>
      <c r="G72" s="186">
        <f t="shared" si="28"/>
        <v>0.28959999999999997</v>
      </c>
      <c r="H72" s="478">
        <v>0</v>
      </c>
      <c r="I72" s="1292">
        <f t="shared" si="21"/>
        <v>578.73</v>
      </c>
      <c r="J72" s="1293">
        <f t="shared" si="22"/>
        <v>28.06789123869763</v>
      </c>
      <c r="K72" s="1294">
        <f t="shared" si="15"/>
        <v>12179.1760818</v>
      </c>
      <c r="L72" s="1294">
        <f t="shared" si="23"/>
        <v>29940.354082724269</v>
      </c>
      <c r="M72" s="1295">
        <f t="shared" si="16"/>
        <v>29940.354082724269</v>
      </c>
      <c r="N72" s="1249">
        <f t="shared" si="30"/>
        <v>0.19892488097366726</v>
      </c>
      <c r="O72" s="1249">
        <f t="shared" si="30"/>
        <v>0.26585903447659598</v>
      </c>
      <c r="P72" s="1249">
        <f t="shared" si="30"/>
        <v>8.9228108703258049E-2</v>
      </c>
      <c r="Q72" s="1249">
        <f t="shared" si="30"/>
        <v>0</v>
      </c>
      <c r="R72" s="1249">
        <f t="shared" si="30"/>
        <v>0</v>
      </c>
      <c r="S72" s="1249">
        <f t="shared" si="30"/>
        <v>0</v>
      </c>
      <c r="T72" s="1249">
        <f t="shared" si="30"/>
        <v>0.4459879758464787</v>
      </c>
      <c r="U72" s="1282">
        <f t="shared" si="18"/>
        <v>1</v>
      </c>
      <c r="V72" s="1283">
        <f t="shared" si="31"/>
        <v>0.29028184578274857</v>
      </c>
      <c r="W72" s="1249">
        <f t="shared" si="31"/>
        <v>0.30317187715157518</v>
      </c>
      <c r="X72" s="1249">
        <f t="shared" si="31"/>
        <v>8.2805443243048754E-2</v>
      </c>
      <c r="Y72" s="1249">
        <f t="shared" si="31"/>
        <v>0</v>
      </c>
      <c r="Z72" s="1249">
        <f t="shared" si="31"/>
        <v>0</v>
      </c>
      <c r="AA72" s="1249">
        <f t="shared" si="31"/>
        <v>0</v>
      </c>
      <c r="AB72" s="1249">
        <f t="shared" si="31"/>
        <v>0.32374083382262742</v>
      </c>
      <c r="AC72" s="1282">
        <f t="shared" si="26"/>
        <v>0.99999999999999989</v>
      </c>
    </row>
    <row r="73" spans="1:29">
      <c r="A73" s="187">
        <f t="shared" si="20"/>
        <v>1973</v>
      </c>
      <c r="B73" s="1655">
        <v>21.526959999999999</v>
      </c>
      <c r="C73" s="528">
        <v>1115.481962992131</v>
      </c>
      <c r="D73" s="1577">
        <v>0</v>
      </c>
      <c r="E73" s="1578">
        <v>0</v>
      </c>
      <c r="F73" s="186">
        <f t="shared" si="27"/>
        <v>0.71479999999999999</v>
      </c>
      <c r="G73" s="186">
        <f t="shared" si="28"/>
        <v>0.28959999999999997</v>
      </c>
      <c r="H73" s="478">
        <v>0</v>
      </c>
      <c r="I73" s="1292">
        <f t="shared" si="21"/>
        <v>578.73</v>
      </c>
      <c r="J73" s="1293">
        <f t="shared" si="22"/>
        <v>28.06789123869763</v>
      </c>
      <c r="K73" s="1294">
        <f t="shared" si="15"/>
        <v>12458.2975608</v>
      </c>
      <c r="L73" s="1294">
        <f t="shared" si="23"/>
        <v>31309.226415992067</v>
      </c>
      <c r="M73" s="1295">
        <f t="shared" si="16"/>
        <v>31309.226415992067</v>
      </c>
      <c r="N73" s="1249">
        <f t="shared" si="30"/>
        <v>0.19892488097366726</v>
      </c>
      <c r="O73" s="1249">
        <f t="shared" si="30"/>
        <v>0.26585903447659598</v>
      </c>
      <c r="P73" s="1249">
        <f t="shared" si="30"/>
        <v>8.9228108703258049E-2</v>
      </c>
      <c r="Q73" s="1249">
        <f t="shared" si="30"/>
        <v>0</v>
      </c>
      <c r="R73" s="1249">
        <f t="shared" si="30"/>
        <v>0</v>
      </c>
      <c r="S73" s="1249">
        <f t="shared" si="30"/>
        <v>0</v>
      </c>
      <c r="T73" s="1249">
        <f t="shared" si="30"/>
        <v>0.4459879758464787</v>
      </c>
      <c r="U73" s="1282">
        <f t="shared" si="18"/>
        <v>1</v>
      </c>
      <c r="V73" s="1283">
        <f t="shared" si="31"/>
        <v>0.29028184578274857</v>
      </c>
      <c r="W73" s="1249">
        <f t="shared" si="31"/>
        <v>0.30317187715157518</v>
      </c>
      <c r="X73" s="1249">
        <f t="shared" si="31"/>
        <v>8.2805443243048754E-2</v>
      </c>
      <c r="Y73" s="1249">
        <f t="shared" si="31"/>
        <v>0</v>
      </c>
      <c r="Z73" s="1249">
        <f t="shared" si="31"/>
        <v>0</v>
      </c>
      <c r="AA73" s="1249">
        <f t="shared" si="31"/>
        <v>0</v>
      </c>
      <c r="AB73" s="1249">
        <f t="shared" si="31"/>
        <v>0.32374083382262742</v>
      </c>
      <c r="AC73" s="1282">
        <f t="shared" si="26"/>
        <v>0.99999999999999989</v>
      </c>
    </row>
    <row r="74" spans="1:29">
      <c r="A74" s="187">
        <f t="shared" si="20"/>
        <v>1974</v>
      </c>
      <c r="B74" s="1655">
        <v>22.012900000000002</v>
      </c>
      <c r="C74" s="528">
        <v>1183.6496732532121</v>
      </c>
      <c r="D74" s="1577">
        <v>0</v>
      </c>
      <c r="E74" s="1578">
        <v>0</v>
      </c>
      <c r="F74" s="186">
        <f t="shared" si="27"/>
        <v>0.71479999999999999</v>
      </c>
      <c r="G74" s="186">
        <f t="shared" si="28"/>
        <v>0.28959999999999997</v>
      </c>
      <c r="H74" s="478">
        <v>0</v>
      </c>
      <c r="I74" s="1292">
        <f t="shared" si="21"/>
        <v>578.73</v>
      </c>
      <c r="J74" s="1293">
        <f t="shared" si="22"/>
        <v>28.06789123869763</v>
      </c>
      <c r="K74" s="1294">
        <f t="shared" si="15"/>
        <v>12739.525617000001</v>
      </c>
      <c r="L74" s="1294">
        <f t="shared" si="23"/>
        <v>33222.550293591143</v>
      </c>
      <c r="M74" s="1295">
        <f t="shared" si="16"/>
        <v>33222.550293591143</v>
      </c>
      <c r="N74" s="1249">
        <f t="shared" si="30"/>
        <v>0.19892488097366726</v>
      </c>
      <c r="O74" s="1249">
        <f t="shared" si="30"/>
        <v>0.26585903447659598</v>
      </c>
      <c r="P74" s="1249">
        <f t="shared" si="30"/>
        <v>8.9228108703258049E-2</v>
      </c>
      <c r="Q74" s="1249">
        <f t="shared" si="30"/>
        <v>0</v>
      </c>
      <c r="R74" s="1249">
        <f t="shared" si="30"/>
        <v>0</v>
      </c>
      <c r="S74" s="1249">
        <f t="shared" si="30"/>
        <v>0</v>
      </c>
      <c r="T74" s="1249">
        <f t="shared" si="30"/>
        <v>0.4459879758464787</v>
      </c>
      <c r="U74" s="1282">
        <f t="shared" si="18"/>
        <v>1</v>
      </c>
      <c r="V74" s="1283">
        <f t="shared" si="31"/>
        <v>0.29028184578274857</v>
      </c>
      <c r="W74" s="1249">
        <f t="shared" si="31"/>
        <v>0.30317187715157518</v>
      </c>
      <c r="X74" s="1249">
        <f t="shared" si="31"/>
        <v>8.2805443243048754E-2</v>
      </c>
      <c r="Y74" s="1249">
        <f t="shared" si="31"/>
        <v>0</v>
      </c>
      <c r="Z74" s="1249">
        <f t="shared" si="31"/>
        <v>0</v>
      </c>
      <c r="AA74" s="1249">
        <f t="shared" si="31"/>
        <v>0</v>
      </c>
      <c r="AB74" s="1249">
        <f t="shared" si="31"/>
        <v>0.32374083382262742</v>
      </c>
      <c r="AC74" s="1282">
        <f t="shared" si="26"/>
        <v>0.99999999999999989</v>
      </c>
    </row>
    <row r="75" spans="1:29">
      <c r="A75" s="187">
        <f t="shared" si="20"/>
        <v>1975</v>
      </c>
      <c r="B75" s="1655">
        <v>22.502480000000002</v>
      </c>
      <c r="C75" s="528">
        <v>1203.7178400604503</v>
      </c>
      <c r="D75" s="1577">
        <v>0</v>
      </c>
      <c r="E75" s="1578">
        <v>0</v>
      </c>
      <c r="F75" s="186">
        <f t="shared" si="27"/>
        <v>0.71479999999999999</v>
      </c>
      <c r="G75" s="186">
        <f t="shared" si="28"/>
        <v>0.28959999999999997</v>
      </c>
      <c r="H75" s="478">
        <v>0</v>
      </c>
      <c r="I75" s="1292">
        <f t="shared" si="21"/>
        <v>578.73</v>
      </c>
      <c r="J75" s="1293">
        <f t="shared" si="22"/>
        <v>28.06789123869763</v>
      </c>
      <c r="K75" s="1294">
        <f t="shared" si="15"/>
        <v>13022.860250400001</v>
      </c>
      <c r="L75" s="1294">
        <f t="shared" si="23"/>
        <v>33785.821416896746</v>
      </c>
      <c r="M75" s="1295">
        <f t="shared" si="16"/>
        <v>33785.821416896746</v>
      </c>
      <c r="N75" s="1249">
        <f t="shared" si="30"/>
        <v>0.19892488097366726</v>
      </c>
      <c r="O75" s="1249">
        <f t="shared" si="30"/>
        <v>0.26585903447659598</v>
      </c>
      <c r="P75" s="1249">
        <f t="shared" si="30"/>
        <v>8.9228108703258049E-2</v>
      </c>
      <c r="Q75" s="1249">
        <f t="shared" si="30"/>
        <v>0</v>
      </c>
      <c r="R75" s="1249">
        <f t="shared" si="30"/>
        <v>0</v>
      </c>
      <c r="S75" s="1249">
        <f t="shared" si="30"/>
        <v>0</v>
      </c>
      <c r="T75" s="1249">
        <f t="shared" si="30"/>
        <v>0.4459879758464787</v>
      </c>
      <c r="U75" s="1282">
        <f t="shared" si="18"/>
        <v>1</v>
      </c>
      <c r="V75" s="1283">
        <f t="shared" si="31"/>
        <v>0.29028184578274857</v>
      </c>
      <c r="W75" s="1249">
        <f t="shared" si="31"/>
        <v>0.30317187715157518</v>
      </c>
      <c r="X75" s="1249">
        <f t="shared" si="31"/>
        <v>8.2805443243048754E-2</v>
      </c>
      <c r="Y75" s="1249">
        <f t="shared" si="31"/>
        <v>0</v>
      </c>
      <c r="Z75" s="1249">
        <f t="shared" si="31"/>
        <v>0</v>
      </c>
      <c r="AA75" s="1249">
        <f t="shared" si="31"/>
        <v>0</v>
      </c>
      <c r="AB75" s="1249">
        <f t="shared" si="31"/>
        <v>0.32374083382262742</v>
      </c>
      <c r="AC75" s="1282">
        <f t="shared" si="26"/>
        <v>0.99999999999999989</v>
      </c>
    </row>
    <row r="76" spans="1:29">
      <c r="A76" s="187">
        <f t="shared" si="20"/>
        <v>1976</v>
      </c>
      <c r="B76" s="1655">
        <v>22.993880000000001</v>
      </c>
      <c r="C76" s="528">
        <v>1230.8003365426916</v>
      </c>
      <c r="D76" s="1577">
        <v>0</v>
      </c>
      <c r="E76" s="1578">
        <v>0</v>
      </c>
      <c r="F76" s="186">
        <f t="shared" si="27"/>
        <v>0.71479999999999999</v>
      </c>
      <c r="G76" s="186">
        <f t="shared" si="28"/>
        <v>0.28959999999999997</v>
      </c>
      <c r="H76" s="478">
        <v>0</v>
      </c>
      <c r="I76" s="1292">
        <f t="shared" si="21"/>
        <v>578.73</v>
      </c>
      <c r="J76" s="1293">
        <f t="shared" si="22"/>
        <v>28.06789123869763</v>
      </c>
      <c r="K76" s="1294">
        <f t="shared" si="15"/>
        <v>13307.248172400001</v>
      </c>
      <c r="L76" s="1294">
        <f t="shared" si="23"/>
        <v>34545.969982632712</v>
      </c>
      <c r="M76" s="1295">
        <f t="shared" si="16"/>
        <v>34545.969982632712</v>
      </c>
      <c r="N76" s="1249">
        <f t="shared" si="30"/>
        <v>0.19892488097366726</v>
      </c>
      <c r="O76" s="1249">
        <f t="shared" si="30"/>
        <v>0.26585903447659598</v>
      </c>
      <c r="P76" s="1249">
        <f t="shared" si="30"/>
        <v>8.9228108703258049E-2</v>
      </c>
      <c r="Q76" s="1249">
        <f t="shared" si="30"/>
        <v>0</v>
      </c>
      <c r="R76" s="1249">
        <f t="shared" si="30"/>
        <v>0</v>
      </c>
      <c r="S76" s="1249">
        <f t="shared" si="30"/>
        <v>0</v>
      </c>
      <c r="T76" s="1249">
        <f t="shared" si="30"/>
        <v>0.4459879758464787</v>
      </c>
      <c r="U76" s="1282">
        <f t="shared" si="18"/>
        <v>1</v>
      </c>
      <c r="V76" s="1283">
        <f t="shared" si="31"/>
        <v>0.29028184578274857</v>
      </c>
      <c r="W76" s="1249">
        <f t="shared" si="31"/>
        <v>0.30317187715157518</v>
      </c>
      <c r="X76" s="1249">
        <f t="shared" si="31"/>
        <v>8.2805443243048754E-2</v>
      </c>
      <c r="Y76" s="1249">
        <f t="shared" si="31"/>
        <v>0</v>
      </c>
      <c r="Z76" s="1249">
        <f t="shared" si="31"/>
        <v>0</v>
      </c>
      <c r="AA76" s="1249">
        <f t="shared" si="31"/>
        <v>0</v>
      </c>
      <c r="AB76" s="1249">
        <f t="shared" si="31"/>
        <v>0.32374083382262742</v>
      </c>
      <c r="AC76" s="1282">
        <f t="shared" si="26"/>
        <v>0.99999999999999989</v>
      </c>
    </row>
    <row r="77" spans="1:29">
      <c r="A77" s="187">
        <f t="shared" si="20"/>
        <v>1977</v>
      </c>
      <c r="B77" s="1655">
        <v>23.483460000000001</v>
      </c>
      <c r="C77" s="528">
        <v>1229.6429222577431</v>
      </c>
      <c r="D77" s="1577">
        <v>0</v>
      </c>
      <c r="E77" s="1578">
        <v>0</v>
      </c>
      <c r="F77" s="186">
        <f t="shared" si="27"/>
        <v>0.71479999999999999</v>
      </c>
      <c r="G77" s="186">
        <f t="shared" si="28"/>
        <v>0.28959999999999997</v>
      </c>
      <c r="H77" s="478">
        <v>0</v>
      </c>
      <c r="I77" s="1292">
        <f t="shared" si="21"/>
        <v>578.73</v>
      </c>
      <c r="J77" s="1293">
        <f t="shared" si="22"/>
        <v>28.06789123869763</v>
      </c>
      <c r="K77" s="1294">
        <f t="shared" si="15"/>
        <v>13590.582805800001</v>
      </c>
      <c r="L77" s="1294">
        <f t="shared" si="23"/>
        <v>34513.48380436466</v>
      </c>
      <c r="M77" s="1295">
        <f t="shared" si="16"/>
        <v>34513.48380436466</v>
      </c>
      <c r="N77" s="1249">
        <f t="shared" si="30"/>
        <v>0.19892488097366726</v>
      </c>
      <c r="O77" s="1249">
        <f t="shared" si="30"/>
        <v>0.26585903447659598</v>
      </c>
      <c r="P77" s="1249">
        <f t="shared" si="30"/>
        <v>8.9228108703258049E-2</v>
      </c>
      <c r="Q77" s="1249">
        <f t="shared" si="30"/>
        <v>0</v>
      </c>
      <c r="R77" s="1249">
        <f t="shared" si="30"/>
        <v>0</v>
      </c>
      <c r="S77" s="1249">
        <f t="shared" si="30"/>
        <v>0</v>
      </c>
      <c r="T77" s="1249">
        <f t="shared" si="30"/>
        <v>0.4459879758464787</v>
      </c>
      <c r="U77" s="1282">
        <f t="shared" si="18"/>
        <v>1</v>
      </c>
      <c r="V77" s="1283">
        <f t="shared" si="31"/>
        <v>0.29028184578274857</v>
      </c>
      <c r="W77" s="1249">
        <f t="shared" si="31"/>
        <v>0.30317187715157518</v>
      </c>
      <c r="X77" s="1249">
        <f t="shared" si="31"/>
        <v>8.2805443243048754E-2</v>
      </c>
      <c r="Y77" s="1249">
        <f t="shared" si="31"/>
        <v>0</v>
      </c>
      <c r="Z77" s="1249">
        <f t="shared" si="31"/>
        <v>0</v>
      </c>
      <c r="AA77" s="1249">
        <f t="shared" si="31"/>
        <v>0</v>
      </c>
      <c r="AB77" s="1249">
        <f t="shared" si="31"/>
        <v>0.32374083382262742</v>
      </c>
      <c r="AC77" s="1282">
        <f t="shared" si="26"/>
        <v>0.99999999999999989</v>
      </c>
    </row>
    <row r="78" spans="1:29">
      <c r="A78" s="187">
        <f t="shared" si="20"/>
        <v>1978</v>
      </c>
      <c r="B78" s="1655">
        <v>23.983049999999999</v>
      </c>
      <c r="C78" s="528">
        <v>1266.711110256156</v>
      </c>
      <c r="D78" s="1577">
        <v>0</v>
      </c>
      <c r="E78" s="1578">
        <v>0</v>
      </c>
      <c r="F78" s="186">
        <f t="shared" si="27"/>
        <v>0.71479999999999999</v>
      </c>
      <c r="G78" s="186">
        <f t="shared" si="28"/>
        <v>0.28959999999999997</v>
      </c>
      <c r="H78" s="478">
        <v>0</v>
      </c>
      <c r="I78" s="1292">
        <f t="shared" si="21"/>
        <v>578.73</v>
      </c>
      <c r="J78" s="1293">
        <f t="shared" si="22"/>
        <v>28.06789123869763</v>
      </c>
      <c r="K78" s="1294">
        <f t="shared" si="15"/>
        <v>13879.710526499999</v>
      </c>
      <c r="L78" s="1294">
        <f t="shared" si="23"/>
        <v>35553.909673519709</v>
      </c>
      <c r="M78" s="1295">
        <f t="shared" si="16"/>
        <v>35553.909673519709</v>
      </c>
      <c r="N78" s="1249">
        <f t="shared" si="30"/>
        <v>0.19892488097366726</v>
      </c>
      <c r="O78" s="1249">
        <f t="shared" si="30"/>
        <v>0.26585903447659598</v>
      </c>
      <c r="P78" s="1249">
        <f t="shared" si="30"/>
        <v>8.9228108703258049E-2</v>
      </c>
      <c r="Q78" s="1249">
        <f t="shared" si="30"/>
        <v>0</v>
      </c>
      <c r="R78" s="1249">
        <f t="shared" si="30"/>
        <v>0</v>
      </c>
      <c r="S78" s="1249">
        <f t="shared" si="30"/>
        <v>0</v>
      </c>
      <c r="T78" s="1249">
        <f t="shared" si="30"/>
        <v>0.4459879758464787</v>
      </c>
      <c r="U78" s="1282">
        <f t="shared" si="18"/>
        <v>1</v>
      </c>
      <c r="V78" s="1283">
        <f t="shared" si="31"/>
        <v>0.29028184578274857</v>
      </c>
      <c r="W78" s="1249">
        <f t="shared" si="31"/>
        <v>0.30317187715157518</v>
      </c>
      <c r="X78" s="1249">
        <f t="shared" si="31"/>
        <v>8.2805443243048754E-2</v>
      </c>
      <c r="Y78" s="1249">
        <f t="shared" si="31"/>
        <v>0</v>
      </c>
      <c r="Z78" s="1249">
        <f t="shared" si="31"/>
        <v>0</v>
      </c>
      <c r="AA78" s="1249">
        <f t="shared" si="31"/>
        <v>0</v>
      </c>
      <c r="AB78" s="1249">
        <f t="shared" si="31"/>
        <v>0.32374083382262742</v>
      </c>
      <c r="AC78" s="1282">
        <f t="shared" si="26"/>
        <v>0.99999999999999989</v>
      </c>
    </row>
    <row r="79" spans="1:29">
      <c r="A79" s="187">
        <f t="shared" si="20"/>
        <v>1979</v>
      </c>
      <c r="B79" s="1655">
        <v>24.516309999999997</v>
      </c>
      <c r="C79" s="528">
        <v>1314.725843177443</v>
      </c>
      <c r="D79" s="1577">
        <v>0</v>
      </c>
      <c r="E79" s="1578">
        <v>0</v>
      </c>
      <c r="F79" s="186">
        <f t="shared" si="27"/>
        <v>0.71479999999999999</v>
      </c>
      <c r="G79" s="186">
        <f t="shared" si="28"/>
        <v>0.28959999999999997</v>
      </c>
      <c r="H79" s="478">
        <v>0</v>
      </c>
      <c r="I79" s="1292">
        <f t="shared" si="21"/>
        <v>578.73</v>
      </c>
      <c r="J79" s="1293">
        <f t="shared" si="22"/>
        <v>28.06789123869763</v>
      </c>
      <c r="K79" s="1294">
        <f t="shared" si="15"/>
        <v>14188.324086299999</v>
      </c>
      <c r="L79" s="1294">
        <f t="shared" si="23"/>
        <v>36901.581975009511</v>
      </c>
      <c r="M79" s="1295">
        <f t="shared" si="16"/>
        <v>36901.581975009511</v>
      </c>
      <c r="N79" s="1249">
        <f t="shared" si="30"/>
        <v>0.19892488097366726</v>
      </c>
      <c r="O79" s="1249">
        <f t="shared" si="30"/>
        <v>0.26585903447659598</v>
      </c>
      <c r="P79" s="1249">
        <f t="shared" si="30"/>
        <v>8.9228108703258049E-2</v>
      </c>
      <c r="Q79" s="1249">
        <f t="shared" si="30"/>
        <v>0</v>
      </c>
      <c r="R79" s="1249">
        <f t="shared" si="30"/>
        <v>0</v>
      </c>
      <c r="S79" s="1249">
        <f t="shared" si="30"/>
        <v>0</v>
      </c>
      <c r="T79" s="1249">
        <f t="shared" si="30"/>
        <v>0.4459879758464787</v>
      </c>
      <c r="U79" s="1282">
        <f t="shared" si="18"/>
        <v>1</v>
      </c>
      <c r="V79" s="1283">
        <f t="shared" si="31"/>
        <v>0.29028184578274857</v>
      </c>
      <c r="W79" s="1249">
        <f t="shared" si="31"/>
        <v>0.30317187715157518</v>
      </c>
      <c r="X79" s="1249">
        <f t="shared" si="31"/>
        <v>8.2805443243048754E-2</v>
      </c>
      <c r="Y79" s="1249">
        <f t="shared" si="31"/>
        <v>0</v>
      </c>
      <c r="Z79" s="1249">
        <f t="shared" si="31"/>
        <v>0</v>
      </c>
      <c r="AA79" s="1249">
        <f t="shared" si="31"/>
        <v>0</v>
      </c>
      <c r="AB79" s="1249">
        <f t="shared" si="31"/>
        <v>0.32374083382262742</v>
      </c>
      <c r="AC79" s="1282">
        <f t="shared" si="26"/>
        <v>0.99999999999999989</v>
      </c>
    </row>
    <row r="80" spans="1:29">
      <c r="A80" s="187">
        <f t="shared" si="20"/>
        <v>1980</v>
      </c>
      <c r="B80" s="1655">
        <v>25.094160000000002</v>
      </c>
      <c r="C80" s="528">
        <v>1401.7683862069005</v>
      </c>
      <c r="D80" s="1577">
        <v>0</v>
      </c>
      <c r="E80" s="1578">
        <v>0</v>
      </c>
      <c r="F80" s="186">
        <f t="shared" si="27"/>
        <v>0.71479999999999999</v>
      </c>
      <c r="G80" s="186">
        <f t="shared" si="28"/>
        <v>0.28959999999999997</v>
      </c>
      <c r="H80" s="478">
        <v>0</v>
      </c>
      <c r="I80" s="1292">
        <f t="shared" si="21"/>
        <v>578.73</v>
      </c>
      <c r="J80" s="1293">
        <f t="shared" si="22"/>
        <v>28.06789123869763</v>
      </c>
      <c r="K80" s="1294">
        <f t="shared" si="15"/>
        <v>14522.743216800001</v>
      </c>
      <c r="L80" s="1294">
        <f t="shared" si="23"/>
        <v>39344.68260589998</v>
      </c>
      <c r="M80" s="1295">
        <f t="shared" si="16"/>
        <v>39344.68260589998</v>
      </c>
      <c r="N80" s="1249">
        <f t="shared" si="30"/>
        <v>0.19892488097366726</v>
      </c>
      <c r="O80" s="1249">
        <f t="shared" si="30"/>
        <v>0.26585903447659598</v>
      </c>
      <c r="P80" s="1249">
        <f t="shared" si="30"/>
        <v>8.9228108703258049E-2</v>
      </c>
      <c r="Q80" s="1249">
        <f t="shared" si="30"/>
        <v>0</v>
      </c>
      <c r="R80" s="1249">
        <f t="shared" si="30"/>
        <v>0</v>
      </c>
      <c r="S80" s="1249">
        <f t="shared" si="30"/>
        <v>0</v>
      </c>
      <c r="T80" s="1249">
        <f t="shared" si="30"/>
        <v>0.4459879758464787</v>
      </c>
      <c r="U80" s="1282">
        <f t="shared" si="18"/>
        <v>1</v>
      </c>
      <c r="V80" s="1283">
        <f t="shared" si="31"/>
        <v>0.29028184578274857</v>
      </c>
      <c r="W80" s="1249">
        <f t="shared" si="31"/>
        <v>0.30317187715157518</v>
      </c>
      <c r="X80" s="1249">
        <f t="shared" si="31"/>
        <v>8.2805443243048754E-2</v>
      </c>
      <c r="Y80" s="1249">
        <f t="shared" si="31"/>
        <v>0</v>
      </c>
      <c r="Z80" s="1249">
        <f t="shared" si="31"/>
        <v>0</v>
      </c>
      <c r="AA80" s="1249">
        <f t="shared" si="31"/>
        <v>0</v>
      </c>
      <c r="AB80" s="1249">
        <f t="shared" si="31"/>
        <v>0.32374083382262742</v>
      </c>
      <c r="AC80" s="1282">
        <f t="shared" si="26"/>
        <v>0.99999999999999989</v>
      </c>
    </row>
    <row r="81" spans="1:29">
      <c r="A81" s="187">
        <f t="shared" si="20"/>
        <v>1981</v>
      </c>
      <c r="B81" s="1655">
        <v>25.712049999999998</v>
      </c>
      <c r="C81" s="528">
        <v>1476.9135086140063</v>
      </c>
      <c r="D81" s="1577">
        <v>0</v>
      </c>
      <c r="E81" s="1578">
        <v>0</v>
      </c>
      <c r="F81" s="186">
        <f t="shared" si="27"/>
        <v>0.71479999999999999</v>
      </c>
      <c r="G81" s="186">
        <f t="shared" si="28"/>
        <v>0.28959999999999997</v>
      </c>
      <c r="H81" s="478">
        <v>0</v>
      </c>
      <c r="I81" s="1292">
        <f t="shared" si="21"/>
        <v>578.73</v>
      </c>
      <c r="J81" s="1293">
        <f t="shared" si="22"/>
        <v>28.06789123869763</v>
      </c>
      <c r="K81" s="1294">
        <f t="shared" si="15"/>
        <v>14880.3346965</v>
      </c>
      <c r="L81" s="1294">
        <f t="shared" si="23"/>
        <v>41453.847728741246</v>
      </c>
      <c r="M81" s="1295">
        <f t="shared" si="16"/>
        <v>41453.847728741246</v>
      </c>
      <c r="N81" s="1249">
        <f t="shared" si="30"/>
        <v>0.19892488097366726</v>
      </c>
      <c r="O81" s="1249">
        <f t="shared" si="30"/>
        <v>0.26585903447659598</v>
      </c>
      <c r="P81" s="1249">
        <f t="shared" si="30"/>
        <v>8.9228108703258049E-2</v>
      </c>
      <c r="Q81" s="1249">
        <f t="shared" si="30"/>
        <v>0</v>
      </c>
      <c r="R81" s="1249">
        <f t="shared" si="30"/>
        <v>0</v>
      </c>
      <c r="S81" s="1249">
        <f t="shared" si="30"/>
        <v>0</v>
      </c>
      <c r="T81" s="1249">
        <f t="shared" si="30"/>
        <v>0.4459879758464787</v>
      </c>
      <c r="U81" s="1282">
        <f t="shared" si="18"/>
        <v>1</v>
      </c>
      <c r="V81" s="1283">
        <f t="shared" si="31"/>
        <v>0.29028184578274857</v>
      </c>
      <c r="W81" s="1249">
        <f t="shared" si="31"/>
        <v>0.30317187715157518</v>
      </c>
      <c r="X81" s="1249">
        <f t="shared" si="31"/>
        <v>8.2805443243048754E-2</v>
      </c>
      <c r="Y81" s="1249">
        <f t="shared" si="31"/>
        <v>0</v>
      </c>
      <c r="Z81" s="1249">
        <f t="shared" si="31"/>
        <v>0</v>
      </c>
      <c r="AA81" s="1249">
        <f t="shared" si="31"/>
        <v>0</v>
      </c>
      <c r="AB81" s="1249">
        <f t="shared" si="31"/>
        <v>0.32374083382262742</v>
      </c>
      <c r="AC81" s="1282">
        <f t="shared" si="26"/>
        <v>0.99999999999999989</v>
      </c>
    </row>
    <row r="82" spans="1:29">
      <c r="A82" s="187">
        <f t="shared" si="20"/>
        <v>1982</v>
      </c>
      <c r="B82" s="1655">
        <v>26.364520000000002</v>
      </c>
      <c r="C82" s="528">
        <v>1471.2511585558661</v>
      </c>
      <c r="D82" s="1577">
        <v>0</v>
      </c>
      <c r="E82" s="1578">
        <v>0</v>
      </c>
      <c r="F82" s="186">
        <f t="shared" si="27"/>
        <v>0.71479999999999999</v>
      </c>
      <c r="G82" s="186">
        <f t="shared" si="28"/>
        <v>0.28959999999999997</v>
      </c>
      <c r="H82" s="478">
        <v>0</v>
      </c>
      <c r="I82" s="1292">
        <f t="shared" si="21"/>
        <v>578.73</v>
      </c>
      <c r="J82" s="1293">
        <f t="shared" si="22"/>
        <v>28.06789123869763</v>
      </c>
      <c r="K82" s="1294">
        <f t="shared" si="15"/>
        <v>15257.938659600002</v>
      </c>
      <c r="L82" s="1294">
        <f t="shared" si="23"/>
        <v>41294.917503153934</v>
      </c>
      <c r="M82" s="1295">
        <f t="shared" si="16"/>
        <v>41294.917503153934</v>
      </c>
      <c r="N82" s="1249">
        <f t="shared" si="30"/>
        <v>0.19892488097366726</v>
      </c>
      <c r="O82" s="1249">
        <f t="shared" si="30"/>
        <v>0.26585903447659598</v>
      </c>
      <c r="P82" s="1249">
        <f t="shared" si="30"/>
        <v>8.9228108703258049E-2</v>
      </c>
      <c r="Q82" s="1249">
        <f t="shared" si="30"/>
        <v>0</v>
      </c>
      <c r="R82" s="1249">
        <f t="shared" si="30"/>
        <v>0</v>
      </c>
      <c r="S82" s="1249">
        <f t="shared" si="30"/>
        <v>0</v>
      </c>
      <c r="T82" s="1249">
        <f t="shared" si="30"/>
        <v>0.4459879758464787</v>
      </c>
      <c r="U82" s="1282">
        <f t="shared" ref="U82:U113" si="32">SUM(N82:T82)</f>
        <v>1</v>
      </c>
      <c r="V82" s="1283">
        <f t="shared" si="31"/>
        <v>0.29028184578274857</v>
      </c>
      <c r="W82" s="1249">
        <f t="shared" si="31"/>
        <v>0.30317187715157518</v>
      </c>
      <c r="X82" s="1249">
        <f t="shared" si="31"/>
        <v>8.2805443243048754E-2</v>
      </c>
      <c r="Y82" s="1249">
        <f t="shared" si="31"/>
        <v>0</v>
      </c>
      <c r="Z82" s="1249">
        <f t="shared" si="31"/>
        <v>0</v>
      </c>
      <c r="AA82" s="1249">
        <f t="shared" si="31"/>
        <v>0</v>
      </c>
      <c r="AB82" s="1249">
        <f t="shared" si="31"/>
        <v>0.32374083382262742</v>
      </c>
      <c r="AC82" s="1282">
        <f t="shared" si="26"/>
        <v>0.99999999999999989</v>
      </c>
    </row>
    <row r="83" spans="1:29">
      <c r="A83" s="187">
        <f t="shared" ref="A83:A114" si="33">A82+1</f>
        <v>1983</v>
      </c>
      <c r="B83" s="1655">
        <v>27.048839999999998</v>
      </c>
      <c r="C83" s="528">
        <v>1444.0838515447542</v>
      </c>
      <c r="D83" s="1577">
        <v>0</v>
      </c>
      <c r="E83" s="1578">
        <v>0</v>
      </c>
      <c r="F83" s="186">
        <f t="shared" si="27"/>
        <v>0.71479999999999999</v>
      </c>
      <c r="G83" s="186">
        <f t="shared" si="28"/>
        <v>0.28959999999999997</v>
      </c>
      <c r="H83" s="478">
        <v>0</v>
      </c>
      <c r="I83" s="1292">
        <f t="shared" si="21"/>
        <v>578.73</v>
      </c>
      <c r="J83" s="1293">
        <f t="shared" si="22"/>
        <v>28.06789123869763</v>
      </c>
      <c r="K83" s="1294">
        <f t="shared" si="15"/>
        <v>15653.9751732</v>
      </c>
      <c r="L83" s="1294">
        <f t="shared" si="23"/>
        <v>40532.38848471774</v>
      </c>
      <c r="M83" s="1295">
        <f t="shared" si="16"/>
        <v>40532.38848471774</v>
      </c>
      <c r="N83" s="1249">
        <f t="shared" ref="N83:T98" si="34">N82</f>
        <v>0.19892488097366726</v>
      </c>
      <c r="O83" s="1249">
        <f t="shared" si="34"/>
        <v>0.26585903447659598</v>
      </c>
      <c r="P83" s="1249">
        <f t="shared" si="34"/>
        <v>8.9228108703258049E-2</v>
      </c>
      <c r="Q83" s="1249">
        <f t="shared" si="34"/>
        <v>0</v>
      </c>
      <c r="R83" s="1249">
        <f t="shared" si="34"/>
        <v>0</v>
      </c>
      <c r="S83" s="1249">
        <f t="shared" si="34"/>
        <v>0</v>
      </c>
      <c r="T83" s="1249">
        <f t="shared" si="34"/>
        <v>0.4459879758464787</v>
      </c>
      <c r="U83" s="1282">
        <f t="shared" si="32"/>
        <v>1</v>
      </c>
      <c r="V83" s="1283">
        <f t="shared" si="31"/>
        <v>0.29028184578274857</v>
      </c>
      <c r="W83" s="1249">
        <f t="shared" si="31"/>
        <v>0.30317187715157518</v>
      </c>
      <c r="X83" s="1249">
        <f t="shared" si="31"/>
        <v>8.2805443243048754E-2</v>
      </c>
      <c r="Y83" s="1249">
        <f t="shared" si="31"/>
        <v>0</v>
      </c>
      <c r="Z83" s="1249">
        <f t="shared" si="31"/>
        <v>0</v>
      </c>
      <c r="AA83" s="1249">
        <f t="shared" si="31"/>
        <v>0</v>
      </c>
      <c r="AB83" s="1249">
        <f t="shared" si="31"/>
        <v>0.32374083382262742</v>
      </c>
      <c r="AC83" s="1282">
        <f t="shared" si="26"/>
        <v>0.99999999999999989</v>
      </c>
    </row>
    <row r="84" spans="1:29">
      <c r="A84" s="187">
        <f t="shared" si="33"/>
        <v>1984</v>
      </c>
      <c r="B84" s="1655">
        <v>27.759549999999997</v>
      </c>
      <c r="C84" s="528">
        <v>1517.7193465317748</v>
      </c>
      <c r="D84" s="1577">
        <v>0</v>
      </c>
      <c r="E84" s="1578">
        <v>0</v>
      </c>
      <c r="F84" s="186">
        <f t="shared" si="27"/>
        <v>0.71479999999999999</v>
      </c>
      <c r="G84" s="186">
        <f t="shared" si="28"/>
        <v>0.28959999999999997</v>
      </c>
      <c r="H84" s="478">
        <v>0</v>
      </c>
      <c r="I84" s="1292">
        <f t="shared" si="21"/>
        <v>578.73</v>
      </c>
      <c r="J84" s="1293">
        <f t="shared" si="22"/>
        <v>28.06789123869763</v>
      </c>
      <c r="K84" s="1294">
        <f t="shared" si="15"/>
        <v>16065.284371499998</v>
      </c>
      <c r="L84" s="1294">
        <f t="shared" si="23"/>
        <v>42599.181549321096</v>
      </c>
      <c r="M84" s="1295">
        <f t="shared" si="16"/>
        <v>42599.181549321096</v>
      </c>
      <c r="N84" s="1249">
        <f t="shared" si="34"/>
        <v>0.19892488097366726</v>
      </c>
      <c r="O84" s="1249">
        <f t="shared" si="34"/>
        <v>0.26585903447659598</v>
      </c>
      <c r="P84" s="1249">
        <f t="shared" si="34"/>
        <v>8.9228108703258049E-2</v>
      </c>
      <c r="Q84" s="1249">
        <f t="shared" si="34"/>
        <v>0</v>
      </c>
      <c r="R84" s="1249">
        <f t="shared" si="34"/>
        <v>0</v>
      </c>
      <c r="S84" s="1249">
        <f t="shared" si="34"/>
        <v>0</v>
      </c>
      <c r="T84" s="1249">
        <f t="shared" si="34"/>
        <v>0.4459879758464787</v>
      </c>
      <c r="U84" s="1282">
        <f t="shared" si="32"/>
        <v>1</v>
      </c>
      <c r="V84" s="1283">
        <f t="shared" ref="V84:AB99" si="35">V83</f>
        <v>0.29028184578274857</v>
      </c>
      <c r="W84" s="1249">
        <f t="shared" si="35"/>
        <v>0.30317187715157518</v>
      </c>
      <c r="X84" s="1249">
        <f t="shared" si="35"/>
        <v>8.2805443243048754E-2</v>
      </c>
      <c r="Y84" s="1249">
        <f t="shared" si="35"/>
        <v>0</v>
      </c>
      <c r="Z84" s="1249">
        <f t="shared" si="35"/>
        <v>0</v>
      </c>
      <c r="AA84" s="1249">
        <f t="shared" si="35"/>
        <v>0</v>
      </c>
      <c r="AB84" s="1249">
        <f t="shared" si="35"/>
        <v>0.32374083382262742</v>
      </c>
      <c r="AC84" s="1282">
        <f t="shared" si="26"/>
        <v>0.99999999999999989</v>
      </c>
    </row>
    <row r="85" spans="1:29">
      <c r="A85" s="187">
        <f t="shared" si="33"/>
        <v>1985</v>
      </c>
      <c r="B85" s="1655">
        <v>28.490279999999998</v>
      </c>
      <c r="C85" s="528">
        <v>1499.3324237484292</v>
      </c>
      <c r="D85" s="1577">
        <v>0</v>
      </c>
      <c r="E85" s="1578">
        <v>0</v>
      </c>
      <c r="F85" s="186">
        <f t="shared" si="27"/>
        <v>0.71479999999999999</v>
      </c>
      <c r="G85" s="186">
        <f t="shared" si="28"/>
        <v>0.28959999999999997</v>
      </c>
      <c r="H85" s="478">
        <v>0</v>
      </c>
      <c r="I85" s="1292">
        <f t="shared" si="21"/>
        <v>578.73</v>
      </c>
      <c r="J85" s="1293">
        <f t="shared" si="22"/>
        <v>28.06789123869763</v>
      </c>
      <c r="K85" s="1294">
        <f t="shared" si="15"/>
        <v>16488.1797444</v>
      </c>
      <c r="L85" s="1294">
        <f t="shared" si="23"/>
        <v>42083.099400423816</v>
      </c>
      <c r="M85" s="1295">
        <f t="shared" si="16"/>
        <v>42083.099400423816</v>
      </c>
      <c r="N85" s="1249">
        <f t="shared" si="34"/>
        <v>0.19892488097366726</v>
      </c>
      <c r="O85" s="1249">
        <f t="shared" si="34"/>
        <v>0.26585903447659598</v>
      </c>
      <c r="P85" s="1249">
        <f t="shared" si="34"/>
        <v>8.9228108703258049E-2</v>
      </c>
      <c r="Q85" s="1249">
        <f t="shared" si="34"/>
        <v>0</v>
      </c>
      <c r="R85" s="1249">
        <f t="shared" si="34"/>
        <v>0</v>
      </c>
      <c r="S85" s="1249">
        <f t="shared" si="34"/>
        <v>0</v>
      </c>
      <c r="T85" s="1249">
        <f t="shared" si="34"/>
        <v>0.4459879758464787</v>
      </c>
      <c r="U85" s="1282">
        <f t="shared" si="32"/>
        <v>1</v>
      </c>
      <c r="V85" s="1283">
        <f t="shared" si="35"/>
        <v>0.29028184578274857</v>
      </c>
      <c r="W85" s="1249">
        <f t="shared" si="35"/>
        <v>0.30317187715157518</v>
      </c>
      <c r="X85" s="1249">
        <f t="shared" si="35"/>
        <v>8.2805443243048754E-2</v>
      </c>
      <c r="Y85" s="1249">
        <f t="shared" si="35"/>
        <v>0</v>
      </c>
      <c r="Z85" s="1249">
        <f t="shared" si="35"/>
        <v>0</v>
      </c>
      <c r="AA85" s="1249">
        <f t="shared" si="35"/>
        <v>0</v>
      </c>
      <c r="AB85" s="1249">
        <f t="shared" si="35"/>
        <v>0.32374083382262742</v>
      </c>
      <c r="AC85" s="1282">
        <f t="shared" si="26"/>
        <v>0.99999999999999989</v>
      </c>
    </row>
    <row r="86" spans="1:29">
      <c r="A86" s="187">
        <f t="shared" si="33"/>
        <v>1986</v>
      </c>
      <c r="B86" s="1655">
        <v>29.230110000000003</v>
      </c>
      <c r="C86" s="528">
        <v>1499.5998263576867</v>
      </c>
      <c r="D86" s="1577">
        <v>0</v>
      </c>
      <c r="E86" s="1578">
        <v>0</v>
      </c>
      <c r="F86" s="186">
        <f t="shared" si="27"/>
        <v>0.71479999999999999</v>
      </c>
      <c r="G86" s="186">
        <f t="shared" si="28"/>
        <v>0.28959999999999997</v>
      </c>
      <c r="H86" s="478">
        <v>0</v>
      </c>
      <c r="I86" s="1292">
        <f t="shared" si="21"/>
        <v>578.73</v>
      </c>
      <c r="J86" s="1293">
        <f t="shared" si="22"/>
        <v>28.06789123869763</v>
      </c>
      <c r="K86" s="1294">
        <f t="shared" si="15"/>
        <v>16916.341560300003</v>
      </c>
      <c r="L86" s="1294">
        <f t="shared" si="23"/>
        <v>42090.604827777403</v>
      </c>
      <c r="M86" s="1295">
        <f t="shared" si="16"/>
        <v>42090.604827777403</v>
      </c>
      <c r="N86" s="1249">
        <f t="shared" si="34"/>
        <v>0.19892488097366726</v>
      </c>
      <c r="O86" s="1249">
        <f t="shared" si="34"/>
        <v>0.26585903447659598</v>
      </c>
      <c r="P86" s="1249">
        <f t="shared" si="34"/>
        <v>8.9228108703258049E-2</v>
      </c>
      <c r="Q86" s="1249">
        <f t="shared" si="34"/>
        <v>0</v>
      </c>
      <c r="R86" s="1249">
        <f t="shared" si="34"/>
        <v>0</v>
      </c>
      <c r="S86" s="1249">
        <f t="shared" si="34"/>
        <v>0</v>
      </c>
      <c r="T86" s="1249">
        <f t="shared" si="34"/>
        <v>0.4459879758464787</v>
      </c>
      <c r="U86" s="1282">
        <f t="shared" si="32"/>
        <v>1</v>
      </c>
      <c r="V86" s="1283">
        <f t="shared" si="35"/>
        <v>0.29028184578274857</v>
      </c>
      <c r="W86" s="1249">
        <f t="shared" si="35"/>
        <v>0.30317187715157518</v>
      </c>
      <c r="X86" s="1249">
        <f t="shared" si="35"/>
        <v>8.2805443243048754E-2</v>
      </c>
      <c r="Y86" s="1249">
        <f t="shared" si="35"/>
        <v>0</v>
      </c>
      <c r="Z86" s="1249">
        <f t="shared" si="35"/>
        <v>0</v>
      </c>
      <c r="AA86" s="1249">
        <f t="shared" si="35"/>
        <v>0</v>
      </c>
      <c r="AB86" s="1249">
        <f t="shared" si="35"/>
        <v>0.32374083382262742</v>
      </c>
      <c r="AC86" s="1282">
        <f t="shared" si="26"/>
        <v>0.99999999999999989</v>
      </c>
    </row>
    <row r="87" spans="1:29">
      <c r="A87" s="187">
        <f t="shared" si="33"/>
        <v>1987</v>
      </c>
      <c r="B87" s="1655">
        <v>29.96903</v>
      </c>
      <c r="C87" s="528">
        <v>1531.1024480840374</v>
      </c>
      <c r="D87" s="1577">
        <v>0</v>
      </c>
      <c r="E87" s="1578">
        <v>0</v>
      </c>
      <c r="F87" s="186">
        <f t="shared" si="27"/>
        <v>0.71479999999999999</v>
      </c>
      <c r="G87" s="186">
        <f t="shared" si="28"/>
        <v>0.28959999999999997</v>
      </c>
      <c r="H87" s="478">
        <v>0</v>
      </c>
      <c r="I87" s="1292">
        <f t="shared" si="21"/>
        <v>578.73</v>
      </c>
      <c r="J87" s="1293">
        <f t="shared" si="22"/>
        <v>28.06789123869763</v>
      </c>
      <c r="K87" s="1294">
        <f t="shared" si="15"/>
        <v>17343.976731900002</v>
      </c>
      <c r="L87" s="1294">
        <f t="shared" si="23"/>
        <v>42974.816988126448</v>
      </c>
      <c r="M87" s="1295">
        <f t="shared" si="16"/>
        <v>42974.816988126448</v>
      </c>
      <c r="N87" s="1249">
        <f t="shared" si="34"/>
        <v>0.19892488097366726</v>
      </c>
      <c r="O87" s="1249">
        <f t="shared" si="34"/>
        <v>0.26585903447659598</v>
      </c>
      <c r="P87" s="1249">
        <f t="shared" si="34"/>
        <v>8.9228108703258049E-2</v>
      </c>
      <c r="Q87" s="1249">
        <f t="shared" si="34"/>
        <v>0</v>
      </c>
      <c r="R87" s="1249">
        <f t="shared" si="34"/>
        <v>0</v>
      </c>
      <c r="S87" s="1249">
        <f t="shared" si="34"/>
        <v>0</v>
      </c>
      <c r="T87" s="1249">
        <f t="shared" si="34"/>
        <v>0.4459879758464787</v>
      </c>
      <c r="U87" s="1282">
        <f t="shared" si="32"/>
        <v>1</v>
      </c>
      <c r="V87" s="1283">
        <f t="shared" si="35"/>
        <v>0.29028184578274857</v>
      </c>
      <c r="W87" s="1249">
        <f t="shared" si="35"/>
        <v>0.30317187715157518</v>
      </c>
      <c r="X87" s="1249">
        <f t="shared" si="35"/>
        <v>8.2805443243048754E-2</v>
      </c>
      <c r="Y87" s="1249">
        <f t="shared" si="35"/>
        <v>0</v>
      </c>
      <c r="Z87" s="1249">
        <f t="shared" si="35"/>
        <v>0</v>
      </c>
      <c r="AA87" s="1249">
        <f t="shared" si="35"/>
        <v>0</v>
      </c>
      <c r="AB87" s="1249">
        <f t="shared" si="35"/>
        <v>0.32374083382262742</v>
      </c>
      <c r="AC87" s="1282">
        <f t="shared" si="26"/>
        <v>0.99999999999999989</v>
      </c>
    </row>
    <row r="88" spans="1:29">
      <c r="A88" s="187">
        <f t="shared" si="33"/>
        <v>1988</v>
      </c>
      <c r="B88" s="1655">
        <v>30.692480000000003</v>
      </c>
      <c r="C88" s="528">
        <v>1595.4107803645509</v>
      </c>
      <c r="D88" s="1577">
        <v>0</v>
      </c>
      <c r="E88" s="1578">
        <v>0</v>
      </c>
      <c r="F88" s="186">
        <f t="shared" si="27"/>
        <v>0.71479999999999999</v>
      </c>
      <c r="G88" s="186">
        <f t="shared" si="28"/>
        <v>0.28959999999999997</v>
      </c>
      <c r="H88" s="478">
        <v>0</v>
      </c>
      <c r="I88" s="1292">
        <f t="shared" si="21"/>
        <v>578.73</v>
      </c>
      <c r="J88" s="1293">
        <f t="shared" si="22"/>
        <v>28.06789123869763</v>
      </c>
      <c r="K88" s="1294">
        <f t="shared" si="15"/>
        <v>17762.658950400004</v>
      </c>
      <c r="L88" s="1294">
        <f t="shared" si="23"/>
        <v>44779.816264317924</v>
      </c>
      <c r="M88" s="1295">
        <f t="shared" si="16"/>
        <v>44779.816264317924</v>
      </c>
      <c r="N88" s="1249">
        <f t="shared" si="34"/>
        <v>0.19892488097366726</v>
      </c>
      <c r="O88" s="1249">
        <f t="shared" si="34"/>
        <v>0.26585903447659598</v>
      </c>
      <c r="P88" s="1249">
        <f t="shared" si="34"/>
        <v>8.9228108703258049E-2</v>
      </c>
      <c r="Q88" s="1249">
        <f t="shared" si="34"/>
        <v>0</v>
      </c>
      <c r="R88" s="1249">
        <f t="shared" si="34"/>
        <v>0</v>
      </c>
      <c r="S88" s="1249">
        <f t="shared" si="34"/>
        <v>0</v>
      </c>
      <c r="T88" s="1249">
        <f t="shared" si="34"/>
        <v>0.4459879758464787</v>
      </c>
      <c r="U88" s="1282">
        <f t="shared" si="32"/>
        <v>1</v>
      </c>
      <c r="V88" s="1283">
        <f t="shared" si="35"/>
        <v>0.29028184578274857</v>
      </c>
      <c r="W88" s="1249">
        <f t="shared" si="35"/>
        <v>0.30317187715157518</v>
      </c>
      <c r="X88" s="1249">
        <f t="shared" si="35"/>
        <v>8.2805443243048754E-2</v>
      </c>
      <c r="Y88" s="1249">
        <f t="shared" si="35"/>
        <v>0</v>
      </c>
      <c r="Z88" s="1249">
        <f t="shared" si="35"/>
        <v>0</v>
      </c>
      <c r="AA88" s="1249">
        <f t="shared" si="35"/>
        <v>0</v>
      </c>
      <c r="AB88" s="1249">
        <f t="shared" si="35"/>
        <v>0.32374083382262742</v>
      </c>
      <c r="AC88" s="1282">
        <f t="shared" si="26"/>
        <v>0.99999999999999989</v>
      </c>
    </row>
    <row r="89" spans="1:29">
      <c r="A89" s="187">
        <f t="shared" si="33"/>
        <v>1989</v>
      </c>
      <c r="B89" s="1655">
        <v>31.386810000000001</v>
      </c>
      <c r="C89" s="528">
        <v>1633.6174250036995</v>
      </c>
      <c r="D89" s="1577">
        <v>0</v>
      </c>
      <c r="E89" s="1578">
        <v>0</v>
      </c>
      <c r="F89" s="186">
        <f t="shared" si="27"/>
        <v>0.71479999999999999</v>
      </c>
      <c r="G89" s="186">
        <f t="shared" si="28"/>
        <v>0.28959999999999997</v>
      </c>
      <c r="H89" s="478">
        <v>0</v>
      </c>
      <c r="I89" s="1292">
        <f t="shared" si="21"/>
        <v>578.73</v>
      </c>
      <c r="J89" s="1293">
        <f t="shared" si="22"/>
        <v>28.06789123869763</v>
      </c>
      <c r="K89" s="1294">
        <f t="shared" si="15"/>
        <v>18164.488551300001</v>
      </c>
      <c r="L89" s="1294">
        <f t="shared" si="23"/>
        <v>45852.196210645117</v>
      </c>
      <c r="M89" s="1295">
        <f t="shared" si="16"/>
        <v>45852.196210645117</v>
      </c>
      <c r="N89" s="1249">
        <f t="shared" si="34"/>
        <v>0.19892488097366726</v>
      </c>
      <c r="O89" s="1249">
        <f t="shared" si="34"/>
        <v>0.26585903447659598</v>
      </c>
      <c r="P89" s="1249">
        <f t="shared" si="34"/>
        <v>8.9228108703258049E-2</v>
      </c>
      <c r="Q89" s="1249">
        <f t="shared" si="34"/>
        <v>0</v>
      </c>
      <c r="R89" s="1249">
        <f t="shared" si="34"/>
        <v>0</v>
      </c>
      <c r="S89" s="1249">
        <f t="shared" si="34"/>
        <v>0</v>
      </c>
      <c r="T89" s="1249">
        <f t="shared" si="34"/>
        <v>0.4459879758464787</v>
      </c>
      <c r="U89" s="1282">
        <f t="shared" si="32"/>
        <v>1</v>
      </c>
      <c r="V89" s="1283">
        <f t="shared" si="35"/>
        <v>0.29028184578274857</v>
      </c>
      <c r="W89" s="1249">
        <f t="shared" si="35"/>
        <v>0.30317187715157518</v>
      </c>
      <c r="X89" s="1249">
        <f t="shared" si="35"/>
        <v>8.2805443243048754E-2</v>
      </c>
      <c r="Y89" s="1249">
        <f t="shared" si="35"/>
        <v>0</v>
      </c>
      <c r="Z89" s="1249">
        <f t="shared" si="35"/>
        <v>0</v>
      </c>
      <c r="AA89" s="1249">
        <f t="shared" si="35"/>
        <v>0</v>
      </c>
      <c r="AB89" s="1249">
        <f t="shared" si="35"/>
        <v>0.32374083382262742</v>
      </c>
      <c r="AC89" s="1282">
        <f t="shared" si="26"/>
        <v>0.99999999999999989</v>
      </c>
    </row>
    <row r="90" spans="1:29">
      <c r="A90" s="187">
        <f t="shared" si="33"/>
        <v>1990</v>
      </c>
      <c r="B90" s="1655">
        <v>32.032000000000004</v>
      </c>
      <c r="C90" s="528">
        <v>1628.4260228263977</v>
      </c>
      <c r="D90" s="1577">
        <v>0</v>
      </c>
      <c r="E90" s="1578">
        <v>0</v>
      </c>
      <c r="F90" s="186">
        <f t="shared" si="27"/>
        <v>0.71479999999999999</v>
      </c>
      <c r="G90" s="186">
        <f t="shared" si="28"/>
        <v>0.28959999999999997</v>
      </c>
      <c r="H90" s="478">
        <v>0</v>
      </c>
      <c r="I90" s="1292">
        <f t="shared" si="21"/>
        <v>578.73</v>
      </c>
      <c r="J90" s="1293">
        <f t="shared" si="22"/>
        <v>28.06789123869763</v>
      </c>
      <c r="K90" s="1294">
        <f t="shared" si="15"/>
        <v>18537.879360000003</v>
      </c>
      <c r="L90" s="1294">
        <f t="shared" si="23"/>
        <v>45706.484498956277</v>
      </c>
      <c r="M90" s="1295">
        <f t="shared" si="16"/>
        <v>45706.484498956277</v>
      </c>
      <c r="N90" s="1249">
        <f t="shared" si="34"/>
        <v>0.19892488097366726</v>
      </c>
      <c r="O90" s="1249">
        <f t="shared" si="34"/>
        <v>0.26585903447659598</v>
      </c>
      <c r="P90" s="1249">
        <f t="shared" si="34"/>
        <v>8.9228108703258049E-2</v>
      </c>
      <c r="Q90" s="1249">
        <f t="shared" si="34"/>
        <v>0</v>
      </c>
      <c r="R90" s="1249">
        <f t="shared" si="34"/>
        <v>0</v>
      </c>
      <c r="S90" s="1249">
        <f t="shared" si="34"/>
        <v>0</v>
      </c>
      <c r="T90" s="1249">
        <f t="shared" si="34"/>
        <v>0.4459879758464787</v>
      </c>
      <c r="U90" s="1282">
        <f t="shared" si="32"/>
        <v>1</v>
      </c>
      <c r="V90" s="1283">
        <f t="shared" si="35"/>
        <v>0.29028184578274857</v>
      </c>
      <c r="W90" s="1249">
        <f t="shared" si="35"/>
        <v>0.30317187715157518</v>
      </c>
      <c r="X90" s="1249">
        <f t="shared" si="35"/>
        <v>8.2805443243048754E-2</v>
      </c>
      <c r="Y90" s="1249">
        <f t="shared" si="35"/>
        <v>0</v>
      </c>
      <c r="Z90" s="1249">
        <f t="shared" si="35"/>
        <v>0</v>
      </c>
      <c r="AA90" s="1249">
        <f t="shared" si="35"/>
        <v>0</v>
      </c>
      <c r="AB90" s="1249">
        <f t="shared" si="35"/>
        <v>0.32374083382262742</v>
      </c>
      <c r="AC90" s="1282">
        <f t="shared" si="26"/>
        <v>0.99999999999999989</v>
      </c>
    </row>
    <row r="91" spans="1:29">
      <c r="A91" s="187">
        <f t="shared" si="33"/>
        <v>1991</v>
      </c>
      <c r="B91" s="1655">
        <v>32.69903</v>
      </c>
      <c r="C91" s="528">
        <v>1611.8450654448757</v>
      </c>
      <c r="D91" s="1577">
        <v>0</v>
      </c>
      <c r="E91" s="1578">
        <v>0</v>
      </c>
      <c r="F91" s="186">
        <f t="shared" si="27"/>
        <v>0.71479999999999999</v>
      </c>
      <c r="G91" s="186">
        <f t="shared" si="28"/>
        <v>0.28959999999999997</v>
      </c>
      <c r="H91" s="478">
        <v>0</v>
      </c>
      <c r="I91" s="1292">
        <f t="shared" si="21"/>
        <v>578.73</v>
      </c>
      <c r="J91" s="1293">
        <f t="shared" si="22"/>
        <v>28.06789123869763</v>
      </c>
      <c r="K91" s="1294">
        <f t="shared" si="15"/>
        <v>18923.909631900002</v>
      </c>
      <c r="L91" s="1294">
        <f t="shared" si="23"/>
        <v>45241.091990538232</v>
      </c>
      <c r="M91" s="1295">
        <f t="shared" si="16"/>
        <v>45241.091990538232</v>
      </c>
      <c r="N91" s="1249">
        <f t="shared" si="34"/>
        <v>0.19892488097366726</v>
      </c>
      <c r="O91" s="1249">
        <f t="shared" si="34"/>
        <v>0.26585903447659598</v>
      </c>
      <c r="P91" s="1249">
        <f t="shared" si="34"/>
        <v>8.9228108703258049E-2</v>
      </c>
      <c r="Q91" s="1249">
        <f t="shared" si="34"/>
        <v>0</v>
      </c>
      <c r="R91" s="1249">
        <f t="shared" si="34"/>
        <v>0</v>
      </c>
      <c r="S91" s="1249">
        <f t="shared" si="34"/>
        <v>0</v>
      </c>
      <c r="T91" s="1249">
        <f t="shared" si="34"/>
        <v>0.4459879758464787</v>
      </c>
      <c r="U91" s="1282">
        <f t="shared" si="32"/>
        <v>1</v>
      </c>
      <c r="V91" s="1283">
        <f t="shared" si="35"/>
        <v>0.29028184578274857</v>
      </c>
      <c r="W91" s="1249">
        <f t="shared" si="35"/>
        <v>0.30317187715157518</v>
      </c>
      <c r="X91" s="1249">
        <f t="shared" si="35"/>
        <v>8.2805443243048754E-2</v>
      </c>
      <c r="Y91" s="1249">
        <f t="shared" si="35"/>
        <v>0</v>
      </c>
      <c r="Z91" s="1249">
        <f t="shared" si="35"/>
        <v>0</v>
      </c>
      <c r="AA91" s="1249">
        <f t="shared" si="35"/>
        <v>0</v>
      </c>
      <c r="AB91" s="1249">
        <f t="shared" si="35"/>
        <v>0.32374083382262742</v>
      </c>
      <c r="AC91" s="1282">
        <f t="shared" si="26"/>
        <v>0.99999999999999989</v>
      </c>
    </row>
    <row r="92" spans="1:29">
      <c r="A92" s="187">
        <f t="shared" si="33"/>
        <v>1992</v>
      </c>
      <c r="B92" s="1655">
        <v>33.388809999999999</v>
      </c>
      <c r="C92" s="528">
        <v>1577.3990194337794</v>
      </c>
      <c r="D92" s="1577">
        <v>0</v>
      </c>
      <c r="E92" s="1578">
        <v>0</v>
      </c>
      <c r="F92" s="186">
        <f t="shared" si="27"/>
        <v>0.71479999999999999</v>
      </c>
      <c r="G92" s="186">
        <f t="shared" si="28"/>
        <v>0.28959999999999997</v>
      </c>
      <c r="H92" s="478">
        <v>0</v>
      </c>
      <c r="I92" s="1292">
        <f t="shared" si="21"/>
        <v>578.73</v>
      </c>
      <c r="J92" s="1293">
        <f t="shared" si="22"/>
        <v>28.06789123869763</v>
      </c>
      <c r="K92" s="1294">
        <f t="shared" si="15"/>
        <v>19323.106011299998</v>
      </c>
      <c r="L92" s="1294">
        <f t="shared" si="23"/>
        <v>44274.264117495608</v>
      </c>
      <c r="M92" s="1295">
        <f t="shared" si="16"/>
        <v>44274.264117495608</v>
      </c>
      <c r="N92" s="1249">
        <f t="shared" si="34"/>
        <v>0.19892488097366726</v>
      </c>
      <c r="O92" s="1249">
        <f t="shared" si="34"/>
        <v>0.26585903447659598</v>
      </c>
      <c r="P92" s="1249">
        <f t="shared" si="34"/>
        <v>8.9228108703258049E-2</v>
      </c>
      <c r="Q92" s="1249">
        <f t="shared" si="34"/>
        <v>0</v>
      </c>
      <c r="R92" s="1249">
        <f t="shared" si="34"/>
        <v>0</v>
      </c>
      <c r="S92" s="1249">
        <f t="shared" si="34"/>
        <v>0</v>
      </c>
      <c r="T92" s="1249">
        <f t="shared" si="34"/>
        <v>0.4459879758464787</v>
      </c>
      <c r="U92" s="1282">
        <f t="shared" si="32"/>
        <v>1</v>
      </c>
      <c r="V92" s="1283">
        <f t="shared" si="35"/>
        <v>0.29028184578274857</v>
      </c>
      <c r="W92" s="1249">
        <f t="shared" si="35"/>
        <v>0.30317187715157518</v>
      </c>
      <c r="X92" s="1249">
        <f t="shared" si="35"/>
        <v>8.2805443243048754E-2</v>
      </c>
      <c r="Y92" s="1249">
        <f t="shared" si="35"/>
        <v>0</v>
      </c>
      <c r="Z92" s="1249">
        <f t="shared" si="35"/>
        <v>0</v>
      </c>
      <c r="AA92" s="1249">
        <f t="shared" si="35"/>
        <v>0</v>
      </c>
      <c r="AB92" s="1249">
        <f t="shared" si="35"/>
        <v>0.32374083382262742</v>
      </c>
      <c r="AC92" s="1282">
        <f t="shared" si="26"/>
        <v>0.99999999999999989</v>
      </c>
    </row>
    <row r="93" spans="1:29">
      <c r="A93" s="187">
        <f t="shared" si="33"/>
        <v>1993</v>
      </c>
      <c r="B93" s="1655">
        <v>34.101339999999993</v>
      </c>
      <c r="C93" s="528">
        <v>1596.8565504459618</v>
      </c>
      <c r="D93" s="1577">
        <v>0</v>
      </c>
      <c r="E93" s="1578">
        <v>0</v>
      </c>
      <c r="F93" s="186">
        <f t="shared" si="27"/>
        <v>0.71479999999999999</v>
      </c>
      <c r="G93" s="186">
        <f t="shared" si="28"/>
        <v>0.28959999999999997</v>
      </c>
      <c r="H93" s="478">
        <v>0</v>
      </c>
      <c r="I93" s="1292">
        <f t="shared" si="21"/>
        <v>578.73</v>
      </c>
      <c r="J93" s="1293">
        <f t="shared" si="22"/>
        <v>28.06789123869763</v>
      </c>
      <c r="K93" s="1294">
        <f t="shared" si="15"/>
        <v>19735.468498199996</v>
      </c>
      <c r="L93" s="1294">
        <f t="shared" si="23"/>
        <v>44820.395981719135</v>
      </c>
      <c r="M93" s="1295">
        <f t="shared" si="16"/>
        <v>44820.395981719135</v>
      </c>
      <c r="N93" s="1249">
        <f t="shared" si="34"/>
        <v>0.19892488097366726</v>
      </c>
      <c r="O93" s="1249">
        <f t="shared" si="34"/>
        <v>0.26585903447659598</v>
      </c>
      <c r="P93" s="1249">
        <f t="shared" si="34"/>
        <v>8.9228108703258049E-2</v>
      </c>
      <c r="Q93" s="1249">
        <f t="shared" si="34"/>
        <v>0</v>
      </c>
      <c r="R93" s="1249">
        <f t="shared" si="34"/>
        <v>0</v>
      </c>
      <c r="S93" s="1249">
        <f t="shared" si="34"/>
        <v>0</v>
      </c>
      <c r="T93" s="1249">
        <f t="shared" si="34"/>
        <v>0.4459879758464787</v>
      </c>
      <c r="U93" s="1282">
        <f t="shared" si="32"/>
        <v>1</v>
      </c>
      <c r="V93" s="1283">
        <f t="shared" si="35"/>
        <v>0.29028184578274857</v>
      </c>
      <c r="W93" s="1249">
        <f t="shared" si="35"/>
        <v>0.30317187715157518</v>
      </c>
      <c r="X93" s="1249">
        <f t="shared" si="35"/>
        <v>8.2805443243048754E-2</v>
      </c>
      <c r="Y93" s="1249">
        <f t="shared" si="35"/>
        <v>0</v>
      </c>
      <c r="Z93" s="1249">
        <f t="shared" si="35"/>
        <v>0</v>
      </c>
      <c r="AA93" s="1249">
        <f t="shared" si="35"/>
        <v>0</v>
      </c>
      <c r="AB93" s="1249">
        <f t="shared" si="35"/>
        <v>0.32374083382262742</v>
      </c>
      <c r="AC93" s="1282">
        <f t="shared" si="26"/>
        <v>0.99999999999999989</v>
      </c>
    </row>
    <row r="94" spans="1:29">
      <c r="A94" s="187">
        <f t="shared" si="33"/>
        <v>1994</v>
      </c>
      <c r="B94" s="1655">
        <v>34.837530000000001</v>
      </c>
      <c r="C94" s="528">
        <v>1647.9559768112579</v>
      </c>
      <c r="D94" s="1577">
        <v>0</v>
      </c>
      <c r="E94" s="1578">
        <v>0</v>
      </c>
      <c r="F94" s="186">
        <f t="shared" si="27"/>
        <v>0.71479999999999999</v>
      </c>
      <c r="G94" s="186">
        <f t="shared" si="28"/>
        <v>0.28959999999999997</v>
      </c>
      <c r="H94" s="478">
        <v>0</v>
      </c>
      <c r="I94" s="1292">
        <f t="shared" si="21"/>
        <v>578.73</v>
      </c>
      <c r="J94" s="1293">
        <f t="shared" si="22"/>
        <v>28.06789123869763</v>
      </c>
      <c r="K94" s="1294">
        <f t="shared" si="15"/>
        <v>20161.523736900002</v>
      </c>
      <c r="L94" s="1294">
        <f t="shared" si="23"/>
        <v>46254.6491233001</v>
      </c>
      <c r="M94" s="1295">
        <f t="shared" si="16"/>
        <v>46254.6491233001</v>
      </c>
      <c r="N94" s="1249">
        <f t="shared" si="34"/>
        <v>0.19892488097366726</v>
      </c>
      <c r="O94" s="1249">
        <f t="shared" si="34"/>
        <v>0.26585903447659598</v>
      </c>
      <c r="P94" s="1249">
        <f t="shared" si="34"/>
        <v>8.9228108703258049E-2</v>
      </c>
      <c r="Q94" s="1249">
        <f t="shared" si="34"/>
        <v>0</v>
      </c>
      <c r="R94" s="1249">
        <f t="shared" si="34"/>
        <v>0</v>
      </c>
      <c r="S94" s="1249">
        <f t="shared" si="34"/>
        <v>0</v>
      </c>
      <c r="T94" s="1249">
        <f t="shared" si="34"/>
        <v>0.4459879758464787</v>
      </c>
      <c r="U94" s="1282">
        <f t="shared" si="32"/>
        <v>1</v>
      </c>
      <c r="V94" s="1283">
        <f t="shared" si="35"/>
        <v>0.29028184578274857</v>
      </c>
      <c r="W94" s="1249">
        <f t="shared" si="35"/>
        <v>0.30317187715157518</v>
      </c>
      <c r="X94" s="1249">
        <f t="shared" si="35"/>
        <v>8.2805443243048754E-2</v>
      </c>
      <c r="Y94" s="1249">
        <f t="shared" si="35"/>
        <v>0</v>
      </c>
      <c r="Z94" s="1249">
        <f t="shared" si="35"/>
        <v>0</v>
      </c>
      <c r="AA94" s="1249">
        <f t="shared" si="35"/>
        <v>0</v>
      </c>
      <c r="AB94" s="1249">
        <f t="shared" si="35"/>
        <v>0.32374083382262742</v>
      </c>
      <c r="AC94" s="1282">
        <f t="shared" si="26"/>
        <v>0.99999999999999989</v>
      </c>
    </row>
    <row r="95" spans="1:29">
      <c r="A95" s="187">
        <f t="shared" si="33"/>
        <v>1995</v>
      </c>
      <c r="B95" s="1655">
        <v>35.599199999999996</v>
      </c>
      <c r="C95" s="528">
        <v>1699.0425365830638</v>
      </c>
      <c r="D95" s="1577">
        <v>0</v>
      </c>
      <c r="E95" s="1578">
        <v>0</v>
      </c>
      <c r="F95" s="186">
        <f t="shared" si="27"/>
        <v>0.71479999999999999</v>
      </c>
      <c r="G95" s="186">
        <f t="shared" si="28"/>
        <v>0.28959999999999997</v>
      </c>
      <c r="H95" s="478">
        <v>0</v>
      </c>
      <c r="I95" s="1292">
        <f t="shared" si="21"/>
        <v>578.73</v>
      </c>
      <c r="J95" s="1293">
        <f t="shared" si="22"/>
        <v>28.06789123869763</v>
      </c>
      <c r="K95" s="1294">
        <f t="shared" si="15"/>
        <v>20602.325015999999</v>
      </c>
      <c r="L95" s="1294">
        <f t="shared" si="23"/>
        <v>47688.541126734373</v>
      </c>
      <c r="M95" s="1295">
        <f t="shared" si="16"/>
        <v>47688.541126734373</v>
      </c>
      <c r="N95" s="1249">
        <f t="shared" si="34"/>
        <v>0.19892488097366726</v>
      </c>
      <c r="O95" s="1249">
        <f t="shared" si="34"/>
        <v>0.26585903447659598</v>
      </c>
      <c r="P95" s="1249">
        <f t="shared" si="34"/>
        <v>8.9228108703258049E-2</v>
      </c>
      <c r="Q95" s="1249">
        <f t="shared" si="34"/>
        <v>0</v>
      </c>
      <c r="R95" s="1249">
        <f t="shared" si="34"/>
        <v>0</v>
      </c>
      <c r="S95" s="1249">
        <f t="shared" si="34"/>
        <v>0</v>
      </c>
      <c r="T95" s="1249">
        <f t="shared" si="34"/>
        <v>0.4459879758464787</v>
      </c>
      <c r="U95" s="1282">
        <f t="shared" si="32"/>
        <v>1</v>
      </c>
      <c r="V95" s="1283">
        <f t="shared" si="35"/>
        <v>0.29028184578274857</v>
      </c>
      <c r="W95" s="1249">
        <f t="shared" si="35"/>
        <v>0.30317187715157518</v>
      </c>
      <c r="X95" s="1249">
        <f t="shared" si="35"/>
        <v>8.2805443243048754E-2</v>
      </c>
      <c r="Y95" s="1249">
        <f t="shared" si="35"/>
        <v>0</v>
      </c>
      <c r="Z95" s="1249">
        <f t="shared" si="35"/>
        <v>0</v>
      </c>
      <c r="AA95" s="1249">
        <f t="shared" si="35"/>
        <v>0</v>
      </c>
      <c r="AB95" s="1249">
        <f t="shared" si="35"/>
        <v>0.32374083382262742</v>
      </c>
      <c r="AC95" s="1282">
        <f t="shared" si="26"/>
        <v>0.99999999999999989</v>
      </c>
    </row>
    <row r="96" spans="1:29">
      <c r="A96" s="187">
        <f t="shared" si="33"/>
        <v>1996</v>
      </c>
      <c r="B96" s="1655">
        <v>36.4</v>
      </c>
      <c r="C96" s="528">
        <v>1772.1013480030836</v>
      </c>
      <c r="D96" s="1577">
        <v>0</v>
      </c>
      <c r="E96" s="1578">
        <v>0</v>
      </c>
      <c r="F96" s="186">
        <f t="shared" si="27"/>
        <v>0.71479999999999999</v>
      </c>
      <c r="G96" s="186">
        <f t="shared" si="28"/>
        <v>0.28959999999999997</v>
      </c>
      <c r="H96" s="478">
        <v>0</v>
      </c>
      <c r="I96" s="1292">
        <f t="shared" si="21"/>
        <v>578.73</v>
      </c>
      <c r="J96" s="1293">
        <f t="shared" si="22"/>
        <v>28.06789123869763</v>
      </c>
      <c r="K96" s="1294">
        <f t="shared" si="15"/>
        <v>21065.772000000001</v>
      </c>
      <c r="L96" s="1294">
        <f t="shared" si="23"/>
        <v>49739.147899700009</v>
      </c>
      <c r="M96" s="1295">
        <f t="shared" si="16"/>
        <v>49739.147899700009</v>
      </c>
      <c r="N96" s="1249">
        <f t="shared" si="34"/>
        <v>0.19892488097366726</v>
      </c>
      <c r="O96" s="1249">
        <f t="shared" si="34"/>
        <v>0.26585903447659598</v>
      </c>
      <c r="P96" s="1249">
        <f t="shared" si="34"/>
        <v>8.9228108703258049E-2</v>
      </c>
      <c r="Q96" s="1249">
        <f t="shared" si="34"/>
        <v>0</v>
      </c>
      <c r="R96" s="1249">
        <f t="shared" si="34"/>
        <v>0</v>
      </c>
      <c r="S96" s="1249">
        <f t="shared" si="34"/>
        <v>0</v>
      </c>
      <c r="T96" s="1249">
        <f t="shared" si="34"/>
        <v>0.4459879758464787</v>
      </c>
      <c r="U96" s="1282">
        <f t="shared" si="32"/>
        <v>1</v>
      </c>
      <c r="V96" s="1283">
        <f t="shared" si="35"/>
        <v>0.29028184578274857</v>
      </c>
      <c r="W96" s="1249">
        <f t="shared" si="35"/>
        <v>0.30317187715157518</v>
      </c>
      <c r="X96" s="1249">
        <f t="shared" si="35"/>
        <v>8.2805443243048754E-2</v>
      </c>
      <c r="Y96" s="1249">
        <f t="shared" si="35"/>
        <v>0</v>
      </c>
      <c r="Z96" s="1249">
        <f t="shared" si="35"/>
        <v>0</v>
      </c>
      <c r="AA96" s="1249">
        <f t="shared" si="35"/>
        <v>0</v>
      </c>
      <c r="AB96" s="1249">
        <f t="shared" si="35"/>
        <v>0.32374083382262742</v>
      </c>
      <c r="AC96" s="1282">
        <f t="shared" si="26"/>
        <v>0.99999999999999989</v>
      </c>
    </row>
    <row r="97" spans="1:29">
      <c r="A97" s="187">
        <f t="shared" si="33"/>
        <v>1997</v>
      </c>
      <c r="B97" s="1655">
        <v>37.242660000000001</v>
      </c>
      <c r="C97" s="528">
        <v>1818.1760205488283</v>
      </c>
      <c r="D97" s="1577">
        <v>0</v>
      </c>
      <c r="E97" s="1578">
        <v>0</v>
      </c>
      <c r="F97" s="186">
        <f t="shared" si="27"/>
        <v>0.71479999999999999</v>
      </c>
      <c r="G97" s="186">
        <f t="shared" si="28"/>
        <v>0.28959999999999997</v>
      </c>
      <c r="H97" s="478">
        <v>0</v>
      </c>
      <c r="I97" s="1292">
        <f t="shared" si="21"/>
        <v>578.73</v>
      </c>
      <c r="J97" s="1293">
        <f t="shared" si="22"/>
        <v>28.06789123869763</v>
      </c>
      <c r="K97" s="1294">
        <f t="shared" si="15"/>
        <v>21553.444621800001</v>
      </c>
      <c r="L97" s="1294">
        <f t="shared" si="23"/>
        <v>51032.366797572584</v>
      </c>
      <c r="M97" s="1295">
        <f t="shared" si="16"/>
        <v>51032.366797572584</v>
      </c>
      <c r="N97" s="1249">
        <f t="shared" si="34"/>
        <v>0.19892488097366726</v>
      </c>
      <c r="O97" s="1249">
        <f t="shared" si="34"/>
        <v>0.26585903447659598</v>
      </c>
      <c r="P97" s="1249">
        <f t="shared" si="34"/>
        <v>8.9228108703258049E-2</v>
      </c>
      <c r="Q97" s="1249">
        <f t="shared" si="34"/>
        <v>0</v>
      </c>
      <c r="R97" s="1249">
        <f t="shared" si="34"/>
        <v>0</v>
      </c>
      <c r="S97" s="1249">
        <f t="shared" si="34"/>
        <v>0</v>
      </c>
      <c r="T97" s="1249">
        <f t="shared" si="34"/>
        <v>0.4459879758464787</v>
      </c>
      <c r="U97" s="1282">
        <f t="shared" si="32"/>
        <v>1</v>
      </c>
      <c r="V97" s="1283">
        <f t="shared" si="35"/>
        <v>0.29028184578274857</v>
      </c>
      <c r="W97" s="1249">
        <f t="shared" si="35"/>
        <v>0.30317187715157518</v>
      </c>
      <c r="X97" s="1249">
        <f t="shared" si="35"/>
        <v>8.2805443243048754E-2</v>
      </c>
      <c r="Y97" s="1249">
        <f t="shared" si="35"/>
        <v>0</v>
      </c>
      <c r="Z97" s="1249">
        <f t="shared" si="35"/>
        <v>0</v>
      </c>
      <c r="AA97" s="1249">
        <f t="shared" si="35"/>
        <v>0</v>
      </c>
      <c r="AB97" s="1249">
        <f t="shared" si="35"/>
        <v>0.32374083382262742</v>
      </c>
      <c r="AC97" s="1282">
        <f t="shared" si="26"/>
        <v>0.99999999999999989</v>
      </c>
    </row>
    <row r="98" spans="1:29">
      <c r="A98" s="187">
        <f t="shared" si="33"/>
        <v>1998</v>
      </c>
      <c r="B98" s="1655">
        <v>38.128999999999998</v>
      </c>
      <c r="C98" s="528">
        <v>1827.2669171060654</v>
      </c>
      <c r="D98" s="1577">
        <v>0</v>
      </c>
      <c r="E98" s="1578">
        <v>0</v>
      </c>
      <c r="F98" s="186">
        <f t="shared" si="27"/>
        <v>0.71479999999999999</v>
      </c>
      <c r="G98" s="186">
        <f t="shared" si="28"/>
        <v>0.28959999999999997</v>
      </c>
      <c r="H98" s="478">
        <v>0</v>
      </c>
      <c r="I98" s="1292">
        <f t="shared" si="21"/>
        <v>578.73</v>
      </c>
      <c r="J98" s="1293">
        <f t="shared" si="22"/>
        <v>28.06789123869763</v>
      </c>
      <c r="K98" s="1294">
        <f t="shared" si="15"/>
        <v>22066.39617</v>
      </c>
      <c r="L98" s="1294">
        <f t="shared" si="23"/>
        <v>51287.529093403362</v>
      </c>
      <c r="M98" s="1295">
        <f t="shared" si="16"/>
        <v>51287.529093403362</v>
      </c>
      <c r="N98" s="1249">
        <f t="shared" si="34"/>
        <v>0.19892488097366726</v>
      </c>
      <c r="O98" s="1249">
        <f t="shared" si="34"/>
        <v>0.26585903447659598</v>
      </c>
      <c r="P98" s="1249">
        <f t="shared" si="34"/>
        <v>8.9228108703258049E-2</v>
      </c>
      <c r="Q98" s="1249">
        <f t="shared" si="34"/>
        <v>0</v>
      </c>
      <c r="R98" s="1249">
        <f t="shared" si="34"/>
        <v>0</v>
      </c>
      <c r="S98" s="1249">
        <f t="shared" si="34"/>
        <v>0</v>
      </c>
      <c r="T98" s="1249">
        <f t="shared" si="34"/>
        <v>0.4459879758464787</v>
      </c>
      <c r="U98" s="1282">
        <f t="shared" si="32"/>
        <v>1</v>
      </c>
      <c r="V98" s="1283">
        <f t="shared" si="35"/>
        <v>0.29028184578274857</v>
      </c>
      <c r="W98" s="1249">
        <f t="shared" si="35"/>
        <v>0.30317187715157518</v>
      </c>
      <c r="X98" s="1249">
        <f t="shared" si="35"/>
        <v>8.2805443243048754E-2</v>
      </c>
      <c r="Y98" s="1249">
        <f t="shared" si="35"/>
        <v>0</v>
      </c>
      <c r="Z98" s="1249">
        <f t="shared" si="35"/>
        <v>0</v>
      </c>
      <c r="AA98" s="1249">
        <f t="shared" si="35"/>
        <v>0</v>
      </c>
      <c r="AB98" s="1249">
        <f t="shared" si="35"/>
        <v>0.32374083382262742</v>
      </c>
      <c r="AC98" s="1282">
        <f t="shared" si="26"/>
        <v>0.99999999999999989</v>
      </c>
    </row>
    <row r="99" spans="1:29" ht="13.9" customHeight="1" thickBot="1">
      <c r="A99" s="187">
        <f t="shared" si="33"/>
        <v>1999</v>
      </c>
      <c r="B99" s="1655">
        <v>39.059930000000001</v>
      </c>
      <c r="C99" s="528">
        <v>1871.1212545027383</v>
      </c>
      <c r="D99" s="1577">
        <v>0</v>
      </c>
      <c r="E99" s="1578">
        <v>0</v>
      </c>
      <c r="F99" s="186">
        <f t="shared" si="27"/>
        <v>0.71479999999999999</v>
      </c>
      <c r="G99" s="186">
        <f t="shared" si="28"/>
        <v>0.28959999999999997</v>
      </c>
      <c r="H99" s="478">
        <v>0</v>
      </c>
      <c r="I99" s="1292">
        <f t="shared" si="21"/>
        <v>578.73</v>
      </c>
      <c r="J99" s="1293">
        <f t="shared" si="22"/>
        <v>28.06789123869763</v>
      </c>
      <c r="K99" s="1294">
        <f t="shared" si="15"/>
        <v>22605.153288900001</v>
      </c>
      <c r="L99" s="1294">
        <f t="shared" si="23"/>
        <v>52518.42786579833</v>
      </c>
      <c r="M99" s="1295">
        <f t="shared" si="16"/>
        <v>52518.42786579833</v>
      </c>
      <c r="N99" s="1249">
        <f t="shared" ref="N99:T114" si="36">N98</f>
        <v>0.19892488097366726</v>
      </c>
      <c r="O99" s="1249">
        <f t="shared" si="36"/>
        <v>0.26585903447659598</v>
      </c>
      <c r="P99" s="1249">
        <f t="shared" si="36"/>
        <v>8.9228108703258049E-2</v>
      </c>
      <c r="Q99" s="1249">
        <f t="shared" si="36"/>
        <v>0</v>
      </c>
      <c r="R99" s="1249">
        <f t="shared" si="36"/>
        <v>0</v>
      </c>
      <c r="S99" s="1249">
        <f t="shared" si="36"/>
        <v>0</v>
      </c>
      <c r="T99" s="1249">
        <f t="shared" si="36"/>
        <v>0.4459879758464787</v>
      </c>
      <c r="U99" s="1282">
        <f t="shared" si="32"/>
        <v>1</v>
      </c>
      <c r="V99" s="1283">
        <f t="shared" si="35"/>
        <v>0.29028184578274857</v>
      </c>
      <c r="W99" s="1249">
        <f t="shared" si="35"/>
        <v>0.30317187715157518</v>
      </c>
      <c r="X99" s="1249">
        <f t="shared" si="35"/>
        <v>8.2805443243048754E-2</v>
      </c>
      <c r="Y99" s="1249">
        <f t="shared" si="35"/>
        <v>0</v>
      </c>
      <c r="Z99" s="1249">
        <f t="shared" si="35"/>
        <v>0</v>
      </c>
      <c r="AA99" s="1249">
        <f t="shared" si="35"/>
        <v>0</v>
      </c>
      <c r="AB99" s="1249">
        <f t="shared" si="35"/>
        <v>0.32374083382262742</v>
      </c>
      <c r="AC99" s="1282">
        <f t="shared" si="26"/>
        <v>0.99999999999999989</v>
      </c>
    </row>
    <row r="100" spans="1:29">
      <c r="A100" s="1663">
        <f t="shared" si="33"/>
        <v>2000</v>
      </c>
      <c r="B100" s="1664">
        <v>44</v>
      </c>
      <c r="C100" s="1665">
        <v>1949.7084122320282</v>
      </c>
      <c r="D100" s="1666">
        <v>0</v>
      </c>
      <c r="E100" s="1667">
        <f>D100</f>
        <v>0</v>
      </c>
      <c r="F100" s="1668">
        <f t="shared" si="27"/>
        <v>0.71479999999999999</v>
      </c>
      <c r="G100" s="1668">
        <f t="shared" si="28"/>
        <v>0.28959999999999997</v>
      </c>
      <c r="H100" s="1669">
        <v>501</v>
      </c>
      <c r="I100" s="1670">
        <f t="shared" si="21"/>
        <v>578.73</v>
      </c>
      <c r="J100" s="1671">
        <f t="shared" si="22"/>
        <v>28.06789123869763</v>
      </c>
      <c r="K100" s="1672">
        <f t="shared" si="15"/>
        <v>25464.120000000003</v>
      </c>
      <c r="L100" s="1672">
        <f>C100*J100*1000/1000</f>
        <v>54724.203661702413</v>
      </c>
      <c r="M100" s="1673">
        <f t="shared" si="16"/>
        <v>54724.203661702413</v>
      </c>
      <c r="N100" s="1668">
        <f t="shared" si="36"/>
        <v>0.19892488097366726</v>
      </c>
      <c r="O100" s="1668">
        <f t="shared" si="36"/>
        <v>0.26585903447659598</v>
      </c>
      <c r="P100" s="1668">
        <f t="shared" si="36"/>
        <v>8.9228108703258049E-2</v>
      </c>
      <c r="Q100" s="1668">
        <f t="shared" si="36"/>
        <v>0</v>
      </c>
      <c r="R100" s="1668">
        <f t="shared" si="36"/>
        <v>0</v>
      </c>
      <c r="S100" s="1668">
        <f t="shared" si="36"/>
        <v>0</v>
      </c>
      <c r="T100" s="1668">
        <f t="shared" si="36"/>
        <v>0.4459879758464787</v>
      </c>
      <c r="U100" s="1674">
        <f t="shared" si="32"/>
        <v>1</v>
      </c>
      <c r="V100" s="1668">
        <f t="shared" ref="V100:AB115" si="37">V99</f>
        <v>0.29028184578274857</v>
      </c>
      <c r="W100" s="1668">
        <f t="shared" si="37"/>
        <v>0.30317187715157518</v>
      </c>
      <c r="X100" s="1668">
        <f t="shared" si="37"/>
        <v>8.2805443243048754E-2</v>
      </c>
      <c r="Y100" s="1668">
        <f t="shared" si="37"/>
        <v>0</v>
      </c>
      <c r="Z100" s="1668">
        <f t="shared" si="37"/>
        <v>0</v>
      </c>
      <c r="AA100" s="1668">
        <f t="shared" si="37"/>
        <v>0</v>
      </c>
      <c r="AB100" s="1668">
        <f t="shared" si="37"/>
        <v>0.32374083382262742</v>
      </c>
      <c r="AC100" s="1674">
        <f t="shared" si="26"/>
        <v>0.99999999999999989</v>
      </c>
    </row>
    <row r="101" spans="1:29">
      <c r="A101" s="748">
        <f t="shared" si="33"/>
        <v>2001</v>
      </c>
      <c r="B101" s="1656">
        <v>44.91</v>
      </c>
      <c r="C101" s="759">
        <v>2002.3504334346351</v>
      </c>
      <c r="D101" s="1113">
        <v>0</v>
      </c>
      <c r="E101" s="1100">
        <f t="shared" ref="E101:E117" si="38">D101</f>
        <v>0</v>
      </c>
      <c r="F101" s="754">
        <f t="shared" si="27"/>
        <v>0.71479999999999999</v>
      </c>
      <c r="G101" s="754">
        <f t="shared" si="28"/>
        <v>0.28959999999999997</v>
      </c>
      <c r="H101" s="755">
        <v>501</v>
      </c>
      <c r="I101" s="1297">
        <f t="shared" si="21"/>
        <v>578.73</v>
      </c>
      <c r="J101" s="1675">
        <f t="shared" si="22"/>
        <v>28.06789123869763</v>
      </c>
      <c r="K101" s="1676">
        <f t="shared" si="15"/>
        <v>25990.764299999999</v>
      </c>
      <c r="L101" s="1676">
        <f t="shared" ref="L101:L116" si="39">C101*J101*1000/1000</f>
        <v>56201.754187402395</v>
      </c>
      <c r="M101" s="756">
        <f t="shared" si="16"/>
        <v>56201.754187402395</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656">
        <v>45.533000000000001</v>
      </c>
      <c r="C102" s="759">
        <v>2076.4450554986461</v>
      </c>
      <c r="D102" s="1113">
        <v>0</v>
      </c>
      <c r="E102" s="1100">
        <f t="shared" si="38"/>
        <v>0</v>
      </c>
      <c r="F102" s="754">
        <f t="shared" si="27"/>
        <v>0.71479999999999999</v>
      </c>
      <c r="G102" s="754">
        <f t="shared" si="28"/>
        <v>0.28959999999999997</v>
      </c>
      <c r="H102" s="755">
        <v>501</v>
      </c>
      <c r="I102" s="1297">
        <f t="shared" si="21"/>
        <v>578.73</v>
      </c>
      <c r="J102" s="1675">
        <f t="shared" si="22"/>
        <v>28.06789123869763</v>
      </c>
      <c r="K102" s="1676">
        <f t="shared" si="15"/>
        <v>26351.313090000003</v>
      </c>
      <c r="L102" s="1676">
        <f t="shared" si="39"/>
        <v>58281.433980867463</v>
      </c>
      <c r="M102" s="756">
        <f t="shared" si="16"/>
        <v>58281.433980867463</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656">
        <v>46.116</v>
      </c>
      <c r="C103" s="759">
        <v>2137.6810634216249</v>
      </c>
      <c r="D103" s="1113">
        <v>0</v>
      </c>
      <c r="E103" s="1100">
        <f t="shared" si="38"/>
        <v>0</v>
      </c>
      <c r="F103" s="754">
        <f t="shared" si="27"/>
        <v>0.71479999999999999</v>
      </c>
      <c r="G103" s="754">
        <f t="shared" si="28"/>
        <v>0.28959999999999997</v>
      </c>
      <c r="H103" s="755">
        <v>501</v>
      </c>
      <c r="I103" s="1297">
        <f t="shared" si="21"/>
        <v>578.73</v>
      </c>
      <c r="J103" s="1675">
        <f t="shared" si="22"/>
        <v>28.06789123869763</v>
      </c>
      <c r="K103" s="1676">
        <f t="shared" si="15"/>
        <v>26688.712680000001</v>
      </c>
      <c r="L103" s="1676">
        <f t="shared" si="39"/>
        <v>60000.199591141652</v>
      </c>
      <c r="M103" s="756">
        <f t="shared" si="16"/>
        <v>60000.199591141652</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656">
        <v>46.664999999999999</v>
      </c>
      <c r="C104" s="759">
        <v>2235.0428749750399</v>
      </c>
      <c r="D104" s="1113">
        <v>0</v>
      </c>
      <c r="E104" s="1100">
        <f t="shared" si="38"/>
        <v>0</v>
      </c>
      <c r="F104" s="754">
        <f t="shared" si="27"/>
        <v>0.71479999999999999</v>
      </c>
      <c r="G104" s="754">
        <f t="shared" si="28"/>
        <v>0.28959999999999997</v>
      </c>
      <c r="H104" s="755">
        <v>501</v>
      </c>
      <c r="I104" s="1297">
        <f t="shared" si="21"/>
        <v>578.73</v>
      </c>
      <c r="J104" s="1675">
        <f t="shared" si="22"/>
        <v>28.06789123869763</v>
      </c>
      <c r="K104" s="1676">
        <f t="shared" si="15"/>
        <v>27006.435450000001</v>
      </c>
      <c r="L104" s="1676">
        <f t="shared" si="39"/>
        <v>62732.940328625482</v>
      </c>
      <c r="M104" s="756">
        <f t="shared" si="16"/>
        <v>62732.940328625482</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656">
        <v>47.198</v>
      </c>
      <c r="C105" s="759">
        <v>2352.9873460848162</v>
      </c>
      <c r="D105" s="1113">
        <v>0</v>
      </c>
      <c r="E105" s="1100">
        <f t="shared" si="38"/>
        <v>0</v>
      </c>
      <c r="F105" s="754">
        <f t="shared" si="27"/>
        <v>0.71479999999999999</v>
      </c>
      <c r="G105" s="754">
        <f t="shared" si="28"/>
        <v>0.28959999999999997</v>
      </c>
      <c r="H105" s="755">
        <v>501</v>
      </c>
      <c r="I105" s="1297">
        <f t="shared" si="21"/>
        <v>578.73</v>
      </c>
      <c r="J105" s="1675">
        <f t="shared" si="22"/>
        <v>28.06789123869763</v>
      </c>
      <c r="K105" s="1676">
        <f t="shared" si="15"/>
        <v>27314.898540000002</v>
      </c>
      <c r="L105" s="1676">
        <f t="shared" si="39"/>
        <v>66043.392915940407</v>
      </c>
      <c r="M105" s="756">
        <f t="shared" si="16"/>
        <v>66043.392915940407</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656">
        <v>47.731000000000002</v>
      </c>
      <c r="C106" s="759">
        <v>2484.843995854224</v>
      </c>
      <c r="D106" s="1113">
        <v>0</v>
      </c>
      <c r="E106" s="1100">
        <f t="shared" si="38"/>
        <v>0</v>
      </c>
      <c r="F106" s="754">
        <f t="shared" si="27"/>
        <v>0.71479999999999999</v>
      </c>
      <c r="G106" s="754">
        <f t="shared" si="28"/>
        <v>0.28959999999999997</v>
      </c>
      <c r="H106" s="755">
        <v>501</v>
      </c>
      <c r="I106" s="1297">
        <f t="shared" si="21"/>
        <v>578.73</v>
      </c>
      <c r="J106" s="1675">
        <f t="shared" si="22"/>
        <v>28.06789123869763</v>
      </c>
      <c r="K106" s="1676">
        <f t="shared" si="15"/>
        <v>27623.361630000003</v>
      </c>
      <c r="L106" s="1676">
        <f t="shared" si="39"/>
        <v>69744.331020767189</v>
      </c>
      <c r="M106" s="756">
        <f t="shared" si="16"/>
        <v>69744.331020767189</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656">
        <v>48.256999999999998</v>
      </c>
      <c r="C107" s="759">
        <v>2618.0434591809503</v>
      </c>
      <c r="D107" s="1113">
        <v>0</v>
      </c>
      <c r="E107" s="1100">
        <f t="shared" si="38"/>
        <v>0</v>
      </c>
      <c r="F107" s="754">
        <f t="shared" si="27"/>
        <v>0.71479999999999999</v>
      </c>
      <c r="G107" s="754">
        <f t="shared" si="28"/>
        <v>0.28959999999999997</v>
      </c>
      <c r="H107" s="755">
        <v>501</v>
      </c>
      <c r="I107" s="1297">
        <f t="shared" si="21"/>
        <v>578.73</v>
      </c>
      <c r="J107" s="1675">
        <f t="shared" si="22"/>
        <v>28.06789123869763</v>
      </c>
      <c r="K107" s="1676">
        <f t="shared" si="15"/>
        <v>27927.77361</v>
      </c>
      <c r="L107" s="1676">
        <f t="shared" si="39"/>
        <v>73482.959070474637</v>
      </c>
      <c r="M107" s="756">
        <f t="shared" si="16"/>
        <v>73482.959070474637</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656">
        <v>48.792999999999999</v>
      </c>
      <c r="C108" s="759">
        <v>2701.5864496631075</v>
      </c>
      <c r="D108" s="1113">
        <v>0</v>
      </c>
      <c r="E108" s="1100">
        <f t="shared" si="38"/>
        <v>0</v>
      </c>
      <c r="F108" s="754">
        <f t="shared" si="27"/>
        <v>0.71479999999999999</v>
      </c>
      <c r="G108" s="754">
        <f t="shared" si="28"/>
        <v>0.28959999999999997</v>
      </c>
      <c r="H108" s="755">
        <v>501</v>
      </c>
      <c r="I108" s="1297">
        <f t="shared" si="21"/>
        <v>578.73</v>
      </c>
      <c r="J108" s="1675">
        <f t="shared" si="22"/>
        <v>28.06789123869763</v>
      </c>
      <c r="K108" s="1676">
        <f t="shared" si="15"/>
        <v>28237.972890000001</v>
      </c>
      <c r="L108" s="1676">
        <f t="shared" si="39"/>
        <v>75827.834641083376</v>
      </c>
      <c r="M108" s="756">
        <f t="shared" si="16"/>
        <v>75827.834641083376</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656">
        <v>49.32</v>
      </c>
      <c r="C109" s="759">
        <v>2660.0336366320498</v>
      </c>
      <c r="D109" s="1113">
        <v>0</v>
      </c>
      <c r="E109" s="1100">
        <f t="shared" si="38"/>
        <v>0</v>
      </c>
      <c r="F109" s="754">
        <f t="shared" si="27"/>
        <v>0.71479999999999999</v>
      </c>
      <c r="G109" s="754">
        <f t="shared" si="28"/>
        <v>0.28959999999999997</v>
      </c>
      <c r="H109" s="755">
        <v>501</v>
      </c>
      <c r="I109" s="1297">
        <f t="shared" si="21"/>
        <v>578.73</v>
      </c>
      <c r="J109" s="1675">
        <f t="shared" si="22"/>
        <v>28.06789123869763</v>
      </c>
      <c r="K109" s="1676">
        <f t="shared" si="15"/>
        <v>28542.963600000003</v>
      </c>
      <c r="L109" s="1676">
        <f t="shared" si="39"/>
        <v>74661.534804265713</v>
      </c>
      <c r="M109" s="756">
        <f t="shared" si="16"/>
        <v>74661.534804265713</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656">
        <v>49.87</v>
      </c>
      <c r="C110" s="759">
        <v>2740.8914987475191</v>
      </c>
      <c r="D110" s="1113">
        <v>0</v>
      </c>
      <c r="E110" s="1100">
        <f t="shared" si="38"/>
        <v>0</v>
      </c>
      <c r="F110" s="749">
        <f t="shared" si="27"/>
        <v>0.71479999999999999</v>
      </c>
      <c r="G110" s="749">
        <f t="shared" si="28"/>
        <v>0.28959999999999997</v>
      </c>
      <c r="H110" s="750">
        <v>501</v>
      </c>
      <c r="I110" s="1296">
        <f t="shared" ref="I110:I116" si="40">($I$117-$I$109)/($A$117-$A$109)+I109</f>
        <v>559.42164173673609</v>
      </c>
      <c r="J110" s="1677">
        <f t="shared" si="22"/>
        <v>28.06789123869763</v>
      </c>
      <c r="K110" s="751">
        <f t="shared" si="15"/>
        <v>27898.357273411028</v>
      </c>
      <c r="L110" s="751">
        <f t="shared" si="39"/>
        <v>76931.04448391631</v>
      </c>
      <c r="M110" s="752">
        <f t="shared" si="16"/>
        <v>76931.04448391631</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656">
        <v>51.771000000000001</v>
      </c>
      <c r="C111" s="759">
        <v>2830.9069841561718</v>
      </c>
      <c r="D111" s="1113">
        <v>0</v>
      </c>
      <c r="E111" s="1100">
        <f t="shared" si="38"/>
        <v>0</v>
      </c>
      <c r="F111" s="754">
        <f t="shared" si="27"/>
        <v>0.71479999999999999</v>
      </c>
      <c r="G111" s="754">
        <f t="shared" si="28"/>
        <v>0.28959999999999997</v>
      </c>
      <c r="H111" s="755">
        <v>501</v>
      </c>
      <c r="I111" s="1297">
        <f t="shared" si="40"/>
        <v>540.11328347347217</v>
      </c>
      <c r="J111" s="1675">
        <f t="shared" si="22"/>
        <v>28.06789123869763</v>
      </c>
      <c r="K111" s="1676">
        <f>B111*I110</f>
        <v>28961.817814352566</v>
      </c>
      <c r="L111" s="1676">
        <f t="shared" si="39"/>
        <v>79457.589338164951</v>
      </c>
      <c r="M111" s="756">
        <f t="shared" si="16"/>
        <v>79457.589338164951</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759">
        <v>52.325432882070082</v>
      </c>
      <c r="C112" s="759">
        <v>2893.5650000000564</v>
      </c>
      <c r="D112" s="1113">
        <v>0</v>
      </c>
      <c r="E112" s="1100">
        <f t="shared" si="38"/>
        <v>0</v>
      </c>
      <c r="F112" s="754">
        <f t="shared" si="27"/>
        <v>0.71479999999999999</v>
      </c>
      <c r="G112" s="754">
        <f t="shared" si="28"/>
        <v>0.28959999999999997</v>
      </c>
      <c r="H112" s="755">
        <v>501</v>
      </c>
      <c r="I112" s="1297">
        <f t="shared" si="40"/>
        <v>520.80492521020824</v>
      </c>
      <c r="J112" s="1675">
        <f t="shared" si="22"/>
        <v>28.06789123869763</v>
      </c>
      <c r="K112" s="1676">
        <f t="shared" ref="K112:K150" si="41">B112*I112</f>
        <v>27251.34315873828</v>
      </c>
      <c r="L112" s="1676">
        <f t="shared" si="39"/>
        <v>81216.267712103698</v>
      </c>
      <c r="M112" s="756">
        <f t="shared" si="16"/>
        <v>81216.267712103698</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759">
        <v>53.104386458423342</v>
      </c>
      <c r="C113" s="759">
        <v>2969.1963051355538</v>
      </c>
      <c r="D113" s="1113">
        <v>0</v>
      </c>
      <c r="E113" s="1100">
        <f t="shared" si="38"/>
        <v>0</v>
      </c>
      <c r="F113" s="754">
        <f t="shared" si="27"/>
        <v>0.71479999999999999</v>
      </c>
      <c r="G113" s="754">
        <f t="shared" si="28"/>
        <v>0.28959999999999997</v>
      </c>
      <c r="H113" s="755">
        <v>501</v>
      </c>
      <c r="I113" s="1297">
        <f t="shared" si="40"/>
        <v>501.49656694694431</v>
      </c>
      <c r="J113" s="1675">
        <f t="shared" si="22"/>
        <v>28.06789123869763</v>
      </c>
      <c r="K113" s="1676">
        <f t="shared" si="41"/>
        <v>26631.667498723105</v>
      </c>
      <c r="L113" s="1676">
        <f t="shared" si="39"/>
        <v>83339.078958887578</v>
      </c>
      <c r="M113" s="756">
        <f t="shared" si="16"/>
        <v>83339.078958887578</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759">
        <v>53.912365691429272</v>
      </c>
      <c r="C114" s="759">
        <v>3022.2173632302474</v>
      </c>
      <c r="D114" s="1113">
        <v>0</v>
      </c>
      <c r="E114" s="1100">
        <f t="shared" si="38"/>
        <v>0</v>
      </c>
      <c r="F114" s="754">
        <f t="shared" si="27"/>
        <v>0.71479999999999999</v>
      </c>
      <c r="G114" s="754">
        <f t="shared" si="28"/>
        <v>0.28959999999999997</v>
      </c>
      <c r="H114" s="755">
        <v>501</v>
      </c>
      <c r="I114" s="1297">
        <f t="shared" si="40"/>
        <v>482.18820868368039</v>
      </c>
      <c r="J114" s="1675">
        <f t="shared" si="22"/>
        <v>28.06789123869763</v>
      </c>
      <c r="K114" s="1676">
        <f t="shared" si="41"/>
        <v>25995.907038649788</v>
      </c>
      <c r="L114" s="1676">
        <f t="shared" si="39"/>
        <v>84827.268250850117</v>
      </c>
      <c r="M114" s="756">
        <f t="shared" ref="M114:M116" si="42">C114*J114*1000/1000</f>
        <v>84827.268250850117</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759">
        <v>54.750491457321111</v>
      </c>
      <c r="C115" s="759">
        <v>3060.2316404410249</v>
      </c>
      <c r="D115" s="1113">
        <v>0</v>
      </c>
      <c r="E115" s="1100">
        <f t="shared" si="38"/>
        <v>0</v>
      </c>
      <c r="F115" s="754">
        <f t="shared" si="27"/>
        <v>0.71479999999999999</v>
      </c>
      <c r="G115" s="754">
        <f t="shared" si="28"/>
        <v>0.28959999999999997</v>
      </c>
      <c r="H115" s="755">
        <v>501</v>
      </c>
      <c r="I115" s="1297">
        <f t="shared" si="40"/>
        <v>462.87985042041646</v>
      </c>
      <c r="J115" s="1675">
        <f t="shared" ref="J115:J116" si="45">J114</f>
        <v>28.06789123869763</v>
      </c>
      <c r="K115" s="1676">
        <f t="shared" si="41"/>
        <v>25342.899296209085</v>
      </c>
      <c r="L115" s="1676">
        <f t="shared" si="39"/>
        <v>85894.248849119918</v>
      </c>
      <c r="M115" s="756">
        <f t="shared" si="42"/>
        <v>85894.248849119918</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759">
        <v>55.619940469824826</v>
      </c>
      <c r="C116" s="759">
        <v>3082.8658989519636</v>
      </c>
      <c r="D116" s="1113">
        <v>0</v>
      </c>
      <c r="E116" s="1100">
        <f t="shared" si="38"/>
        <v>0</v>
      </c>
      <c r="F116" s="754">
        <f t="shared" ref="F116:F117" si="48">F115</f>
        <v>0.71479999999999999</v>
      </c>
      <c r="G116" s="754">
        <f t="shared" ref="G116:G117" si="49">G115</f>
        <v>0.28959999999999997</v>
      </c>
      <c r="H116" s="755">
        <v>501</v>
      </c>
      <c r="I116" s="1297">
        <f t="shared" si="40"/>
        <v>443.57149215715253</v>
      </c>
      <c r="J116" s="1675">
        <f t="shared" si="45"/>
        <v>28.06789123869763</v>
      </c>
      <c r="K116" s="1676">
        <f t="shared" si="41"/>
        <v>24671.419987892194</v>
      </c>
      <c r="L116" s="1676">
        <f t="shared" si="39"/>
        <v>86529.544755273513</v>
      </c>
      <c r="M116" s="756">
        <f t="shared" si="42"/>
        <v>86529.544755273513</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c r="A117" s="748">
        <f>A116+1</f>
        <v>2017</v>
      </c>
      <c r="B117" s="759">
        <v>56.521948041648095</v>
      </c>
      <c r="C117" s="759">
        <v>3117.5115237718705</v>
      </c>
      <c r="D117" s="751">
        <f>'Waste Summary 2017 SASOW'!J10+'Waste Summary 2017 SASOW'!J13</f>
        <v>49995051</v>
      </c>
      <c r="E117" s="1113">
        <f t="shared" si="38"/>
        <v>49995051</v>
      </c>
      <c r="F117" s="749">
        <f t="shared" si="48"/>
        <v>0.71479999999999999</v>
      </c>
      <c r="G117" s="749">
        <f t="shared" si="49"/>
        <v>0.28959999999999997</v>
      </c>
      <c r="H117" s="750">
        <v>501</v>
      </c>
      <c r="I117" s="1296">
        <f>C4</f>
        <v>424.26313389388866</v>
      </c>
      <c r="J117" s="2029">
        <f>$C$6</f>
        <v>12.031045626813224</v>
      </c>
      <c r="K117" s="751">
        <f t="shared" si="41"/>
        <v>23980.178809937162</v>
      </c>
      <c r="L117" s="751">
        <f>C117*J117*1000/1000+D117/1000</f>
        <v>87501.974384615402</v>
      </c>
      <c r="M117" s="752">
        <f>C117*J117*1000/1000+E117/1000</f>
        <v>87501.974384615402</v>
      </c>
      <c r="N117" s="749">
        <f t="shared" si="46"/>
        <v>0.19892488097366726</v>
      </c>
      <c r="O117" s="749">
        <f t="shared" si="46"/>
        <v>0.26585903447659598</v>
      </c>
      <c r="P117" s="749">
        <f t="shared" si="46"/>
        <v>8.9228108703258049E-2</v>
      </c>
      <c r="Q117" s="749">
        <f t="shared" si="46"/>
        <v>0</v>
      </c>
      <c r="R117" s="749">
        <f t="shared" si="46"/>
        <v>0</v>
      </c>
      <c r="S117" s="749">
        <f t="shared" si="46"/>
        <v>0</v>
      </c>
      <c r="T117" s="749">
        <f t="shared" si="46"/>
        <v>0.4459879758464787</v>
      </c>
      <c r="U117" s="753">
        <f t="shared" si="43"/>
        <v>1</v>
      </c>
      <c r="V117" s="749">
        <f t="shared" si="50"/>
        <v>0.29028184578274857</v>
      </c>
      <c r="W117" s="749">
        <f t="shared" si="50"/>
        <v>0.30317187715157518</v>
      </c>
      <c r="X117" s="749">
        <f t="shared" si="50"/>
        <v>8.2805443243048754E-2</v>
      </c>
      <c r="Y117" s="749">
        <f t="shared" si="50"/>
        <v>0</v>
      </c>
      <c r="Z117" s="749">
        <f t="shared" si="50"/>
        <v>0</v>
      </c>
      <c r="AA117" s="749">
        <f t="shared" si="50"/>
        <v>0</v>
      </c>
      <c r="AB117" s="749">
        <f t="shared" si="50"/>
        <v>0.32374083382262742</v>
      </c>
      <c r="AC117" s="753">
        <f t="shared" si="47"/>
        <v>0.99999999999999989</v>
      </c>
    </row>
    <row r="118" spans="1:29" ht="16.5" thickBot="1">
      <c r="A118" s="2027">
        <f t="shared" si="44"/>
        <v>2018</v>
      </c>
      <c r="B118" s="2030">
        <v>57.436000617299655</v>
      </c>
      <c r="C118" s="2030">
        <v>3154.0370052724184</v>
      </c>
      <c r="D118" s="1678">
        <v>50359792.847133137</v>
      </c>
      <c r="E118" s="1679">
        <f>D118</f>
        <v>50359792.847133137</v>
      </c>
      <c r="F118" s="2028"/>
      <c r="G118" s="1680"/>
      <c r="H118" s="1681"/>
      <c r="I118" s="1682">
        <f t="shared" ref="I118:I150" si="51">I117</f>
        <v>424.26313389388866</v>
      </c>
      <c r="J118" s="1683">
        <f>$C$6</f>
        <v>12.031045626813224</v>
      </c>
      <c r="K118" s="1678">
        <f>B118*I118</f>
        <v>24367.977620226877</v>
      </c>
      <c r="L118" s="1678">
        <f>C118*J118+D118/1000</f>
        <v>88306.155966222956</v>
      </c>
      <c r="M118" s="1684">
        <f>C118*J118*1000/1000+E118/1000</f>
        <v>88306.155966222956</v>
      </c>
      <c r="N118" s="2028">
        <f t="shared" si="46"/>
        <v>0.19892488097366726</v>
      </c>
      <c r="O118" s="1680">
        <f t="shared" si="46"/>
        <v>0.26585903447659598</v>
      </c>
      <c r="P118" s="1680">
        <f t="shared" si="46"/>
        <v>8.9228108703258049E-2</v>
      </c>
      <c r="Q118" s="1680">
        <f t="shared" si="46"/>
        <v>0</v>
      </c>
      <c r="R118" s="1680">
        <f t="shared" si="46"/>
        <v>0</v>
      </c>
      <c r="S118" s="1680">
        <f t="shared" si="46"/>
        <v>0</v>
      </c>
      <c r="T118" s="1680">
        <f t="shared" si="46"/>
        <v>0.4459879758464787</v>
      </c>
      <c r="U118" s="1685">
        <f t="shared" si="43"/>
        <v>1</v>
      </c>
      <c r="V118" s="2028">
        <f t="shared" si="50"/>
        <v>0.29028184578274857</v>
      </c>
      <c r="W118" s="1680">
        <f t="shared" si="50"/>
        <v>0.30317187715157518</v>
      </c>
      <c r="X118" s="1680">
        <f t="shared" si="50"/>
        <v>8.2805443243048754E-2</v>
      </c>
      <c r="Y118" s="1680">
        <f t="shared" si="50"/>
        <v>0</v>
      </c>
      <c r="Z118" s="1680">
        <f t="shared" si="50"/>
        <v>0</v>
      </c>
      <c r="AA118" s="1680">
        <f t="shared" si="50"/>
        <v>0</v>
      </c>
      <c r="AB118" s="1680">
        <f t="shared" si="50"/>
        <v>0.32374083382262742</v>
      </c>
      <c r="AC118" s="1685">
        <f t="shared" si="47"/>
        <v>0.99999999999999989</v>
      </c>
    </row>
    <row r="119" spans="1:29">
      <c r="A119" s="187">
        <f t="shared" si="44"/>
        <v>2019</v>
      </c>
      <c r="B119" s="1657">
        <f>INDEX(Drivers!$A$8:$AM$8,1,$A119-2011)/1000</f>
        <v>58.364834921819444</v>
      </c>
      <c r="C119" s="1662">
        <f>INDEX(Drivers!$A$16:$AM$16,1,$A119-2018)</f>
        <v>3164.1559328574817</v>
      </c>
      <c r="D119" s="1658">
        <f>INDEX(Drivers!$A$25:$AM$25,1,$A119-2018)/INDEX(Drivers!$A$25:$AM$25,1,$A119-2019)*D118</f>
        <v>53404857.831011549</v>
      </c>
      <c r="E119" s="762">
        <f t="shared" ref="E119:E150" si="52">D119</f>
        <v>53404857.831011549</v>
      </c>
      <c r="F119" s="1120"/>
      <c r="G119" s="1120"/>
      <c r="H119" s="1121"/>
      <c r="I119" s="1292">
        <f t="shared" si="51"/>
        <v>424.26313389388866</v>
      </c>
      <c r="J119" s="1293">
        <f t="shared" ref="J119:J150" si="53">$C$6</f>
        <v>12.031045626813224</v>
      </c>
      <c r="K119" s="1294">
        <f t="shared" si="41"/>
        <v>24762.047773130591</v>
      </c>
      <c r="L119" s="1294">
        <f t="shared" ref="L119:L150" si="54">C119*J119*1000/1000+D119/1000</f>
        <v>91472.962229571669</v>
      </c>
      <c r="M119" s="1295">
        <f t="shared" ref="M119:M150" si="55">C119*J119*1000/1000+E119/1000</f>
        <v>91472.962229571669</v>
      </c>
      <c r="N119" s="1249">
        <f t="shared" si="46"/>
        <v>0.19892488097366726</v>
      </c>
      <c r="O119" s="1249">
        <f t="shared" si="46"/>
        <v>0.26585903447659598</v>
      </c>
      <c r="P119" s="1249">
        <f t="shared" si="46"/>
        <v>8.9228108703258049E-2</v>
      </c>
      <c r="Q119" s="1249">
        <f t="shared" si="46"/>
        <v>0</v>
      </c>
      <c r="R119" s="1249">
        <f t="shared" si="46"/>
        <v>0</v>
      </c>
      <c r="S119" s="1249">
        <f t="shared" si="46"/>
        <v>0</v>
      </c>
      <c r="T119" s="1249">
        <f t="shared" si="46"/>
        <v>0.4459879758464787</v>
      </c>
      <c r="U119" s="1282">
        <f t="shared" si="43"/>
        <v>1</v>
      </c>
      <c r="V119" s="1283">
        <f t="shared" si="50"/>
        <v>0.29028184578274857</v>
      </c>
      <c r="W119" s="1249">
        <f t="shared" si="50"/>
        <v>0.30317187715157518</v>
      </c>
      <c r="X119" s="1249">
        <f t="shared" si="50"/>
        <v>8.2805443243048754E-2</v>
      </c>
      <c r="Y119" s="1249">
        <f t="shared" si="50"/>
        <v>0</v>
      </c>
      <c r="Z119" s="1249">
        <f t="shared" si="50"/>
        <v>0</v>
      </c>
      <c r="AA119" s="1249">
        <f t="shared" si="50"/>
        <v>0</v>
      </c>
      <c r="AB119" s="1249">
        <f t="shared" si="50"/>
        <v>0.32374083382262742</v>
      </c>
      <c r="AC119" s="1282">
        <f t="shared" si="47"/>
        <v>0.99999999999999989</v>
      </c>
    </row>
    <row r="120" spans="1:29">
      <c r="A120" s="187">
        <f t="shared" si="44"/>
        <v>2020</v>
      </c>
      <c r="B120" s="1657">
        <f>INDEX(Drivers!$A$8:$AM$8,1,$A120-2011)/1000</f>
        <v>59.308690000000006</v>
      </c>
      <c r="C120" s="1662">
        <f>INDEX(Drivers!$A$16:$AM$16,1,$A120-2018)</f>
        <v>2966.4312031486884</v>
      </c>
      <c r="D120" s="1658">
        <f>INDEX(Drivers!$A$25:$AM$25,1,$A120-2018)/INDEX(Drivers!$A$25:$AM$25,1,$A120-2019)*D119</f>
        <v>50522212.337504238</v>
      </c>
      <c r="E120" s="762">
        <f t="shared" si="52"/>
        <v>50522212.337504238</v>
      </c>
      <c r="F120" s="1120"/>
      <c r="G120" s="1120"/>
      <c r="H120" s="1121"/>
      <c r="I120" s="1292">
        <f t="shared" si="51"/>
        <v>424.26313389388866</v>
      </c>
      <c r="J120" s="1293">
        <f t="shared" si="53"/>
        <v>12.031045626813224</v>
      </c>
      <c r="K120" s="1294">
        <f t="shared" si="41"/>
        <v>25162.490686541139</v>
      </c>
      <c r="L120" s="1294">
        <f t="shared" si="54"/>
        <v>86211.481491388549</v>
      </c>
      <c r="M120" s="1295">
        <f t="shared" si="55"/>
        <v>86211.481491388549</v>
      </c>
      <c r="N120" s="1249">
        <f t="shared" si="46"/>
        <v>0.19892488097366726</v>
      </c>
      <c r="O120" s="1249">
        <f t="shared" si="46"/>
        <v>0.26585903447659598</v>
      </c>
      <c r="P120" s="1249">
        <f t="shared" si="46"/>
        <v>8.9228108703258049E-2</v>
      </c>
      <c r="Q120" s="1249">
        <f t="shared" si="46"/>
        <v>0</v>
      </c>
      <c r="R120" s="1249">
        <f t="shared" si="46"/>
        <v>0</v>
      </c>
      <c r="S120" s="1249">
        <f t="shared" si="46"/>
        <v>0</v>
      </c>
      <c r="T120" s="1249">
        <f t="shared" si="46"/>
        <v>0.4459879758464787</v>
      </c>
      <c r="U120" s="1282">
        <f t="shared" si="43"/>
        <v>1</v>
      </c>
      <c r="V120" s="1283">
        <f t="shared" si="50"/>
        <v>0.29028184578274857</v>
      </c>
      <c r="W120" s="1249">
        <f t="shared" si="50"/>
        <v>0.30317187715157518</v>
      </c>
      <c r="X120" s="1249">
        <f t="shared" si="50"/>
        <v>8.2805443243048754E-2</v>
      </c>
      <c r="Y120" s="1249">
        <f t="shared" si="50"/>
        <v>0</v>
      </c>
      <c r="Z120" s="1249">
        <f t="shared" si="50"/>
        <v>0</v>
      </c>
      <c r="AA120" s="1249">
        <f t="shared" si="50"/>
        <v>0</v>
      </c>
      <c r="AB120" s="1249">
        <f t="shared" si="50"/>
        <v>0.32374083382262742</v>
      </c>
      <c r="AC120" s="1282">
        <f t="shared" si="47"/>
        <v>0.99999999999999989</v>
      </c>
    </row>
    <row r="121" spans="1:29">
      <c r="A121" s="187">
        <f t="shared" si="44"/>
        <v>2021</v>
      </c>
      <c r="B121" s="1657">
        <f>INDEX(Drivers!$A$8:$AM$8,1,$A121-2011)/1000</f>
        <v>60.097873988486953</v>
      </c>
      <c r="C121" s="1662">
        <f>INDEX(Drivers!$A$16:$AM$16,1,$A121-2018)</f>
        <v>3038.4599250524875</v>
      </c>
      <c r="D121" s="1658">
        <f>INDEX(Drivers!$A$25:$AM$25,1,$A121-2018)/INDEX(Drivers!$A$25:$AM$25,1,$A121-2019)*D120</f>
        <v>50478759.434739612</v>
      </c>
      <c r="E121" s="762">
        <f t="shared" si="52"/>
        <v>50478759.434739612</v>
      </c>
      <c r="F121" s="1120"/>
      <c r="G121" s="1120"/>
      <c r="H121" s="1121"/>
      <c r="I121" s="1292">
        <f t="shared" si="51"/>
        <v>424.26313389388866</v>
      </c>
      <c r="J121" s="1293">
        <f t="shared" si="53"/>
        <v>12.031045626813224</v>
      </c>
      <c r="K121" s="1294">
        <f t="shared" si="41"/>
        <v>25497.312358715488</v>
      </c>
      <c r="L121" s="1294">
        <f t="shared" si="54"/>
        <v>87034.609428289579</v>
      </c>
      <c r="M121" s="1295">
        <f t="shared" si="55"/>
        <v>87034.609428289579</v>
      </c>
      <c r="N121" s="1249">
        <f t="shared" si="46"/>
        <v>0.19892488097366726</v>
      </c>
      <c r="O121" s="1249">
        <f t="shared" si="46"/>
        <v>0.26585903447659598</v>
      </c>
      <c r="P121" s="1249">
        <f t="shared" si="46"/>
        <v>8.9228108703258049E-2</v>
      </c>
      <c r="Q121" s="1249">
        <f t="shared" si="46"/>
        <v>0</v>
      </c>
      <c r="R121" s="1249">
        <f t="shared" si="46"/>
        <v>0</v>
      </c>
      <c r="S121" s="1249">
        <f t="shared" si="46"/>
        <v>0</v>
      </c>
      <c r="T121" s="1249">
        <f t="shared" si="46"/>
        <v>0.4459879758464787</v>
      </c>
      <c r="U121" s="1282">
        <f t="shared" si="43"/>
        <v>1</v>
      </c>
      <c r="V121" s="1283">
        <f t="shared" si="50"/>
        <v>0.29028184578274857</v>
      </c>
      <c r="W121" s="1249">
        <f t="shared" si="50"/>
        <v>0.30317187715157518</v>
      </c>
      <c r="X121" s="1249">
        <f t="shared" si="50"/>
        <v>8.2805443243048754E-2</v>
      </c>
      <c r="Y121" s="1249">
        <f t="shared" si="50"/>
        <v>0</v>
      </c>
      <c r="Z121" s="1249">
        <f t="shared" si="50"/>
        <v>0</v>
      </c>
      <c r="AA121" s="1249">
        <f t="shared" si="50"/>
        <v>0</v>
      </c>
      <c r="AB121" s="1249">
        <f t="shared" si="50"/>
        <v>0.32374083382262742</v>
      </c>
      <c r="AC121" s="1282">
        <f t="shared" si="47"/>
        <v>0.99999999999999989</v>
      </c>
    </row>
    <row r="122" spans="1:29">
      <c r="A122" s="187">
        <f t="shared" si="44"/>
        <v>2022</v>
      </c>
      <c r="B122" s="1657">
        <f>INDEX(Drivers!$A$8:$AM$8,1,$A122-2011)/1000</f>
        <v>60.841582286809363</v>
      </c>
      <c r="C122" s="1662">
        <f>INDEX(Drivers!$A$16:$AM$16,1,$A122-2018)</f>
        <v>3105.6495314991057</v>
      </c>
      <c r="D122" s="1658">
        <f>INDEX(Drivers!$A$25:$AM$25,1,$A122-2018)/INDEX(Drivers!$A$25:$AM$25,1,$A122-2019)*D121</f>
        <v>50359792.847133152</v>
      </c>
      <c r="E122" s="762">
        <f t="shared" si="52"/>
        <v>50359792.847133152</v>
      </c>
      <c r="F122" s="1120"/>
      <c r="G122" s="1120"/>
      <c r="H122" s="1121"/>
      <c r="I122" s="1292">
        <f t="shared" si="51"/>
        <v>424.26313389388866</v>
      </c>
      <c r="J122" s="1293">
        <f t="shared" si="53"/>
        <v>12.031045626813224</v>
      </c>
      <c r="K122" s="1294">
        <f t="shared" si="41"/>
        <v>25812.840372064646</v>
      </c>
      <c r="L122" s="1294">
        <f t="shared" si="54"/>
        <v>87724.004061490006</v>
      </c>
      <c r="M122" s="1295">
        <f t="shared" si="55"/>
        <v>87724.004061490006</v>
      </c>
      <c r="N122" s="1249">
        <f t="shared" si="46"/>
        <v>0.19892488097366726</v>
      </c>
      <c r="O122" s="1249">
        <f t="shared" si="46"/>
        <v>0.26585903447659598</v>
      </c>
      <c r="P122" s="1249">
        <f t="shared" si="46"/>
        <v>8.9228108703258049E-2</v>
      </c>
      <c r="Q122" s="1249">
        <f t="shared" si="46"/>
        <v>0</v>
      </c>
      <c r="R122" s="1249">
        <f t="shared" si="46"/>
        <v>0</v>
      </c>
      <c r="S122" s="1249">
        <f t="shared" si="46"/>
        <v>0</v>
      </c>
      <c r="T122" s="1249">
        <f t="shared" si="46"/>
        <v>0.4459879758464787</v>
      </c>
      <c r="U122" s="1282">
        <f t="shared" si="43"/>
        <v>1</v>
      </c>
      <c r="V122" s="1283">
        <f t="shared" si="50"/>
        <v>0.29028184578274857</v>
      </c>
      <c r="W122" s="1249">
        <f t="shared" si="50"/>
        <v>0.30317187715157518</v>
      </c>
      <c r="X122" s="1249">
        <f t="shared" si="50"/>
        <v>8.2805443243048754E-2</v>
      </c>
      <c r="Y122" s="1249">
        <f t="shared" si="50"/>
        <v>0</v>
      </c>
      <c r="Z122" s="1249">
        <f t="shared" si="50"/>
        <v>0</v>
      </c>
      <c r="AA122" s="1249">
        <f t="shared" si="50"/>
        <v>0</v>
      </c>
      <c r="AB122" s="1249">
        <f t="shared" si="50"/>
        <v>0.32374083382262742</v>
      </c>
      <c r="AC122" s="1282">
        <f t="shared" si="47"/>
        <v>0.99999999999999989</v>
      </c>
    </row>
    <row r="123" spans="1:29">
      <c r="A123" s="187">
        <f t="shared" si="44"/>
        <v>2023</v>
      </c>
      <c r="B123" s="1657">
        <f>INDEX(Drivers!$A$8:$AM$8,1,$A123-2011)/1000</f>
        <v>61.537824355929828</v>
      </c>
      <c r="C123" s="1662">
        <f>INDEX(Drivers!$A$16:$AM$16,1,$A123-2018)</f>
        <v>3166.2503551240475</v>
      </c>
      <c r="D123" s="1658">
        <f>INDEX(Drivers!$A$25:$AM$25,1,$A123-2018)/INDEX(Drivers!$A$25:$AM$25,1,$A123-2019)*D122</f>
        <v>49907933.066043317</v>
      </c>
      <c r="E123" s="762">
        <f t="shared" si="52"/>
        <v>49907933.066043317</v>
      </c>
      <c r="F123" s="1120"/>
      <c r="G123" s="1120"/>
      <c r="H123" s="1121"/>
      <c r="I123" s="1292">
        <f t="shared" si="51"/>
        <v>424.26313389388866</v>
      </c>
      <c r="J123" s="1293">
        <f t="shared" si="53"/>
        <v>12.031045626813224</v>
      </c>
      <c r="K123" s="1294">
        <f t="shared" si="41"/>
        <v>26108.230214258459</v>
      </c>
      <c r="L123" s="1294">
        <f t="shared" si="54"/>
        <v>88001.23555445431</v>
      </c>
      <c r="M123" s="1295">
        <f t="shared" si="55"/>
        <v>88001.23555445431</v>
      </c>
      <c r="N123" s="1249">
        <f t="shared" si="46"/>
        <v>0.19892488097366726</v>
      </c>
      <c r="O123" s="1249">
        <f t="shared" si="46"/>
        <v>0.26585903447659598</v>
      </c>
      <c r="P123" s="1249">
        <f t="shared" si="46"/>
        <v>8.9228108703258049E-2</v>
      </c>
      <c r="Q123" s="1249">
        <f t="shared" si="46"/>
        <v>0</v>
      </c>
      <c r="R123" s="1249">
        <f t="shared" si="46"/>
        <v>0</v>
      </c>
      <c r="S123" s="1249">
        <f t="shared" si="46"/>
        <v>0</v>
      </c>
      <c r="T123" s="1249">
        <f t="shared" si="46"/>
        <v>0.4459879758464787</v>
      </c>
      <c r="U123" s="1282">
        <f t="shared" si="43"/>
        <v>1</v>
      </c>
      <c r="V123" s="1283">
        <f t="shared" si="50"/>
        <v>0.29028184578274857</v>
      </c>
      <c r="W123" s="1249">
        <f t="shared" si="50"/>
        <v>0.30317187715157518</v>
      </c>
      <c r="X123" s="1249">
        <f t="shared" si="50"/>
        <v>8.2805443243048754E-2</v>
      </c>
      <c r="Y123" s="1249">
        <f t="shared" si="50"/>
        <v>0</v>
      </c>
      <c r="Z123" s="1249">
        <f t="shared" si="50"/>
        <v>0</v>
      </c>
      <c r="AA123" s="1249">
        <f t="shared" si="50"/>
        <v>0</v>
      </c>
      <c r="AB123" s="1249">
        <f t="shared" si="50"/>
        <v>0.32374083382262742</v>
      </c>
      <c r="AC123" s="1282">
        <f t="shared" si="47"/>
        <v>0.99999999999999989</v>
      </c>
    </row>
    <row r="124" spans="1:29">
      <c r="A124" s="187">
        <f t="shared" si="44"/>
        <v>2024</v>
      </c>
      <c r="B124" s="1657">
        <f>INDEX(Drivers!$A$8:$AM$8,1,$A124-2011)/1000</f>
        <v>62.221509701386374</v>
      </c>
      <c r="C124" s="1662">
        <f>INDEX(Drivers!$A$16:$AM$16,1,$A124-2018)</f>
        <v>3234.5964359714103</v>
      </c>
      <c r="D124" s="1658">
        <f>INDEX(Drivers!$A$25:$AM$25,1,$A124-2018)/INDEX(Drivers!$A$25:$AM$25,1,$A124-2019)*D123</f>
        <v>50177221.869345397</v>
      </c>
      <c r="E124" s="762">
        <f t="shared" si="52"/>
        <v>50177221.869345397</v>
      </c>
      <c r="F124" s="1120"/>
      <c r="G124" s="1120"/>
      <c r="H124" s="1121"/>
      <c r="I124" s="1292">
        <f t="shared" si="51"/>
        <v>424.26313389388866</v>
      </c>
      <c r="J124" s="1293">
        <f t="shared" si="53"/>
        <v>12.031045626813224</v>
      </c>
      <c r="K124" s="1294">
        <f t="shared" si="41"/>
        <v>26398.292701519178</v>
      </c>
      <c r="L124" s="1294">
        <f t="shared" si="54"/>
        <v>89092.799174844869</v>
      </c>
      <c r="M124" s="1295">
        <f t="shared" si="55"/>
        <v>89092.799174844869</v>
      </c>
      <c r="N124" s="1249">
        <f t="shared" si="46"/>
        <v>0.19892488097366726</v>
      </c>
      <c r="O124" s="1249">
        <f t="shared" si="46"/>
        <v>0.26585903447659598</v>
      </c>
      <c r="P124" s="1249">
        <f t="shared" si="46"/>
        <v>8.9228108703258049E-2</v>
      </c>
      <c r="Q124" s="1249">
        <f t="shared" si="46"/>
        <v>0</v>
      </c>
      <c r="R124" s="1249">
        <f t="shared" si="46"/>
        <v>0</v>
      </c>
      <c r="S124" s="1249">
        <f t="shared" si="46"/>
        <v>0</v>
      </c>
      <c r="T124" s="1249">
        <f t="shared" si="46"/>
        <v>0.4459879758464787</v>
      </c>
      <c r="U124" s="1282">
        <f t="shared" si="43"/>
        <v>1</v>
      </c>
      <c r="V124" s="1283">
        <f t="shared" si="50"/>
        <v>0.29028184578274857</v>
      </c>
      <c r="W124" s="1249">
        <f t="shared" si="50"/>
        <v>0.30317187715157518</v>
      </c>
      <c r="X124" s="1249">
        <f t="shared" si="50"/>
        <v>8.2805443243048754E-2</v>
      </c>
      <c r="Y124" s="1249">
        <f t="shared" si="50"/>
        <v>0</v>
      </c>
      <c r="Z124" s="1249">
        <f t="shared" si="50"/>
        <v>0</v>
      </c>
      <c r="AA124" s="1249">
        <f t="shared" si="50"/>
        <v>0</v>
      </c>
      <c r="AB124" s="1249">
        <f t="shared" si="50"/>
        <v>0.32374083382262742</v>
      </c>
      <c r="AC124" s="1282">
        <f t="shared" si="47"/>
        <v>0.99999999999999989</v>
      </c>
    </row>
    <row r="125" spans="1:29">
      <c r="A125" s="187">
        <f t="shared" si="44"/>
        <v>2025</v>
      </c>
      <c r="B125" s="1657">
        <f>INDEX(Drivers!$A$8:$AM$8,1,$A125-2011)/1000</f>
        <v>62.892038582526091</v>
      </c>
      <c r="C125" s="1662">
        <f>INDEX(Drivers!$A$16:$AM$16,1,$A125-2018)</f>
        <v>3296.2240257379749</v>
      </c>
      <c r="D125" s="1658">
        <f>INDEX(Drivers!$A$25:$AM$25,1,$A125-2018)/INDEX(Drivers!$A$25:$AM$25,1,$A125-2019)*D124</f>
        <v>50605741.387768611</v>
      </c>
      <c r="E125" s="762">
        <f t="shared" si="52"/>
        <v>50605741.387768611</v>
      </c>
      <c r="F125" s="1120"/>
      <c r="G125" s="1120"/>
      <c r="H125" s="1121"/>
      <c r="I125" s="1292">
        <f t="shared" si="51"/>
        <v>424.26313389388866</v>
      </c>
      <c r="J125" s="1293">
        <f t="shared" si="53"/>
        <v>12.031045626813224</v>
      </c>
      <c r="K125" s="1294">
        <f t="shared" si="41"/>
        <v>26682.77338599788</v>
      </c>
      <c r="L125" s="1294">
        <f t="shared" si="54"/>
        <v>90262.763037620156</v>
      </c>
      <c r="M125" s="1295">
        <f t="shared" si="55"/>
        <v>90262.763037620156</v>
      </c>
      <c r="N125" s="1249">
        <f t="shared" si="46"/>
        <v>0.19892488097366726</v>
      </c>
      <c r="O125" s="1249">
        <f t="shared" si="46"/>
        <v>0.26585903447659598</v>
      </c>
      <c r="P125" s="1249">
        <f t="shared" si="46"/>
        <v>8.9228108703258049E-2</v>
      </c>
      <c r="Q125" s="1249">
        <f t="shared" si="46"/>
        <v>0</v>
      </c>
      <c r="R125" s="1249">
        <f t="shared" si="46"/>
        <v>0</v>
      </c>
      <c r="S125" s="1249">
        <f t="shared" si="46"/>
        <v>0</v>
      </c>
      <c r="T125" s="1249">
        <f t="shared" si="46"/>
        <v>0.4459879758464787</v>
      </c>
      <c r="U125" s="1282">
        <f t="shared" si="43"/>
        <v>1</v>
      </c>
      <c r="V125" s="1283">
        <f t="shared" si="50"/>
        <v>0.29028184578274857</v>
      </c>
      <c r="W125" s="1249">
        <f t="shared" si="50"/>
        <v>0.30317187715157518</v>
      </c>
      <c r="X125" s="1249">
        <f t="shared" si="50"/>
        <v>8.2805443243048754E-2</v>
      </c>
      <c r="Y125" s="1249">
        <f t="shared" si="50"/>
        <v>0</v>
      </c>
      <c r="Z125" s="1249">
        <f t="shared" si="50"/>
        <v>0</v>
      </c>
      <c r="AA125" s="1249">
        <f t="shared" si="50"/>
        <v>0</v>
      </c>
      <c r="AB125" s="1249">
        <f t="shared" si="50"/>
        <v>0.32374083382262742</v>
      </c>
      <c r="AC125" s="1282">
        <f t="shared" si="47"/>
        <v>0.99999999999999989</v>
      </c>
    </row>
    <row r="126" spans="1:29">
      <c r="A126" s="187">
        <f t="shared" si="44"/>
        <v>2026</v>
      </c>
      <c r="B126" s="1657">
        <f>INDEX(Drivers!$A$8:$AM$8,1,$A126-2011)/1000</f>
        <v>63.548817559440096</v>
      </c>
      <c r="C126" s="1662">
        <f>INDEX(Drivers!$A$16:$AM$16,1,$A126-2018)</f>
        <v>3366.4633271478065</v>
      </c>
      <c r="D126" s="1658">
        <f>INDEX(Drivers!$A$25:$AM$25,1,$A126-2018)/INDEX(Drivers!$A$25:$AM$25,1,$A126-2019)*D125</f>
        <v>48876629.54391963</v>
      </c>
      <c r="E126" s="762">
        <f t="shared" si="52"/>
        <v>48876629.54391963</v>
      </c>
      <c r="F126" s="1120"/>
      <c r="G126" s="1120"/>
      <c r="H126" s="1121"/>
      <c r="I126" s="1292">
        <f t="shared" si="51"/>
        <v>424.26313389388866</v>
      </c>
      <c r="J126" s="1293">
        <f t="shared" si="53"/>
        <v>12.031045626813224</v>
      </c>
      <c r="K126" s="1294">
        <f t="shared" si="41"/>
        <v>26961.420493019035</v>
      </c>
      <c r="L126" s="1294">
        <f t="shared" si="54"/>
        <v>89378.703433828341</v>
      </c>
      <c r="M126" s="1295">
        <f t="shared" si="55"/>
        <v>89378.703433828341</v>
      </c>
      <c r="N126" s="1249">
        <f t="shared" si="46"/>
        <v>0.19892488097366726</v>
      </c>
      <c r="O126" s="1249">
        <f t="shared" si="46"/>
        <v>0.26585903447659598</v>
      </c>
      <c r="P126" s="1249">
        <f t="shared" si="46"/>
        <v>8.9228108703258049E-2</v>
      </c>
      <c r="Q126" s="1249">
        <f t="shared" si="46"/>
        <v>0</v>
      </c>
      <c r="R126" s="1249">
        <f t="shared" si="46"/>
        <v>0</v>
      </c>
      <c r="S126" s="1249">
        <f t="shared" si="46"/>
        <v>0</v>
      </c>
      <c r="T126" s="1249">
        <f t="shared" si="46"/>
        <v>0.4459879758464787</v>
      </c>
      <c r="U126" s="1282">
        <f t="shared" si="43"/>
        <v>1</v>
      </c>
      <c r="V126" s="1283">
        <f t="shared" si="50"/>
        <v>0.29028184578274857</v>
      </c>
      <c r="W126" s="1249">
        <f t="shared" si="50"/>
        <v>0.30317187715157518</v>
      </c>
      <c r="X126" s="1249">
        <f t="shared" si="50"/>
        <v>8.2805443243048754E-2</v>
      </c>
      <c r="Y126" s="1249">
        <f t="shared" si="50"/>
        <v>0</v>
      </c>
      <c r="Z126" s="1249">
        <f t="shared" si="50"/>
        <v>0</v>
      </c>
      <c r="AA126" s="1249">
        <f t="shared" si="50"/>
        <v>0</v>
      </c>
      <c r="AB126" s="1249">
        <f t="shared" si="50"/>
        <v>0.32374083382262742</v>
      </c>
      <c r="AC126" s="1282">
        <f t="shared" si="47"/>
        <v>0.99999999999999989</v>
      </c>
    </row>
    <row r="127" spans="1:29">
      <c r="A127" s="187">
        <f t="shared" si="44"/>
        <v>2027</v>
      </c>
      <c r="B127" s="1657">
        <f>INDEX(Drivers!$A$8:$AM$8,1,$A127-2011)/1000</f>
        <v>64.191260356766122</v>
      </c>
      <c r="C127" s="1662">
        <f>INDEX(Drivers!$A$16:$AM$16,1,$A127-2018)</f>
        <v>3436.4344789089987</v>
      </c>
      <c r="D127" s="1658">
        <f>INDEX(Drivers!$A$25:$AM$25,1,$A127-2018)/INDEX(Drivers!$A$25:$AM$25,1,$A127-2019)*D126</f>
        <v>48564316.261510797</v>
      </c>
      <c r="E127" s="762">
        <f t="shared" si="52"/>
        <v>48564316.261510797</v>
      </c>
      <c r="F127" s="1120"/>
      <c r="G127" s="1120"/>
      <c r="H127" s="1121"/>
      <c r="I127" s="1292">
        <f t="shared" si="51"/>
        <v>424.26313389388866</v>
      </c>
      <c r="J127" s="1293">
        <f t="shared" si="53"/>
        <v>12.031045626813224</v>
      </c>
      <c r="K127" s="1294">
        <f t="shared" si="41"/>
        <v>27233.985287560132</v>
      </c>
      <c r="L127" s="1294">
        <f t="shared" si="54"/>
        <v>89908.216270819074</v>
      </c>
      <c r="M127" s="1295">
        <f t="shared" si="55"/>
        <v>89908.216270819074</v>
      </c>
      <c r="N127" s="1249">
        <f t="shared" si="46"/>
        <v>0.19892488097366726</v>
      </c>
      <c r="O127" s="1249">
        <f t="shared" si="46"/>
        <v>0.26585903447659598</v>
      </c>
      <c r="P127" s="1249">
        <f t="shared" si="46"/>
        <v>8.9228108703258049E-2</v>
      </c>
      <c r="Q127" s="1249">
        <f t="shared" si="46"/>
        <v>0</v>
      </c>
      <c r="R127" s="1249">
        <f t="shared" si="46"/>
        <v>0</v>
      </c>
      <c r="S127" s="1249">
        <f t="shared" si="46"/>
        <v>0</v>
      </c>
      <c r="T127" s="1249">
        <f t="shared" si="46"/>
        <v>0.4459879758464787</v>
      </c>
      <c r="U127" s="1282">
        <f t="shared" si="43"/>
        <v>1</v>
      </c>
      <c r="V127" s="1283">
        <f t="shared" si="50"/>
        <v>0.29028184578274857</v>
      </c>
      <c r="W127" s="1249">
        <f t="shared" si="50"/>
        <v>0.30317187715157518</v>
      </c>
      <c r="X127" s="1249">
        <f t="shared" si="50"/>
        <v>8.2805443243048754E-2</v>
      </c>
      <c r="Y127" s="1249">
        <f t="shared" si="50"/>
        <v>0</v>
      </c>
      <c r="Z127" s="1249">
        <f t="shared" si="50"/>
        <v>0</v>
      </c>
      <c r="AA127" s="1249">
        <f t="shared" si="50"/>
        <v>0</v>
      </c>
      <c r="AB127" s="1249">
        <f t="shared" si="50"/>
        <v>0.32374083382262742</v>
      </c>
      <c r="AC127" s="1282">
        <f t="shared" si="47"/>
        <v>0.99999999999999989</v>
      </c>
    </row>
    <row r="128" spans="1:29">
      <c r="A128" s="187">
        <f t="shared" ref="A128:A150" si="56">A127+1</f>
        <v>2028</v>
      </c>
      <c r="B128" s="1657">
        <f>INDEX(Drivers!$A$8:$AM$8,1,$A128-2011)/1000</f>
        <v>64.818788725428234</v>
      </c>
      <c r="C128" s="1662">
        <f>INDEX(Drivers!$A$16:$AM$16,1,$A128-2018)</f>
        <v>3485.2345926420976</v>
      </c>
      <c r="D128" s="1658">
        <f>INDEX(Drivers!$A$25:$AM$25,1,$A128-2018)/INDEX(Drivers!$A$25:$AM$25,1,$A128-2019)*D127</f>
        <v>48196370.991930716</v>
      </c>
      <c r="E128" s="762">
        <f t="shared" si="52"/>
        <v>48196370.991930716</v>
      </c>
      <c r="F128" s="1120"/>
      <c r="G128" s="1120"/>
      <c r="H128" s="1121"/>
      <c r="I128" s="1292">
        <f t="shared" si="51"/>
        <v>424.26313389388866</v>
      </c>
      <c r="J128" s="1293">
        <f t="shared" si="53"/>
        <v>12.031045626813224</v>
      </c>
      <c r="K128" s="1294">
        <f t="shared" si="41"/>
        <v>27500.222439856039</v>
      </c>
      <c r="L128" s="1294">
        <f t="shared" si="54"/>
        <v>90127.387396155595</v>
      </c>
      <c r="M128" s="1295">
        <f t="shared" si="55"/>
        <v>90127.387396155595</v>
      </c>
      <c r="N128" s="1249">
        <f t="shared" si="46"/>
        <v>0.19892488097366726</v>
      </c>
      <c r="O128" s="1249">
        <f t="shared" si="46"/>
        <v>0.26585903447659598</v>
      </c>
      <c r="P128" s="1249">
        <f t="shared" si="46"/>
        <v>8.9228108703258049E-2</v>
      </c>
      <c r="Q128" s="1249">
        <f t="shared" si="46"/>
        <v>0</v>
      </c>
      <c r="R128" s="1249">
        <f t="shared" si="46"/>
        <v>0</v>
      </c>
      <c r="S128" s="1249">
        <f t="shared" si="46"/>
        <v>0</v>
      </c>
      <c r="T128" s="1249">
        <f t="shared" si="46"/>
        <v>0.4459879758464787</v>
      </c>
      <c r="U128" s="1282">
        <f t="shared" si="43"/>
        <v>1</v>
      </c>
      <c r="V128" s="1283">
        <f t="shared" si="50"/>
        <v>0.29028184578274857</v>
      </c>
      <c r="W128" s="1249">
        <f t="shared" si="50"/>
        <v>0.30317187715157518</v>
      </c>
      <c r="X128" s="1249">
        <f t="shared" si="50"/>
        <v>8.2805443243048754E-2</v>
      </c>
      <c r="Y128" s="1249">
        <f t="shared" si="50"/>
        <v>0</v>
      </c>
      <c r="Z128" s="1249">
        <f t="shared" si="50"/>
        <v>0</v>
      </c>
      <c r="AA128" s="1249">
        <f t="shared" si="50"/>
        <v>0</v>
      </c>
      <c r="AB128" s="1249">
        <f t="shared" si="50"/>
        <v>0.32374083382262742</v>
      </c>
      <c r="AC128" s="1282">
        <f t="shared" si="47"/>
        <v>0.99999999999999989</v>
      </c>
    </row>
    <row r="129" spans="1:29">
      <c r="A129" s="187">
        <f t="shared" si="56"/>
        <v>2029</v>
      </c>
      <c r="B129" s="1657">
        <f>INDEX(Drivers!$A$8:$AM$8,1,$A129-2011)/1000</f>
        <v>65.435442210930105</v>
      </c>
      <c r="C129" s="1662">
        <f>INDEX(Drivers!$A$16:$AM$16,1,$A129-2018)</f>
        <v>3537.8042151577115</v>
      </c>
      <c r="D129" s="1658">
        <f>INDEX(Drivers!$A$25:$AM$25,1,$A129-2018)/INDEX(Drivers!$A$25:$AM$25,1,$A129-2019)*D128</f>
        <v>46504880.945737489</v>
      </c>
      <c r="E129" s="762">
        <f t="shared" si="52"/>
        <v>46504880.945737489</v>
      </c>
      <c r="F129" s="1120"/>
      <c r="G129" s="1120"/>
      <c r="H129" s="1121"/>
      <c r="I129" s="1292">
        <f t="shared" si="51"/>
        <v>424.26313389388866</v>
      </c>
      <c r="J129" s="1293">
        <f t="shared" si="53"/>
        <v>12.031045626813224</v>
      </c>
      <c r="K129" s="1294">
        <f t="shared" si="41"/>
        <v>27761.845780141652</v>
      </c>
      <c r="L129" s="1294">
        <f t="shared" si="54"/>
        <v>89068.364877032058</v>
      </c>
      <c r="M129" s="1295">
        <f t="shared" si="55"/>
        <v>89068.364877032058</v>
      </c>
      <c r="N129" s="1249">
        <f t="shared" si="46"/>
        <v>0.19892488097366726</v>
      </c>
      <c r="O129" s="1249">
        <f t="shared" si="46"/>
        <v>0.26585903447659598</v>
      </c>
      <c r="P129" s="1249">
        <f t="shared" si="46"/>
        <v>8.9228108703258049E-2</v>
      </c>
      <c r="Q129" s="1249">
        <f t="shared" si="46"/>
        <v>0</v>
      </c>
      <c r="R129" s="1249">
        <f t="shared" si="46"/>
        <v>0</v>
      </c>
      <c r="S129" s="1249">
        <f t="shared" si="46"/>
        <v>0</v>
      </c>
      <c r="T129" s="1249">
        <f t="shared" si="46"/>
        <v>0.4459879758464787</v>
      </c>
      <c r="U129" s="1282">
        <f t="shared" si="43"/>
        <v>1</v>
      </c>
      <c r="V129" s="1283">
        <f t="shared" si="50"/>
        <v>0.29028184578274857</v>
      </c>
      <c r="W129" s="1249">
        <f t="shared" si="50"/>
        <v>0.30317187715157518</v>
      </c>
      <c r="X129" s="1249">
        <f t="shared" si="50"/>
        <v>8.2805443243048754E-2</v>
      </c>
      <c r="Y129" s="1249">
        <f t="shared" si="50"/>
        <v>0</v>
      </c>
      <c r="Z129" s="1249">
        <f t="shared" si="50"/>
        <v>0</v>
      </c>
      <c r="AA129" s="1249">
        <f t="shared" si="50"/>
        <v>0</v>
      </c>
      <c r="AB129" s="1249">
        <f t="shared" si="50"/>
        <v>0.32374083382262742</v>
      </c>
      <c r="AC129" s="1282">
        <f t="shared" si="47"/>
        <v>0.99999999999999989</v>
      </c>
    </row>
    <row r="130" spans="1:29">
      <c r="A130" s="187">
        <f t="shared" si="56"/>
        <v>2030</v>
      </c>
      <c r="B130" s="1657">
        <f>INDEX(Drivers!$A$8:$AM$8,1,$A130-2011)/1000</f>
        <v>66.040790860694059</v>
      </c>
      <c r="C130" s="1662">
        <f>INDEX(Drivers!$A$16:$AM$16,1,$A130-2018)</f>
        <v>3601.1809165553482</v>
      </c>
      <c r="D130" s="1658">
        <f>INDEX(Drivers!$A$25:$AM$25,1,$A130-2018)/INDEX(Drivers!$A$25:$AM$25,1,$A130-2019)*D129</f>
        <v>44627656.242225982</v>
      </c>
      <c r="E130" s="762">
        <f t="shared" si="52"/>
        <v>44627656.242225982</v>
      </c>
      <c r="F130" s="1120"/>
      <c r="G130" s="1120"/>
      <c r="H130" s="1121"/>
      <c r="I130" s="1292">
        <f t="shared" si="51"/>
        <v>424.26313389388866</v>
      </c>
      <c r="J130" s="1293">
        <f t="shared" si="53"/>
        <v>12.031045626813224</v>
      </c>
      <c r="K130" s="1294">
        <f t="shared" si="41"/>
        <v>28018.672895388943</v>
      </c>
      <c r="L130" s="1294">
        <f t="shared" si="54"/>
        <v>87953.628159712447</v>
      </c>
      <c r="M130" s="1295">
        <f t="shared" si="55"/>
        <v>87953.628159712447</v>
      </c>
      <c r="N130" s="1249">
        <f t="shared" si="46"/>
        <v>0.19892488097366726</v>
      </c>
      <c r="O130" s="1249">
        <f t="shared" si="46"/>
        <v>0.26585903447659598</v>
      </c>
      <c r="P130" s="1249">
        <f t="shared" si="46"/>
        <v>8.9228108703258049E-2</v>
      </c>
      <c r="Q130" s="1249">
        <f t="shared" si="46"/>
        <v>0</v>
      </c>
      <c r="R130" s="1249">
        <f t="shared" si="46"/>
        <v>0</v>
      </c>
      <c r="S130" s="1249">
        <f t="shared" si="46"/>
        <v>0</v>
      </c>
      <c r="T130" s="1249">
        <f t="shared" si="46"/>
        <v>0.4459879758464787</v>
      </c>
      <c r="U130" s="1282">
        <f t="shared" si="43"/>
        <v>1</v>
      </c>
      <c r="V130" s="1283">
        <f t="shared" si="50"/>
        <v>0.29028184578274857</v>
      </c>
      <c r="W130" s="1249">
        <f t="shared" si="50"/>
        <v>0.30317187715157518</v>
      </c>
      <c r="X130" s="1249">
        <f t="shared" si="50"/>
        <v>8.2805443243048754E-2</v>
      </c>
      <c r="Y130" s="1249">
        <f t="shared" si="50"/>
        <v>0</v>
      </c>
      <c r="Z130" s="1249">
        <f t="shared" si="50"/>
        <v>0</v>
      </c>
      <c r="AA130" s="1249">
        <f t="shared" si="50"/>
        <v>0</v>
      </c>
      <c r="AB130" s="1249">
        <f t="shared" si="50"/>
        <v>0.32374083382262742</v>
      </c>
      <c r="AC130" s="1282">
        <f t="shared" si="47"/>
        <v>0.99999999999999989</v>
      </c>
    </row>
    <row r="131" spans="1:29">
      <c r="A131" s="187">
        <f t="shared" si="56"/>
        <v>2031</v>
      </c>
      <c r="B131" s="1657">
        <f>INDEX(Drivers!$A$8:$AM$8,1,$A131-2011)/1000</f>
        <v>66.6344094187031</v>
      </c>
      <c r="C131" s="1662">
        <f>INDEX(Drivers!$A$16:$AM$16,1,$A131-2018)</f>
        <v>3689.3743282354972</v>
      </c>
      <c r="D131" s="1658">
        <f>INDEX(Drivers!$A$25:$AM$25,1,$A131-2018)/INDEX(Drivers!$A$25:$AM$25,1,$A131-2019)*D130</f>
        <v>43830165.240535274</v>
      </c>
      <c r="E131" s="762">
        <f t="shared" si="52"/>
        <v>43830165.240535274</v>
      </c>
      <c r="F131" s="1120"/>
      <c r="G131" s="1120"/>
      <c r="H131" s="1121"/>
      <c r="I131" s="1292">
        <f t="shared" si="51"/>
        <v>424.26313389388866</v>
      </c>
      <c r="J131" s="1293">
        <f t="shared" si="53"/>
        <v>12.031045626813224</v>
      </c>
      <c r="K131" s="1294">
        <f t="shared" si="41"/>
        <v>28270.52336514743</v>
      </c>
      <c r="L131" s="1294">
        <f t="shared" si="54"/>
        <v>88217.196117929925</v>
      </c>
      <c r="M131" s="1295">
        <f t="shared" si="55"/>
        <v>88217.196117929925</v>
      </c>
      <c r="N131" s="1249">
        <f t="shared" ref="N131:T146" si="57">N130</f>
        <v>0.19892488097366726</v>
      </c>
      <c r="O131" s="1249">
        <f t="shared" si="57"/>
        <v>0.26585903447659598</v>
      </c>
      <c r="P131" s="1249">
        <f t="shared" si="57"/>
        <v>8.9228108703258049E-2</v>
      </c>
      <c r="Q131" s="1249">
        <f t="shared" si="57"/>
        <v>0</v>
      </c>
      <c r="R131" s="1249">
        <f t="shared" si="57"/>
        <v>0</v>
      </c>
      <c r="S131" s="1249">
        <f t="shared" si="57"/>
        <v>0</v>
      </c>
      <c r="T131" s="1249">
        <f t="shared" si="57"/>
        <v>0.4459879758464787</v>
      </c>
      <c r="U131" s="1282">
        <f t="shared" si="43"/>
        <v>1</v>
      </c>
      <c r="V131" s="1283">
        <f t="shared" si="50"/>
        <v>0.29028184578274857</v>
      </c>
      <c r="W131" s="1249">
        <f t="shared" si="50"/>
        <v>0.30317187715157518</v>
      </c>
      <c r="X131" s="1249">
        <f t="shared" si="50"/>
        <v>8.2805443243048754E-2</v>
      </c>
      <c r="Y131" s="1249">
        <f t="shared" si="50"/>
        <v>0</v>
      </c>
      <c r="Z131" s="1249">
        <f t="shared" si="50"/>
        <v>0</v>
      </c>
      <c r="AA131" s="1249">
        <f t="shared" si="50"/>
        <v>0</v>
      </c>
      <c r="AB131" s="1249">
        <f t="shared" si="50"/>
        <v>0.32374083382262742</v>
      </c>
      <c r="AC131" s="1282">
        <f t="shared" si="47"/>
        <v>0.99999999999999989</v>
      </c>
    </row>
    <row r="132" spans="1:29">
      <c r="A132" s="187">
        <f t="shared" si="56"/>
        <v>2032</v>
      </c>
      <c r="B132" s="1657">
        <f>INDEX(Drivers!$A$8:$AM$8,1,$A132-2011)/1000</f>
        <v>67.215877817791679</v>
      </c>
      <c r="C132" s="1662">
        <f>INDEX(Drivers!$A$16:$AM$16,1,$A132-2018)</f>
        <v>3770.9504220066083</v>
      </c>
      <c r="D132" s="1658">
        <f>INDEX(Drivers!$A$25:$AM$25,1,$A132-2018)/INDEX(Drivers!$A$25:$AM$25,1,$A132-2019)*D131</f>
        <v>42600148.259036541</v>
      </c>
      <c r="E132" s="762">
        <f t="shared" si="52"/>
        <v>42600148.259036541</v>
      </c>
      <c r="F132" s="1120"/>
      <c r="G132" s="1120"/>
      <c r="H132" s="1121"/>
      <c r="I132" s="1292">
        <f t="shared" si="51"/>
        <v>424.26313389388866</v>
      </c>
      <c r="J132" s="1293">
        <f t="shared" si="53"/>
        <v>12.031045626813224</v>
      </c>
      <c r="K132" s="1294">
        <f t="shared" si="41"/>
        <v>28517.218970405011</v>
      </c>
      <c r="L132" s="1294">
        <f t="shared" si="54"/>
        <v>87968.624842648627</v>
      </c>
      <c r="M132" s="1295">
        <f t="shared" si="55"/>
        <v>87968.624842648627</v>
      </c>
      <c r="N132" s="1249">
        <f t="shared" si="57"/>
        <v>0.19892488097366726</v>
      </c>
      <c r="O132" s="1249">
        <f t="shared" si="57"/>
        <v>0.26585903447659598</v>
      </c>
      <c r="P132" s="1249">
        <f t="shared" si="57"/>
        <v>8.9228108703258049E-2</v>
      </c>
      <c r="Q132" s="1249">
        <f t="shared" si="57"/>
        <v>0</v>
      </c>
      <c r="R132" s="1249">
        <f t="shared" si="57"/>
        <v>0</v>
      </c>
      <c r="S132" s="1249">
        <f t="shared" si="57"/>
        <v>0</v>
      </c>
      <c r="T132" s="1249">
        <f t="shared" si="57"/>
        <v>0.4459879758464787</v>
      </c>
      <c r="U132" s="1282">
        <f t="shared" si="43"/>
        <v>1</v>
      </c>
      <c r="V132" s="1283">
        <f t="shared" ref="V132:AB147" si="58">V131</f>
        <v>0.29028184578274857</v>
      </c>
      <c r="W132" s="1249">
        <f t="shared" si="58"/>
        <v>0.30317187715157518</v>
      </c>
      <c r="X132" s="1249">
        <f t="shared" si="58"/>
        <v>8.2805443243048754E-2</v>
      </c>
      <c r="Y132" s="1249">
        <f t="shared" si="58"/>
        <v>0</v>
      </c>
      <c r="Z132" s="1249">
        <f t="shared" si="58"/>
        <v>0</v>
      </c>
      <c r="AA132" s="1249">
        <f t="shared" si="58"/>
        <v>0</v>
      </c>
      <c r="AB132" s="1249">
        <f t="shared" si="58"/>
        <v>0.32374083382262742</v>
      </c>
      <c r="AC132" s="1282">
        <f t="shared" si="47"/>
        <v>0.99999999999999989</v>
      </c>
    </row>
    <row r="133" spans="1:29">
      <c r="A133" s="187">
        <f t="shared" si="56"/>
        <v>2033</v>
      </c>
      <c r="B133" s="1657">
        <f>INDEX(Drivers!$A$8:$AM$8,1,$A133-2011)/1000</f>
        <v>67.784781669940756</v>
      </c>
      <c r="C133" s="1662">
        <f>INDEX(Drivers!$A$16:$AM$16,1,$A133-2018)</f>
        <v>3867.5085984126213</v>
      </c>
      <c r="D133" s="1658">
        <f>INDEX(Drivers!$A$25:$AM$25,1,$A133-2018)/INDEX(Drivers!$A$25:$AM$25,1,$A133-2019)*D132</f>
        <v>41720520.537816472</v>
      </c>
      <c r="E133" s="762">
        <f t="shared" si="52"/>
        <v>41720520.537816472</v>
      </c>
      <c r="F133" s="1120"/>
      <c r="G133" s="1120"/>
      <c r="H133" s="1121"/>
      <c r="I133" s="1292">
        <f t="shared" si="51"/>
        <v>424.26313389388866</v>
      </c>
      <c r="J133" s="1293">
        <f t="shared" si="53"/>
        <v>12.031045626813224</v>
      </c>
      <c r="K133" s="1294">
        <f t="shared" si="41"/>
        <v>28758.583901602084</v>
      </c>
      <c r="L133" s="1294">
        <f t="shared" si="54"/>
        <v>88250.692947411182</v>
      </c>
      <c r="M133" s="1295">
        <f t="shared" si="55"/>
        <v>88250.692947411182</v>
      </c>
      <c r="N133" s="1249">
        <f t="shared" si="57"/>
        <v>0.19892488097366726</v>
      </c>
      <c r="O133" s="1249">
        <f t="shared" si="57"/>
        <v>0.26585903447659598</v>
      </c>
      <c r="P133" s="1249">
        <f t="shared" si="57"/>
        <v>8.9228108703258049E-2</v>
      </c>
      <c r="Q133" s="1249">
        <f t="shared" si="57"/>
        <v>0</v>
      </c>
      <c r="R133" s="1249">
        <f t="shared" si="57"/>
        <v>0</v>
      </c>
      <c r="S133" s="1249">
        <f t="shared" si="57"/>
        <v>0</v>
      </c>
      <c r="T133" s="1249">
        <f t="shared" si="57"/>
        <v>0.4459879758464787</v>
      </c>
      <c r="U133" s="1282">
        <f t="shared" si="43"/>
        <v>1</v>
      </c>
      <c r="V133" s="1283">
        <f t="shared" si="58"/>
        <v>0.29028184578274857</v>
      </c>
      <c r="W133" s="1249">
        <f t="shared" si="58"/>
        <v>0.30317187715157518</v>
      </c>
      <c r="X133" s="1249">
        <f t="shared" si="58"/>
        <v>8.2805443243048754E-2</v>
      </c>
      <c r="Y133" s="1249">
        <f t="shared" si="58"/>
        <v>0</v>
      </c>
      <c r="Z133" s="1249">
        <f t="shared" si="58"/>
        <v>0</v>
      </c>
      <c r="AA133" s="1249">
        <f t="shared" si="58"/>
        <v>0</v>
      </c>
      <c r="AB133" s="1249">
        <f t="shared" si="58"/>
        <v>0.32374083382262742</v>
      </c>
      <c r="AC133" s="1282">
        <f t="shared" si="47"/>
        <v>0.99999999999999989</v>
      </c>
    </row>
    <row r="134" spans="1:29">
      <c r="A134" s="187">
        <f t="shared" si="56"/>
        <v>2034</v>
      </c>
      <c r="B134" s="1657">
        <f>INDEX(Drivers!$A$8:$AM$8,1,$A134-2011)/1000</f>
        <v>68.342055626742408</v>
      </c>
      <c r="C134" s="1662">
        <f>INDEX(Drivers!$A$16:$AM$16,1,$A134-2018)</f>
        <v>3988.7128287659275</v>
      </c>
      <c r="D134" s="1658">
        <f>INDEX(Drivers!$A$25:$AM$25,1,$A134-2018)/INDEX(Drivers!$A$25:$AM$25,1,$A134-2019)*D133</f>
        <v>41169489.630995624</v>
      </c>
      <c r="E134" s="762">
        <f t="shared" si="52"/>
        <v>41169489.630995624</v>
      </c>
      <c r="F134" s="1120"/>
      <c r="G134" s="1120"/>
      <c r="H134" s="1121"/>
      <c r="I134" s="1292">
        <f t="shared" si="51"/>
        <v>424.26313389388866</v>
      </c>
      <c r="J134" s="1293">
        <f t="shared" si="53"/>
        <v>12.031045626813224</v>
      </c>
      <c r="K134" s="1294">
        <f t="shared" si="41"/>
        <v>28995.014696952203</v>
      </c>
      <c r="L134" s="1294">
        <f t="shared" si="54"/>
        <v>89157.875666133739</v>
      </c>
      <c r="M134" s="1295">
        <f t="shared" si="55"/>
        <v>89157.875666133739</v>
      </c>
      <c r="N134" s="1249">
        <f t="shared" si="57"/>
        <v>0.19892488097366726</v>
      </c>
      <c r="O134" s="1249">
        <f t="shared" si="57"/>
        <v>0.26585903447659598</v>
      </c>
      <c r="P134" s="1249">
        <f t="shared" si="57"/>
        <v>8.9228108703258049E-2</v>
      </c>
      <c r="Q134" s="1249">
        <f t="shared" si="57"/>
        <v>0</v>
      </c>
      <c r="R134" s="1249">
        <f t="shared" si="57"/>
        <v>0</v>
      </c>
      <c r="S134" s="1249">
        <f t="shared" si="57"/>
        <v>0</v>
      </c>
      <c r="T134" s="1249">
        <f t="shared" si="57"/>
        <v>0.4459879758464787</v>
      </c>
      <c r="U134" s="1282">
        <f t="shared" si="43"/>
        <v>1</v>
      </c>
      <c r="V134" s="1283">
        <f t="shared" si="58"/>
        <v>0.29028184578274857</v>
      </c>
      <c r="W134" s="1249">
        <f t="shared" si="58"/>
        <v>0.30317187715157518</v>
      </c>
      <c r="X134" s="1249">
        <f t="shared" si="58"/>
        <v>8.2805443243048754E-2</v>
      </c>
      <c r="Y134" s="1249">
        <f t="shared" si="58"/>
        <v>0</v>
      </c>
      <c r="Z134" s="1249">
        <f t="shared" si="58"/>
        <v>0</v>
      </c>
      <c r="AA134" s="1249">
        <f t="shared" si="58"/>
        <v>0</v>
      </c>
      <c r="AB134" s="1249">
        <f t="shared" si="58"/>
        <v>0.32374083382262742</v>
      </c>
      <c r="AC134" s="1282">
        <f t="shared" si="47"/>
        <v>0.99999999999999989</v>
      </c>
    </row>
    <row r="135" spans="1:29">
      <c r="A135" s="187">
        <f t="shared" si="56"/>
        <v>2035</v>
      </c>
      <c r="B135" s="1657">
        <f>INDEX(Drivers!$A$8:$AM$8,1,$A135-2011)/1000</f>
        <v>68.88733085860035</v>
      </c>
      <c r="C135" s="1662">
        <f>INDEX(Drivers!$A$16:$AM$16,1,$A135-2018)</f>
        <v>4088.0370257470286</v>
      </c>
      <c r="D135" s="1658">
        <f>INDEX(Drivers!$A$25:$AM$25,1,$A135-2018)/INDEX(Drivers!$A$25:$AM$25,1,$A135-2019)*D134</f>
        <v>33008995.481321324</v>
      </c>
      <c r="E135" s="762">
        <f t="shared" si="52"/>
        <v>33008995.481321324</v>
      </c>
      <c r="F135" s="1120"/>
      <c r="G135" s="1120"/>
      <c r="H135" s="1121"/>
      <c r="I135" s="1292">
        <f t="shared" si="51"/>
        <v>424.26313389388866</v>
      </c>
      <c r="J135" s="1293">
        <f t="shared" si="53"/>
        <v>12.031045626813224</v>
      </c>
      <c r="K135" s="1294">
        <f t="shared" si="41"/>
        <v>29226.354875654968</v>
      </c>
      <c r="L135" s="1294">
        <f t="shared" si="54"/>
        <v>82192.35546218566</v>
      </c>
      <c r="M135" s="1295">
        <f t="shared" si="55"/>
        <v>82192.35546218566</v>
      </c>
      <c r="N135" s="1249">
        <f t="shared" si="57"/>
        <v>0.19892488097366726</v>
      </c>
      <c r="O135" s="1249">
        <f t="shared" si="57"/>
        <v>0.26585903447659598</v>
      </c>
      <c r="P135" s="1249">
        <f t="shared" si="57"/>
        <v>8.9228108703258049E-2</v>
      </c>
      <c r="Q135" s="1249">
        <f t="shared" si="57"/>
        <v>0</v>
      </c>
      <c r="R135" s="1249">
        <f t="shared" si="57"/>
        <v>0</v>
      </c>
      <c r="S135" s="1249">
        <f t="shared" si="57"/>
        <v>0</v>
      </c>
      <c r="T135" s="1249">
        <f t="shared" si="57"/>
        <v>0.4459879758464787</v>
      </c>
      <c r="U135" s="1282">
        <f t="shared" si="43"/>
        <v>1</v>
      </c>
      <c r="V135" s="1283">
        <f t="shared" si="58"/>
        <v>0.29028184578274857</v>
      </c>
      <c r="W135" s="1249">
        <f t="shared" si="58"/>
        <v>0.30317187715157518</v>
      </c>
      <c r="X135" s="1249">
        <f t="shared" si="58"/>
        <v>8.2805443243048754E-2</v>
      </c>
      <c r="Y135" s="1249">
        <f t="shared" si="58"/>
        <v>0</v>
      </c>
      <c r="Z135" s="1249">
        <f t="shared" si="58"/>
        <v>0</v>
      </c>
      <c r="AA135" s="1249">
        <f t="shared" si="58"/>
        <v>0</v>
      </c>
      <c r="AB135" s="1249">
        <f t="shared" si="58"/>
        <v>0.32374083382262742</v>
      </c>
      <c r="AC135" s="1282">
        <f t="shared" si="47"/>
        <v>0.99999999999999989</v>
      </c>
    </row>
    <row r="136" spans="1:29">
      <c r="A136" s="187">
        <f t="shared" si="56"/>
        <v>2036</v>
      </c>
      <c r="B136" s="1657">
        <f>INDEX(Drivers!$A$8:$AM$8,1,$A136-2011)/1000</f>
        <v>69.420244147098416</v>
      </c>
      <c r="C136" s="1662">
        <f>INDEX(Drivers!$A$16:$AM$16,1,$A136-2018)</f>
        <v>4188.173572206083</v>
      </c>
      <c r="D136" s="1658">
        <f>INDEX(Drivers!$A$25:$AM$25,1,$A136-2018)/INDEX(Drivers!$A$25:$AM$25,1,$A136-2019)*D135</f>
        <v>23988684.664399058</v>
      </c>
      <c r="E136" s="762">
        <f t="shared" si="52"/>
        <v>23988684.664399058</v>
      </c>
      <c r="F136" s="1120"/>
      <c r="G136" s="1120"/>
      <c r="H136" s="1121"/>
      <c r="I136" s="1292">
        <f t="shared" si="51"/>
        <v>424.26313389388866</v>
      </c>
      <c r="J136" s="1293">
        <f t="shared" si="53"/>
        <v>12.031045626813224</v>
      </c>
      <c r="K136" s="1294">
        <f t="shared" si="41"/>
        <v>29452.450337526854</v>
      </c>
      <c r="L136" s="1294">
        <f t="shared" si="54"/>
        <v>74376.79200462377</v>
      </c>
      <c r="M136" s="1295">
        <f t="shared" si="55"/>
        <v>74376.79200462377</v>
      </c>
      <c r="N136" s="1249">
        <f t="shared" si="57"/>
        <v>0.19892488097366726</v>
      </c>
      <c r="O136" s="1249">
        <f t="shared" si="57"/>
        <v>0.26585903447659598</v>
      </c>
      <c r="P136" s="1249">
        <f t="shared" si="57"/>
        <v>8.9228108703258049E-2</v>
      </c>
      <c r="Q136" s="1249">
        <f t="shared" si="57"/>
        <v>0</v>
      </c>
      <c r="R136" s="1249">
        <f t="shared" si="57"/>
        <v>0</v>
      </c>
      <c r="S136" s="1249">
        <f t="shared" si="57"/>
        <v>0</v>
      </c>
      <c r="T136" s="1249">
        <f t="shared" si="57"/>
        <v>0.4459879758464787</v>
      </c>
      <c r="U136" s="1282">
        <f t="shared" si="43"/>
        <v>1</v>
      </c>
      <c r="V136" s="1283">
        <f t="shared" si="58"/>
        <v>0.29028184578274857</v>
      </c>
      <c r="W136" s="1249">
        <f t="shared" si="58"/>
        <v>0.30317187715157518</v>
      </c>
      <c r="X136" s="1249">
        <f t="shared" si="58"/>
        <v>8.2805443243048754E-2</v>
      </c>
      <c r="Y136" s="1249">
        <f t="shared" si="58"/>
        <v>0</v>
      </c>
      <c r="Z136" s="1249">
        <f t="shared" si="58"/>
        <v>0</v>
      </c>
      <c r="AA136" s="1249">
        <f t="shared" si="58"/>
        <v>0</v>
      </c>
      <c r="AB136" s="1249">
        <f t="shared" si="58"/>
        <v>0.32374083382262742</v>
      </c>
      <c r="AC136" s="1282">
        <f t="shared" si="47"/>
        <v>0.99999999999999989</v>
      </c>
    </row>
    <row r="137" spans="1:29">
      <c r="A137" s="187">
        <f t="shared" si="56"/>
        <v>2037</v>
      </c>
      <c r="B137" s="1657">
        <f>INDEX(Drivers!$A$8:$AM$8,1,$A137-2011)/1000</f>
        <v>69.940438284968707</v>
      </c>
      <c r="C137" s="1662">
        <f>INDEX(Drivers!$A$16:$AM$16,1,$A137-2018)</f>
        <v>4308.5353934667492</v>
      </c>
      <c r="D137" s="1658">
        <f>INDEX(Drivers!$A$25:$AM$25,1,$A137-2018)/INDEX(Drivers!$A$25:$AM$25,1,$A137-2019)*D136</f>
        <v>19936802.299321227</v>
      </c>
      <c r="E137" s="762">
        <f t="shared" si="52"/>
        <v>19936802.299321227</v>
      </c>
      <c r="F137" s="1120"/>
      <c r="G137" s="1120"/>
      <c r="H137" s="1121"/>
      <c r="I137" s="1292">
        <f t="shared" si="51"/>
        <v>424.26313389388866</v>
      </c>
      <c r="J137" s="1293">
        <f t="shared" si="53"/>
        <v>12.031045626813224</v>
      </c>
      <c r="K137" s="1294">
        <f t="shared" si="41"/>
        <v>29673.149532692936</v>
      </c>
      <c r="L137" s="1294">
        <f t="shared" si="54"/>
        <v>71772.988202859357</v>
      </c>
      <c r="M137" s="1295">
        <f t="shared" si="55"/>
        <v>71772.988202859357</v>
      </c>
      <c r="N137" s="1249">
        <f t="shared" si="57"/>
        <v>0.19892488097366726</v>
      </c>
      <c r="O137" s="1249">
        <f t="shared" si="57"/>
        <v>0.26585903447659598</v>
      </c>
      <c r="P137" s="1249">
        <f t="shared" si="57"/>
        <v>8.9228108703258049E-2</v>
      </c>
      <c r="Q137" s="1249">
        <f t="shared" si="57"/>
        <v>0</v>
      </c>
      <c r="R137" s="1249">
        <f t="shared" si="57"/>
        <v>0</v>
      </c>
      <c r="S137" s="1249">
        <f t="shared" si="57"/>
        <v>0</v>
      </c>
      <c r="T137" s="1249">
        <f t="shared" si="57"/>
        <v>0.4459879758464787</v>
      </c>
      <c r="U137" s="1282">
        <f t="shared" si="43"/>
        <v>1</v>
      </c>
      <c r="V137" s="1283">
        <f t="shared" si="58"/>
        <v>0.29028184578274857</v>
      </c>
      <c r="W137" s="1249">
        <f t="shared" si="58"/>
        <v>0.30317187715157518</v>
      </c>
      <c r="X137" s="1249">
        <f t="shared" si="58"/>
        <v>8.2805443243048754E-2</v>
      </c>
      <c r="Y137" s="1249">
        <f t="shared" si="58"/>
        <v>0</v>
      </c>
      <c r="Z137" s="1249">
        <f t="shared" si="58"/>
        <v>0</v>
      </c>
      <c r="AA137" s="1249">
        <f t="shared" si="58"/>
        <v>0</v>
      </c>
      <c r="AB137" s="1249">
        <f t="shared" si="58"/>
        <v>0.32374083382262742</v>
      </c>
      <c r="AC137" s="1282">
        <f t="shared" si="47"/>
        <v>0.99999999999999989</v>
      </c>
    </row>
    <row r="138" spans="1:29">
      <c r="A138" s="187">
        <f t="shared" si="56"/>
        <v>2038</v>
      </c>
      <c r="B138" s="1657">
        <f>INDEX(Drivers!$A$8:$AM$8,1,$A138-2011)/1000</f>
        <v>70.447562472153166</v>
      </c>
      <c r="C138" s="1662">
        <f>INDEX(Drivers!$A$16:$AM$16,1,$A138-2018)</f>
        <v>4436.6736831338776</v>
      </c>
      <c r="D138" s="1658">
        <f>INDEX(Drivers!$A$25:$AM$25,1,$A138-2018)/INDEX(Drivers!$A$25:$AM$25,1,$A138-2019)*D137</f>
        <v>16174143.168204505</v>
      </c>
      <c r="E138" s="762">
        <f t="shared" si="52"/>
        <v>16174143.168204505</v>
      </c>
      <c r="F138" s="1120"/>
      <c r="G138" s="1120"/>
      <c r="H138" s="1121"/>
      <c r="I138" s="1292">
        <f t="shared" si="51"/>
        <v>424.26313389388866</v>
      </c>
      <c r="J138" s="1293">
        <f t="shared" si="53"/>
        <v>12.031045626813224</v>
      </c>
      <c r="K138" s="1294">
        <f t="shared" si="41"/>
        <v>29888.303629621205</v>
      </c>
      <c r="L138" s="1294">
        <f t="shared" si="54"/>
        <v>69551.966681269667</v>
      </c>
      <c r="M138" s="1295">
        <f t="shared" si="55"/>
        <v>69551.966681269667</v>
      </c>
      <c r="N138" s="1249">
        <f t="shared" si="57"/>
        <v>0.19892488097366726</v>
      </c>
      <c r="O138" s="1249">
        <f t="shared" si="57"/>
        <v>0.26585903447659598</v>
      </c>
      <c r="P138" s="1249">
        <f t="shared" si="57"/>
        <v>8.9228108703258049E-2</v>
      </c>
      <c r="Q138" s="1249">
        <f t="shared" si="57"/>
        <v>0</v>
      </c>
      <c r="R138" s="1249">
        <f t="shared" si="57"/>
        <v>0</v>
      </c>
      <c r="S138" s="1249">
        <f t="shared" si="57"/>
        <v>0</v>
      </c>
      <c r="T138" s="1249">
        <f t="shared" si="57"/>
        <v>0.4459879758464787</v>
      </c>
      <c r="U138" s="1282">
        <f t="shared" si="43"/>
        <v>1</v>
      </c>
      <c r="V138" s="1283">
        <f t="shared" si="58"/>
        <v>0.29028184578274857</v>
      </c>
      <c r="W138" s="1249">
        <f t="shared" si="58"/>
        <v>0.30317187715157518</v>
      </c>
      <c r="X138" s="1249">
        <f t="shared" si="58"/>
        <v>8.2805443243048754E-2</v>
      </c>
      <c r="Y138" s="1249">
        <f t="shared" si="58"/>
        <v>0</v>
      </c>
      <c r="Z138" s="1249">
        <f t="shared" si="58"/>
        <v>0</v>
      </c>
      <c r="AA138" s="1249">
        <f t="shared" si="58"/>
        <v>0</v>
      </c>
      <c r="AB138" s="1249">
        <f t="shared" si="58"/>
        <v>0.32374083382262742</v>
      </c>
      <c r="AC138" s="1282">
        <f t="shared" si="47"/>
        <v>0.99999999999999989</v>
      </c>
    </row>
    <row r="139" spans="1:29">
      <c r="A139" s="187">
        <f t="shared" si="56"/>
        <v>2039</v>
      </c>
      <c r="B139" s="1657">
        <f>INDEX(Drivers!$A$8:$AM$8,1,$A139-2011)/1000</f>
        <v>70.942722252264574</v>
      </c>
      <c r="C139" s="1662">
        <f>INDEX(Drivers!$A$16:$AM$16,1,$A139-2018)</f>
        <v>4572.7379558768307</v>
      </c>
      <c r="D139" s="1658">
        <f>INDEX(Drivers!$A$25:$AM$25,1,$A139-2018)/INDEX(Drivers!$A$25:$AM$25,1,$A139-2019)*D138</f>
        <v>12411484.037087778</v>
      </c>
      <c r="E139" s="762">
        <f t="shared" si="52"/>
        <v>12411484.037087778</v>
      </c>
      <c r="F139" s="1120"/>
      <c r="G139" s="1120"/>
      <c r="H139" s="1121"/>
      <c r="I139" s="1292">
        <f t="shared" si="51"/>
        <v>424.26313389388866</v>
      </c>
      <c r="J139" s="1293">
        <f t="shared" si="53"/>
        <v>12.031045626813224</v>
      </c>
      <c r="K139" s="1294">
        <f t="shared" si="41"/>
        <v>30098.381669709481</v>
      </c>
      <c r="L139" s="1294">
        <f t="shared" si="54"/>
        <v>67426.303023702567</v>
      </c>
      <c r="M139" s="1295">
        <f t="shared" si="55"/>
        <v>67426.303023702567</v>
      </c>
      <c r="N139" s="1249">
        <f t="shared" si="57"/>
        <v>0.19892488097366726</v>
      </c>
      <c r="O139" s="1249">
        <f t="shared" si="57"/>
        <v>0.26585903447659598</v>
      </c>
      <c r="P139" s="1249">
        <f t="shared" si="57"/>
        <v>8.9228108703258049E-2</v>
      </c>
      <c r="Q139" s="1249">
        <f t="shared" si="57"/>
        <v>0</v>
      </c>
      <c r="R139" s="1249">
        <f t="shared" si="57"/>
        <v>0</v>
      </c>
      <c r="S139" s="1249">
        <f t="shared" si="57"/>
        <v>0</v>
      </c>
      <c r="T139" s="1249">
        <f t="shared" si="57"/>
        <v>0.4459879758464787</v>
      </c>
      <c r="U139" s="1282">
        <f t="shared" si="43"/>
        <v>1</v>
      </c>
      <c r="V139" s="1283">
        <f t="shared" si="58"/>
        <v>0.29028184578274857</v>
      </c>
      <c r="W139" s="1249">
        <f t="shared" si="58"/>
        <v>0.30317187715157518</v>
      </c>
      <c r="X139" s="1249">
        <f t="shared" si="58"/>
        <v>8.2805443243048754E-2</v>
      </c>
      <c r="Y139" s="1249">
        <f t="shared" si="58"/>
        <v>0</v>
      </c>
      <c r="Z139" s="1249">
        <f t="shared" si="58"/>
        <v>0</v>
      </c>
      <c r="AA139" s="1249">
        <f t="shared" si="58"/>
        <v>0</v>
      </c>
      <c r="AB139" s="1249">
        <f t="shared" si="58"/>
        <v>0.32374083382262742</v>
      </c>
      <c r="AC139" s="1282">
        <f t="shared" si="47"/>
        <v>0.99999999999999989</v>
      </c>
    </row>
    <row r="140" spans="1:29">
      <c r="A140" s="187">
        <f t="shared" si="56"/>
        <v>2040</v>
      </c>
      <c r="B140" s="1657">
        <f>INDEX(Drivers!$A$8:$AM$8,1,$A140-2011)/1000</f>
        <v>71.425610993241406</v>
      </c>
      <c r="C140" s="1662">
        <f>INDEX(Drivers!$A$16:$AM$16,1,$A140-2018)</f>
        <v>4714.8820680263625</v>
      </c>
      <c r="D140" s="1658">
        <f>INDEX(Drivers!$A$25:$AM$25,1,$A140-2018)/INDEX(Drivers!$A$25:$AM$25,1,$A140-2019)*D139</f>
        <v>8648824.905971054</v>
      </c>
      <c r="E140" s="762">
        <f t="shared" si="52"/>
        <v>8648824.905971054</v>
      </c>
      <c r="F140" s="1120"/>
      <c r="G140" s="1120"/>
      <c r="H140" s="1121"/>
      <c r="I140" s="1292">
        <f t="shared" si="51"/>
        <v>424.26313389388866</v>
      </c>
      <c r="J140" s="1293">
        <f t="shared" si="53"/>
        <v>12.031045626813224</v>
      </c>
      <c r="K140" s="1294">
        <f t="shared" si="41"/>
        <v>30303.253560278386</v>
      </c>
      <c r="L140" s="1294">
        <f t="shared" si="54"/>
        <v>65373.786191439707</v>
      </c>
      <c r="M140" s="1295">
        <f t="shared" si="55"/>
        <v>65373.786191439707</v>
      </c>
      <c r="N140" s="1249">
        <f t="shared" si="57"/>
        <v>0.19892488097366726</v>
      </c>
      <c r="O140" s="1249">
        <f t="shared" si="57"/>
        <v>0.26585903447659598</v>
      </c>
      <c r="P140" s="1249">
        <f t="shared" si="57"/>
        <v>8.9228108703258049E-2</v>
      </c>
      <c r="Q140" s="1249">
        <f t="shared" si="57"/>
        <v>0</v>
      </c>
      <c r="R140" s="1249">
        <f t="shared" si="57"/>
        <v>0</v>
      </c>
      <c r="S140" s="1249">
        <f t="shared" si="57"/>
        <v>0</v>
      </c>
      <c r="T140" s="1249">
        <f t="shared" si="57"/>
        <v>0.4459879758464787</v>
      </c>
      <c r="U140" s="1282">
        <f t="shared" si="43"/>
        <v>1</v>
      </c>
      <c r="V140" s="1283">
        <f t="shared" si="58"/>
        <v>0.29028184578274857</v>
      </c>
      <c r="W140" s="1249">
        <f t="shared" si="58"/>
        <v>0.30317187715157518</v>
      </c>
      <c r="X140" s="1249">
        <f t="shared" si="58"/>
        <v>8.2805443243048754E-2</v>
      </c>
      <c r="Y140" s="1249">
        <f t="shared" si="58"/>
        <v>0</v>
      </c>
      <c r="Z140" s="1249">
        <f t="shared" si="58"/>
        <v>0</v>
      </c>
      <c r="AA140" s="1249">
        <f t="shared" si="58"/>
        <v>0</v>
      </c>
      <c r="AB140" s="1249">
        <f t="shared" si="58"/>
        <v>0.32374083382262742</v>
      </c>
      <c r="AC140" s="1282">
        <f t="shared" si="47"/>
        <v>0.99999999999999989</v>
      </c>
    </row>
    <row r="141" spans="1:29">
      <c r="A141" s="187">
        <f t="shared" si="56"/>
        <v>2041</v>
      </c>
      <c r="B141" s="1657">
        <f>INDEX(Drivers!$A$8:$AM$8,1,$A141-2011)/1000</f>
        <v>71.895928013305991</v>
      </c>
      <c r="C141" s="1662">
        <f>INDEX(Drivers!$A$16:$AM$16,1,$A141-2018)</f>
        <v>4861.7822977789338</v>
      </c>
      <c r="D141" s="1658">
        <f>INDEX(Drivers!$A$25:$AM$25,1,$A141-2018)/INDEX(Drivers!$A$25:$AM$25,1,$A141-2019)*D140</f>
        <v>7702881.2953237193</v>
      </c>
      <c r="E141" s="762">
        <f t="shared" si="52"/>
        <v>7702881.2953237193</v>
      </c>
      <c r="F141" s="1120"/>
      <c r="G141" s="1120"/>
      <c r="H141" s="1121"/>
      <c r="I141" s="1292">
        <f t="shared" si="51"/>
        <v>424.26313389388866</v>
      </c>
      <c r="J141" s="1293">
        <f t="shared" si="53"/>
        <v>12.031045626813224</v>
      </c>
      <c r="K141" s="1294">
        <f t="shared" si="41"/>
        <v>30502.791733134622</v>
      </c>
      <c r="L141" s="1294">
        <f t="shared" si="54"/>
        <v>66195.205947534909</v>
      </c>
      <c r="M141" s="1295">
        <f t="shared" si="55"/>
        <v>66195.205947534909</v>
      </c>
      <c r="N141" s="1249">
        <f t="shared" si="57"/>
        <v>0.19892488097366726</v>
      </c>
      <c r="O141" s="1249">
        <f t="shared" si="57"/>
        <v>0.26585903447659598</v>
      </c>
      <c r="P141" s="1249">
        <f t="shared" si="57"/>
        <v>8.9228108703258049E-2</v>
      </c>
      <c r="Q141" s="1249">
        <f t="shared" si="57"/>
        <v>0</v>
      </c>
      <c r="R141" s="1249">
        <f t="shared" si="57"/>
        <v>0</v>
      </c>
      <c r="S141" s="1249">
        <f t="shared" si="57"/>
        <v>0</v>
      </c>
      <c r="T141" s="1249">
        <f t="shared" si="57"/>
        <v>0.4459879758464787</v>
      </c>
      <c r="U141" s="1282">
        <f t="shared" si="43"/>
        <v>1</v>
      </c>
      <c r="V141" s="1283">
        <f t="shared" si="58"/>
        <v>0.29028184578274857</v>
      </c>
      <c r="W141" s="1249">
        <f t="shared" si="58"/>
        <v>0.30317187715157518</v>
      </c>
      <c r="X141" s="1249">
        <f t="shared" si="58"/>
        <v>8.2805443243048754E-2</v>
      </c>
      <c r="Y141" s="1249">
        <f t="shared" si="58"/>
        <v>0</v>
      </c>
      <c r="Z141" s="1249">
        <f t="shared" si="58"/>
        <v>0</v>
      </c>
      <c r="AA141" s="1249">
        <f t="shared" si="58"/>
        <v>0</v>
      </c>
      <c r="AB141" s="1249">
        <f t="shared" si="58"/>
        <v>0.32374083382262742</v>
      </c>
      <c r="AC141" s="1282">
        <f t="shared" si="47"/>
        <v>0.99999999999999989</v>
      </c>
    </row>
    <row r="142" spans="1:29">
      <c r="A142" s="187">
        <f t="shared" si="56"/>
        <v>2042</v>
      </c>
      <c r="B142" s="1657">
        <f>INDEX(Drivers!$A$8:$AM$8,1,$A142-2011)/1000</f>
        <v>72.353378891150228</v>
      </c>
      <c r="C142" s="1662">
        <f>INDEX(Drivers!$A$16:$AM$16,1,$A142-2018)</f>
        <v>4999.630924015547</v>
      </c>
      <c r="D142" s="1658">
        <f>INDEX(Drivers!$A$25:$AM$25,1,$A142-2018)/INDEX(Drivers!$A$25:$AM$25,1,$A142-2019)*D141</f>
        <v>6756937.6846763855</v>
      </c>
      <c r="E142" s="762">
        <f t="shared" si="52"/>
        <v>6756937.6846763855</v>
      </c>
      <c r="F142" s="1120"/>
      <c r="G142" s="1120"/>
      <c r="H142" s="1121"/>
      <c r="I142" s="1292">
        <f t="shared" si="51"/>
        <v>424.26313389388866</v>
      </c>
      <c r="J142" s="1293">
        <f t="shared" si="53"/>
        <v>12.031045626813224</v>
      </c>
      <c r="K142" s="1294">
        <f t="shared" si="41"/>
        <v>30696.871276171329</v>
      </c>
      <c r="L142" s="1294">
        <f t="shared" si="54"/>
        <v>66907.725448733792</v>
      </c>
      <c r="M142" s="1295">
        <f t="shared" si="55"/>
        <v>66907.725448733792</v>
      </c>
      <c r="N142" s="1249">
        <f t="shared" si="57"/>
        <v>0.19892488097366726</v>
      </c>
      <c r="O142" s="1249">
        <f t="shared" si="57"/>
        <v>0.26585903447659598</v>
      </c>
      <c r="P142" s="1249">
        <f t="shared" si="57"/>
        <v>8.9228108703258049E-2</v>
      </c>
      <c r="Q142" s="1249">
        <f t="shared" si="57"/>
        <v>0</v>
      </c>
      <c r="R142" s="1249">
        <f t="shared" si="57"/>
        <v>0</v>
      </c>
      <c r="S142" s="1249">
        <f t="shared" si="57"/>
        <v>0</v>
      </c>
      <c r="T142" s="1249">
        <f t="shared" si="57"/>
        <v>0.4459879758464787</v>
      </c>
      <c r="U142" s="1282">
        <f t="shared" si="43"/>
        <v>1</v>
      </c>
      <c r="V142" s="1283">
        <f t="shared" si="58"/>
        <v>0.29028184578274857</v>
      </c>
      <c r="W142" s="1249">
        <f t="shared" si="58"/>
        <v>0.30317187715157518</v>
      </c>
      <c r="X142" s="1249">
        <f t="shared" si="58"/>
        <v>8.2805443243048754E-2</v>
      </c>
      <c r="Y142" s="1249">
        <f t="shared" si="58"/>
        <v>0</v>
      </c>
      <c r="Z142" s="1249">
        <f t="shared" si="58"/>
        <v>0</v>
      </c>
      <c r="AA142" s="1249">
        <f t="shared" si="58"/>
        <v>0</v>
      </c>
      <c r="AB142" s="1249">
        <f t="shared" si="58"/>
        <v>0.32374083382262742</v>
      </c>
      <c r="AC142" s="1282">
        <f t="shared" si="47"/>
        <v>0.99999999999999989</v>
      </c>
    </row>
    <row r="143" spans="1:29">
      <c r="A143" s="187">
        <f t="shared" si="56"/>
        <v>2043</v>
      </c>
      <c r="B143" s="1657">
        <f>INDEX(Drivers!$A$8:$AM$8,1,$A143-2011)/1000</f>
        <v>72.797675771420302</v>
      </c>
      <c r="C143" s="1662">
        <f>INDEX(Drivers!$A$16:$AM$16,1,$A143-2018)</f>
        <v>5140.3990299017887</v>
      </c>
      <c r="D143" s="1658">
        <f>INDEX(Drivers!$A$25:$AM$25,1,$A143-2018)/INDEX(Drivers!$A$25:$AM$25,1,$A143-2019)*D142</f>
        <v>5810994.0740290517</v>
      </c>
      <c r="E143" s="762">
        <f t="shared" si="52"/>
        <v>5810994.0740290517</v>
      </c>
      <c r="F143" s="1120"/>
      <c r="G143" s="1120"/>
      <c r="H143" s="1121"/>
      <c r="I143" s="1292">
        <f t="shared" si="51"/>
        <v>424.26313389388866</v>
      </c>
      <c r="J143" s="1293">
        <f t="shared" si="53"/>
        <v>12.031045626813224</v>
      </c>
      <c r="K143" s="1294">
        <f t="shared" si="41"/>
        <v>30885.370062973987</v>
      </c>
      <c r="L143" s="1294">
        <f t="shared" si="54"/>
        <v>67655.369342803911</v>
      </c>
      <c r="M143" s="1295">
        <f t="shared" si="55"/>
        <v>67655.369342803911</v>
      </c>
      <c r="N143" s="1249">
        <f t="shared" si="57"/>
        <v>0.19892488097366726</v>
      </c>
      <c r="O143" s="1249">
        <f t="shared" si="57"/>
        <v>0.26585903447659598</v>
      </c>
      <c r="P143" s="1249">
        <f t="shared" si="57"/>
        <v>8.9228108703258049E-2</v>
      </c>
      <c r="Q143" s="1249">
        <f t="shared" si="57"/>
        <v>0</v>
      </c>
      <c r="R143" s="1249">
        <f t="shared" si="57"/>
        <v>0</v>
      </c>
      <c r="S143" s="1249">
        <f t="shared" si="57"/>
        <v>0</v>
      </c>
      <c r="T143" s="1249">
        <f t="shared" si="57"/>
        <v>0.4459879758464787</v>
      </c>
      <c r="U143" s="1282">
        <f t="shared" si="43"/>
        <v>1</v>
      </c>
      <c r="V143" s="1283">
        <f t="shared" si="58"/>
        <v>0.29028184578274857</v>
      </c>
      <c r="W143" s="1249">
        <f t="shared" si="58"/>
        <v>0.30317187715157518</v>
      </c>
      <c r="X143" s="1249">
        <f t="shared" si="58"/>
        <v>8.2805443243048754E-2</v>
      </c>
      <c r="Y143" s="1249">
        <f t="shared" si="58"/>
        <v>0</v>
      </c>
      <c r="Z143" s="1249">
        <f t="shared" si="58"/>
        <v>0</v>
      </c>
      <c r="AA143" s="1249">
        <f t="shared" si="58"/>
        <v>0</v>
      </c>
      <c r="AB143" s="1249">
        <f t="shared" si="58"/>
        <v>0.32374083382262742</v>
      </c>
      <c r="AC143" s="1282">
        <f t="shared" si="47"/>
        <v>0.99999999999999989</v>
      </c>
    </row>
    <row r="144" spans="1:29">
      <c r="A144" s="187">
        <f t="shared" si="56"/>
        <v>2044</v>
      </c>
      <c r="B144" s="1657">
        <f>INDEX(Drivers!$A$8:$AM$8,1,$A144-2011)/1000</f>
        <v>73.228597899236789</v>
      </c>
      <c r="C144" s="1662">
        <f>INDEX(Drivers!$A$16:$AM$16,1,$A144-2018)</f>
        <v>5284.2396924773611</v>
      </c>
      <c r="D144" s="1658">
        <f>INDEX(Drivers!$A$25:$AM$25,1,$A144-2018)/INDEX(Drivers!$A$25:$AM$25,1,$A144-2019)*D143</f>
        <v>4865050.463381717</v>
      </c>
      <c r="E144" s="762">
        <f t="shared" si="52"/>
        <v>4865050.463381717</v>
      </c>
      <c r="F144" s="1120"/>
      <c r="G144" s="1120"/>
      <c r="H144" s="1121"/>
      <c r="I144" s="1292">
        <f t="shared" si="51"/>
        <v>424.26313389388866</v>
      </c>
      <c r="J144" s="1293">
        <f t="shared" si="53"/>
        <v>12.031045626813224</v>
      </c>
      <c r="K144" s="1294">
        <f t="shared" si="41"/>
        <v>31068.194435385631</v>
      </c>
      <c r="L144" s="1294">
        <f t="shared" si="54"/>
        <v>68439.979306594323</v>
      </c>
      <c r="M144" s="1295">
        <f t="shared" si="55"/>
        <v>68439.979306594323</v>
      </c>
      <c r="N144" s="1249">
        <f t="shared" si="57"/>
        <v>0.19892488097366726</v>
      </c>
      <c r="O144" s="1249">
        <f t="shared" si="57"/>
        <v>0.26585903447659598</v>
      </c>
      <c r="P144" s="1249">
        <f t="shared" si="57"/>
        <v>8.9228108703258049E-2</v>
      </c>
      <c r="Q144" s="1249">
        <f t="shared" si="57"/>
        <v>0</v>
      </c>
      <c r="R144" s="1249">
        <f t="shared" si="57"/>
        <v>0</v>
      </c>
      <c r="S144" s="1249">
        <f t="shared" si="57"/>
        <v>0</v>
      </c>
      <c r="T144" s="1249">
        <f t="shared" si="57"/>
        <v>0.4459879758464787</v>
      </c>
      <c r="U144" s="1282">
        <f t="shared" si="43"/>
        <v>1</v>
      </c>
      <c r="V144" s="1283">
        <f t="shared" si="58"/>
        <v>0.29028184578274857</v>
      </c>
      <c r="W144" s="1249">
        <f t="shared" si="58"/>
        <v>0.30317187715157518</v>
      </c>
      <c r="X144" s="1249">
        <f t="shared" si="58"/>
        <v>8.2805443243048754E-2</v>
      </c>
      <c r="Y144" s="1249">
        <f t="shared" si="58"/>
        <v>0</v>
      </c>
      <c r="Z144" s="1249">
        <f t="shared" si="58"/>
        <v>0</v>
      </c>
      <c r="AA144" s="1249">
        <f t="shared" si="58"/>
        <v>0</v>
      </c>
      <c r="AB144" s="1249">
        <f t="shared" si="58"/>
        <v>0.32374083382262742</v>
      </c>
      <c r="AC144" s="1282">
        <f t="shared" si="47"/>
        <v>0.99999999999999989</v>
      </c>
    </row>
    <row r="145" spans="1:29">
      <c r="A145" s="187">
        <f t="shared" si="56"/>
        <v>2045</v>
      </c>
      <c r="B145" s="1657">
        <f>INDEX(Drivers!$A$8:$AM$8,1,$A145-2011)/1000</f>
        <v>73.645872502840064</v>
      </c>
      <c r="C145" s="1662">
        <f>INDEX(Drivers!$A$16:$AM$16,1,$A145-2018)</f>
        <v>5434.6458323535726</v>
      </c>
      <c r="D145" s="1658">
        <f>INDEX(Drivers!$A$25:$AM$25,1,$A145-2018)/INDEX(Drivers!$A$25:$AM$25,1,$A145-2019)*D144</f>
        <v>3919106.8527343827</v>
      </c>
      <c r="E145" s="762">
        <f t="shared" si="52"/>
        <v>3919106.8527343827</v>
      </c>
      <c r="F145" s="1120"/>
      <c r="G145" s="1120"/>
      <c r="H145" s="1121"/>
      <c r="I145" s="1292">
        <f t="shared" si="51"/>
        <v>424.26313389388866</v>
      </c>
      <c r="J145" s="1293">
        <f t="shared" si="53"/>
        <v>12.031045626813224</v>
      </c>
      <c r="K145" s="1294">
        <f t="shared" si="41"/>
        <v>31245.228666404688</v>
      </c>
      <c r="L145" s="1294">
        <f t="shared" si="54"/>
        <v>69303.578827350546</v>
      </c>
      <c r="M145" s="1295">
        <f t="shared" si="55"/>
        <v>69303.578827350546</v>
      </c>
      <c r="N145" s="1249">
        <f t="shared" si="57"/>
        <v>0.19892488097366726</v>
      </c>
      <c r="O145" s="1249">
        <f t="shared" si="57"/>
        <v>0.26585903447659598</v>
      </c>
      <c r="P145" s="1249">
        <f t="shared" si="57"/>
        <v>8.9228108703258049E-2</v>
      </c>
      <c r="Q145" s="1249">
        <f t="shared" si="57"/>
        <v>0</v>
      </c>
      <c r="R145" s="1249">
        <f t="shared" si="57"/>
        <v>0</v>
      </c>
      <c r="S145" s="1249">
        <f t="shared" si="57"/>
        <v>0</v>
      </c>
      <c r="T145" s="1249">
        <f t="shared" si="57"/>
        <v>0.4459879758464787</v>
      </c>
      <c r="U145" s="1282">
        <f t="shared" si="43"/>
        <v>1</v>
      </c>
      <c r="V145" s="1283">
        <f t="shared" si="58"/>
        <v>0.29028184578274857</v>
      </c>
      <c r="W145" s="1249">
        <f t="shared" si="58"/>
        <v>0.30317187715157518</v>
      </c>
      <c r="X145" s="1249">
        <f t="shared" si="58"/>
        <v>8.2805443243048754E-2</v>
      </c>
      <c r="Y145" s="1249">
        <f t="shared" si="58"/>
        <v>0</v>
      </c>
      <c r="Z145" s="1249">
        <f t="shared" si="58"/>
        <v>0</v>
      </c>
      <c r="AA145" s="1249">
        <f t="shared" si="58"/>
        <v>0</v>
      </c>
      <c r="AB145" s="1249">
        <f t="shared" si="58"/>
        <v>0.32374083382262742</v>
      </c>
      <c r="AC145" s="1282">
        <f t="shared" si="47"/>
        <v>0.99999999999999989</v>
      </c>
    </row>
    <row r="146" spans="1:29">
      <c r="A146" s="187">
        <f t="shared" si="56"/>
        <v>2046</v>
      </c>
      <c r="B146" s="1657">
        <f>INDEX(Drivers!$A$8:$AM$8,1,$A146-2011)/1000</f>
        <v>74.049234192071822</v>
      </c>
      <c r="C146" s="1662">
        <f>INDEX(Drivers!$A$16:$AM$16,1,$A146-2018)</f>
        <v>5588.9785645796028</v>
      </c>
      <c r="D146" s="1658">
        <f>INDEX(Drivers!$A$25:$AM$25,1,$A146-2018)/INDEX(Drivers!$A$25:$AM$25,1,$A146-2019)*D145</f>
        <v>3263474.9196310313</v>
      </c>
      <c r="E146" s="762">
        <f t="shared" si="52"/>
        <v>3263474.9196310313</v>
      </c>
      <c r="F146" s="1120"/>
      <c r="G146" s="1120"/>
      <c r="H146" s="1121"/>
      <c r="I146" s="1292">
        <f t="shared" si="51"/>
        <v>424.26313389388866</v>
      </c>
      <c r="J146" s="1293">
        <f t="shared" si="53"/>
        <v>12.031045626813224</v>
      </c>
      <c r="K146" s="1294">
        <f t="shared" si="41"/>
        <v>31416.360160770884</v>
      </c>
      <c r="L146" s="1294">
        <f t="shared" si="54"/>
        <v>70504.731037369304</v>
      </c>
      <c r="M146" s="1295">
        <f t="shared" si="55"/>
        <v>70504.731037369304</v>
      </c>
      <c r="N146" s="1249">
        <f t="shared" si="57"/>
        <v>0.19892488097366726</v>
      </c>
      <c r="O146" s="1249">
        <f t="shared" si="57"/>
        <v>0.26585903447659598</v>
      </c>
      <c r="P146" s="1249">
        <f t="shared" si="57"/>
        <v>8.9228108703258049E-2</v>
      </c>
      <c r="Q146" s="1249">
        <f t="shared" si="57"/>
        <v>0</v>
      </c>
      <c r="R146" s="1249">
        <f t="shared" si="57"/>
        <v>0</v>
      </c>
      <c r="S146" s="1249">
        <f t="shared" si="57"/>
        <v>0</v>
      </c>
      <c r="T146" s="1249">
        <f t="shared" si="57"/>
        <v>0.4459879758464787</v>
      </c>
      <c r="U146" s="1282">
        <f t="shared" ref="U146:U150" si="59">SUM(N146:T146)</f>
        <v>1</v>
      </c>
      <c r="V146" s="1283">
        <f t="shared" si="58"/>
        <v>0.29028184578274857</v>
      </c>
      <c r="W146" s="1249">
        <f t="shared" si="58"/>
        <v>0.30317187715157518</v>
      </c>
      <c r="X146" s="1249">
        <f t="shared" si="58"/>
        <v>8.2805443243048754E-2</v>
      </c>
      <c r="Y146" s="1249">
        <f t="shared" si="58"/>
        <v>0</v>
      </c>
      <c r="Z146" s="1249">
        <f t="shared" si="58"/>
        <v>0</v>
      </c>
      <c r="AA146" s="1249">
        <f t="shared" si="58"/>
        <v>0</v>
      </c>
      <c r="AB146" s="1249">
        <f t="shared" si="58"/>
        <v>0.32374083382262742</v>
      </c>
      <c r="AC146" s="1282">
        <f t="shared" si="47"/>
        <v>0.99999999999999989</v>
      </c>
    </row>
    <row r="147" spans="1:29">
      <c r="A147" s="187">
        <f t="shared" si="56"/>
        <v>2047</v>
      </c>
      <c r="B147" s="1657">
        <f>INDEX(Drivers!$A$8:$AM$8,1,$A147-2011)/1000</f>
        <v>74.438425238522782</v>
      </c>
      <c r="C147" s="1662">
        <f>INDEX(Drivers!$A$16:$AM$16,1,$A147-2018)</f>
        <v>5683.8226319462565</v>
      </c>
      <c r="D147" s="1658">
        <f>INDEX(Drivers!$A$25:$AM$25,1,$A147-2018)/INDEX(Drivers!$A$25:$AM$25,1,$A147-2019)*D146</f>
        <v>2607842.98652768</v>
      </c>
      <c r="E147" s="762">
        <f t="shared" si="52"/>
        <v>2607842.98652768</v>
      </c>
      <c r="F147" s="1120"/>
      <c r="G147" s="1120"/>
      <c r="H147" s="1121"/>
      <c r="I147" s="1292">
        <f t="shared" si="51"/>
        <v>424.26313389388866</v>
      </c>
      <c r="J147" s="1293">
        <f t="shared" si="53"/>
        <v>12.031045626813224</v>
      </c>
      <c r="K147" s="1294">
        <f t="shared" si="41"/>
        <v>31581.479573821613</v>
      </c>
      <c r="L147" s="1294">
        <f t="shared" si="54"/>
        <v>70990.172406186728</v>
      </c>
      <c r="M147" s="1295">
        <f t="shared" si="55"/>
        <v>70990.172406186728</v>
      </c>
      <c r="N147" s="1249">
        <f t="shared" ref="N147:T150" si="60">N146</f>
        <v>0.19892488097366726</v>
      </c>
      <c r="O147" s="1249">
        <f t="shared" si="60"/>
        <v>0.26585903447659598</v>
      </c>
      <c r="P147" s="1249">
        <f t="shared" si="60"/>
        <v>8.9228108703258049E-2</v>
      </c>
      <c r="Q147" s="1249">
        <f t="shared" si="60"/>
        <v>0</v>
      </c>
      <c r="R147" s="1249">
        <f t="shared" si="60"/>
        <v>0</v>
      </c>
      <c r="S147" s="1249">
        <f t="shared" si="60"/>
        <v>0</v>
      </c>
      <c r="T147" s="1249">
        <f t="shared" si="60"/>
        <v>0.4459879758464787</v>
      </c>
      <c r="U147" s="1282">
        <f t="shared" si="59"/>
        <v>1</v>
      </c>
      <c r="V147" s="1283">
        <f t="shared" si="58"/>
        <v>0.29028184578274857</v>
      </c>
      <c r="W147" s="1249">
        <f t="shared" si="58"/>
        <v>0.30317187715157518</v>
      </c>
      <c r="X147" s="1249">
        <f t="shared" si="58"/>
        <v>8.2805443243048754E-2</v>
      </c>
      <c r="Y147" s="1249">
        <f t="shared" si="58"/>
        <v>0</v>
      </c>
      <c r="Z147" s="1249">
        <f t="shared" si="58"/>
        <v>0</v>
      </c>
      <c r="AA147" s="1249">
        <f t="shared" si="58"/>
        <v>0</v>
      </c>
      <c r="AB147" s="1249">
        <f t="shared" si="58"/>
        <v>0.32374083382262742</v>
      </c>
      <c r="AC147" s="1282">
        <f t="shared" si="47"/>
        <v>0.99999999999999989</v>
      </c>
    </row>
    <row r="148" spans="1:29">
      <c r="A148" s="187">
        <f t="shared" si="56"/>
        <v>2048</v>
      </c>
      <c r="B148" s="1657">
        <f>INDEX(Drivers!$A$8:$AM$8,1,$A148-2011)/1000</f>
        <v>74.813195848926668</v>
      </c>
      <c r="C148" s="1662">
        <f>INDEX(Drivers!$A$16:$AM$16,1,$A148-2018)</f>
        <v>5769.8658364340272</v>
      </c>
      <c r="D148" s="1658">
        <f>INDEX(Drivers!$A$25:$AM$25,1,$A148-2018)/INDEX(Drivers!$A$25:$AM$25,1,$A148-2019)*D147</f>
        <v>1952211.0534243288</v>
      </c>
      <c r="E148" s="762">
        <f t="shared" si="52"/>
        <v>1952211.0534243288</v>
      </c>
      <c r="F148" s="1120"/>
      <c r="G148" s="1120"/>
      <c r="H148" s="1121"/>
      <c r="I148" s="1292">
        <f t="shared" si="51"/>
        <v>424.26313389388866</v>
      </c>
      <c r="J148" s="1293">
        <f t="shared" si="53"/>
        <v>12.031045626813224</v>
      </c>
      <c r="K148" s="1294">
        <f t="shared" si="41"/>
        <v>31740.480927482891</v>
      </c>
      <c r="L148" s="1294">
        <f t="shared" si="54"/>
        <v>71369.730192152958</v>
      </c>
      <c r="M148" s="1295">
        <f t="shared" si="55"/>
        <v>71369.730192152958</v>
      </c>
      <c r="N148" s="1249">
        <f t="shared" si="60"/>
        <v>0.19892488097366726</v>
      </c>
      <c r="O148" s="1249">
        <f t="shared" si="60"/>
        <v>0.26585903447659598</v>
      </c>
      <c r="P148" s="1249">
        <f t="shared" si="60"/>
        <v>8.9228108703258049E-2</v>
      </c>
      <c r="Q148" s="1249">
        <f t="shared" si="60"/>
        <v>0</v>
      </c>
      <c r="R148" s="1249">
        <f t="shared" si="60"/>
        <v>0</v>
      </c>
      <c r="S148" s="1249">
        <f t="shared" si="60"/>
        <v>0</v>
      </c>
      <c r="T148" s="1249">
        <f t="shared" si="60"/>
        <v>0.4459879758464787</v>
      </c>
      <c r="U148" s="1282">
        <f t="shared" si="59"/>
        <v>1</v>
      </c>
      <c r="V148" s="1283">
        <f t="shared" ref="V148:AB150" si="61">V147</f>
        <v>0.29028184578274857</v>
      </c>
      <c r="W148" s="1249">
        <f t="shared" si="61"/>
        <v>0.30317187715157518</v>
      </c>
      <c r="X148" s="1249">
        <f t="shared" si="61"/>
        <v>8.2805443243048754E-2</v>
      </c>
      <c r="Y148" s="1249">
        <f t="shared" si="61"/>
        <v>0</v>
      </c>
      <c r="Z148" s="1249">
        <f t="shared" si="61"/>
        <v>0</v>
      </c>
      <c r="AA148" s="1249">
        <f t="shared" si="61"/>
        <v>0</v>
      </c>
      <c r="AB148" s="1249">
        <f t="shared" si="61"/>
        <v>0.32374083382262742</v>
      </c>
      <c r="AC148" s="1282">
        <f t="shared" si="47"/>
        <v>0.99999999999999989</v>
      </c>
    </row>
    <row r="149" spans="1:29">
      <c r="A149" s="187">
        <f t="shared" si="56"/>
        <v>2049</v>
      </c>
      <c r="B149" s="1657">
        <f>INDEX(Drivers!$A$8:$AM$8,1,$A149-2011)/1000</f>
        <v>75.173102421925719</v>
      </c>
      <c r="C149" s="1662">
        <f>INDEX(Drivers!$A$16:$AM$16,1,$A149-2018)</f>
        <v>5861.5540552090788</v>
      </c>
      <c r="D149" s="1658">
        <f>INDEX(Drivers!$A$25:$AM$25,1,$A149-2018)/INDEX(Drivers!$A$25:$AM$25,1,$A149-2019)*D148</f>
        <v>1296579.1203209779</v>
      </c>
      <c r="E149" s="762">
        <f t="shared" si="52"/>
        <v>1296579.1203209779</v>
      </c>
      <c r="F149" s="1120"/>
      <c r="G149" s="1120"/>
      <c r="H149" s="1121"/>
      <c r="I149" s="1292">
        <f t="shared" si="51"/>
        <v>424.26313389388866</v>
      </c>
      <c r="J149" s="1293">
        <f t="shared" si="53"/>
        <v>12.031045626813224</v>
      </c>
      <c r="K149" s="1294">
        <f t="shared" si="41"/>
        <v>31893.176018052476</v>
      </c>
      <c r="L149" s="1294">
        <f t="shared" si="54"/>
        <v>71817.20340257349</v>
      </c>
      <c r="M149" s="1295">
        <f t="shared" si="55"/>
        <v>71817.20340257349</v>
      </c>
      <c r="N149" s="1249">
        <f t="shared" si="60"/>
        <v>0.19892488097366726</v>
      </c>
      <c r="O149" s="1249">
        <f t="shared" si="60"/>
        <v>0.26585903447659598</v>
      </c>
      <c r="P149" s="1249">
        <f t="shared" si="60"/>
        <v>8.9228108703258049E-2</v>
      </c>
      <c r="Q149" s="1249">
        <f t="shared" si="60"/>
        <v>0</v>
      </c>
      <c r="R149" s="1249">
        <f t="shared" si="60"/>
        <v>0</v>
      </c>
      <c r="S149" s="1249">
        <f t="shared" si="60"/>
        <v>0</v>
      </c>
      <c r="T149" s="1249">
        <f t="shared" si="60"/>
        <v>0.4459879758464787</v>
      </c>
      <c r="U149" s="1282">
        <f t="shared" si="59"/>
        <v>1</v>
      </c>
      <c r="V149" s="1283">
        <f t="shared" si="61"/>
        <v>0.29028184578274857</v>
      </c>
      <c r="W149" s="1249">
        <f t="shared" si="61"/>
        <v>0.30317187715157518</v>
      </c>
      <c r="X149" s="1249">
        <f t="shared" si="61"/>
        <v>8.2805443243048754E-2</v>
      </c>
      <c r="Y149" s="1249">
        <f t="shared" si="61"/>
        <v>0</v>
      </c>
      <c r="Z149" s="1249">
        <f t="shared" si="61"/>
        <v>0</v>
      </c>
      <c r="AA149" s="1249">
        <f t="shared" si="61"/>
        <v>0</v>
      </c>
      <c r="AB149" s="1249">
        <f t="shared" si="61"/>
        <v>0.32374083382262742</v>
      </c>
      <c r="AC149" s="1282">
        <f t="shared" si="47"/>
        <v>0.99999999999999989</v>
      </c>
    </row>
    <row r="150" spans="1:29" ht="16.5" thickBot="1">
      <c r="A150" s="758">
        <f t="shared" si="56"/>
        <v>2050</v>
      </c>
      <c r="B150" s="1659">
        <f>INDEX(Drivers!$A$8:$AM$8,1,$A150-2011)/1000</f>
        <v>75.517908954390194</v>
      </c>
      <c r="C150" s="1660">
        <f>INDEX(Drivers!$A$16:$AM$16,1,$A150-2018)</f>
        <v>5947.0928685667695</v>
      </c>
      <c r="D150" s="1661">
        <f>INDEX(Drivers!$A$25:$AM$25,1,$A150-2018)/INDEX(Drivers!$A$25:$AM$25,1,$A150-2019)*D149</f>
        <v>640947.1872176266</v>
      </c>
      <c r="E150" s="762">
        <f t="shared" si="52"/>
        <v>640947.1872176266</v>
      </c>
      <c r="F150" s="1122"/>
      <c r="G150" s="1122"/>
      <c r="H150" s="1123"/>
      <c r="I150" s="1298">
        <f t="shared" si="51"/>
        <v>424.26313389388866</v>
      </c>
      <c r="J150" s="1299">
        <f t="shared" si="53"/>
        <v>12.031045626813224</v>
      </c>
      <c r="K150" s="1300">
        <f t="shared" si="41"/>
        <v>32039.46471810294</v>
      </c>
      <c r="L150" s="1300">
        <f t="shared" si="54"/>
        <v>72190.69283583996</v>
      </c>
      <c r="M150" s="1301">
        <f t="shared" si="55"/>
        <v>72190.69283583996</v>
      </c>
      <c r="N150" s="1284">
        <f t="shared" si="60"/>
        <v>0.19892488097366726</v>
      </c>
      <c r="O150" s="1284">
        <f t="shared" si="60"/>
        <v>0.26585903447659598</v>
      </c>
      <c r="P150" s="1284">
        <f t="shared" si="60"/>
        <v>8.9228108703258049E-2</v>
      </c>
      <c r="Q150" s="1284">
        <f t="shared" si="60"/>
        <v>0</v>
      </c>
      <c r="R150" s="1284">
        <f t="shared" si="60"/>
        <v>0</v>
      </c>
      <c r="S150" s="1284">
        <f t="shared" si="60"/>
        <v>0</v>
      </c>
      <c r="T150" s="1284">
        <f t="shared" si="60"/>
        <v>0.4459879758464787</v>
      </c>
      <c r="U150" s="1285">
        <f t="shared" si="59"/>
        <v>1</v>
      </c>
      <c r="V150" s="1286">
        <f t="shared" si="61"/>
        <v>0.29028184578274857</v>
      </c>
      <c r="W150" s="1284">
        <f t="shared" si="61"/>
        <v>0.30317187715157518</v>
      </c>
      <c r="X150" s="1284">
        <f t="shared" si="61"/>
        <v>8.2805443243048754E-2</v>
      </c>
      <c r="Y150" s="1284">
        <f t="shared" si="61"/>
        <v>0</v>
      </c>
      <c r="Z150" s="1284">
        <f t="shared" si="61"/>
        <v>0</v>
      </c>
      <c r="AA150" s="1284">
        <f t="shared" si="61"/>
        <v>0</v>
      </c>
      <c r="AB150" s="1284">
        <f t="shared" si="61"/>
        <v>0.32374083382262742</v>
      </c>
      <c r="AC150" s="1285">
        <f t="shared" si="47"/>
        <v>0.99999999999999989</v>
      </c>
    </row>
    <row r="151" spans="1:29">
      <c r="A151" s="184"/>
      <c r="B151" s="184"/>
      <c r="C151" s="184"/>
      <c r="D151" s="184"/>
      <c r="E151" s="184"/>
      <c r="F151" s="184"/>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17"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357" customWidth="1"/>
    <col min="36" max="37" width="14.7109375" customWidth="1"/>
    <col min="38" max="38" width="12.5703125" customWidth="1"/>
    <col min="39" max="39" width="12.7109375" customWidth="1"/>
    <col min="40" max="40" width="14.42578125" customWidth="1"/>
    <col min="41" max="41" width="18.42578125" style="395" customWidth="1"/>
    <col min="42" max="43" width="14.7109375" customWidth="1"/>
    <col min="44" max="44" width="12.5703125" customWidth="1"/>
    <col min="45" max="45" width="12.28515625" customWidth="1"/>
    <col min="46" max="46" width="10.85546875" customWidth="1"/>
    <col min="47" max="47" width="16.42578125" style="395" customWidth="1"/>
    <col min="48" max="48" width="12.7109375" customWidth="1"/>
    <col min="50" max="50" width="13.42578125" customWidth="1"/>
    <col min="51" max="51" width="11.28515625" customWidth="1"/>
    <col min="52" max="52" width="12.7109375" customWidth="1"/>
    <col min="53" max="53" width="21.7109375" style="357" customWidth="1"/>
    <col min="54" max="54" width="11.42578125" customWidth="1"/>
    <col min="58" max="58" width="12.7109375" customWidth="1"/>
    <col min="59" max="59" width="20.7109375" style="35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720" t="s">
        <v>665</v>
      </c>
      <c r="X3" s="1721"/>
      <c r="Y3" s="1721"/>
      <c r="Z3" s="1721"/>
      <c r="AA3" s="1721"/>
      <c r="AB3" s="1721"/>
      <c r="AC3" s="1721"/>
      <c r="AD3" s="1722"/>
      <c r="AE3" s="1" t="s">
        <v>789</v>
      </c>
    </row>
    <row r="4" spans="1:16381" ht="15.75" thickBot="1"/>
    <row r="5" spans="1:16381" ht="16.149999999999999" customHeight="1" thickBot="1">
      <c r="C5" s="1723" t="s">
        <v>294</v>
      </c>
      <c r="D5" s="1724"/>
      <c r="E5" s="1724"/>
      <c r="F5" s="1724"/>
      <c r="G5" s="1724"/>
      <c r="H5" s="1724"/>
      <c r="I5" s="1724"/>
      <c r="J5" s="1724"/>
      <c r="K5" s="1725"/>
      <c r="L5" s="1756" t="s">
        <v>516</v>
      </c>
      <c r="M5" s="1757"/>
      <c r="N5" s="1757"/>
      <c r="O5" s="1757"/>
      <c r="P5" s="1758"/>
      <c r="Q5" s="1762" t="s">
        <v>518</v>
      </c>
      <c r="R5" s="1763"/>
      <c r="S5" s="1763"/>
      <c r="T5" s="1763"/>
      <c r="U5" s="1764"/>
      <c r="W5" s="736"/>
      <c r="X5" s="1728" t="s">
        <v>643</v>
      </c>
      <c r="Y5" s="1729"/>
      <c r="Z5" s="1729"/>
      <c r="AA5" s="1729"/>
      <c r="AB5" s="1730"/>
      <c r="AC5" s="115"/>
      <c r="AD5" s="1731" t="s">
        <v>641</v>
      </c>
      <c r="AE5" s="1732"/>
      <c r="AF5" s="1732"/>
      <c r="AG5" s="1732"/>
      <c r="AH5" s="1733"/>
      <c r="AI5" s="1634"/>
      <c r="AJ5" s="1731" t="s">
        <v>645</v>
      </c>
      <c r="AK5" s="1732"/>
      <c r="AL5" s="1732"/>
      <c r="AM5" s="1732"/>
      <c r="AN5" s="1733"/>
      <c r="AO5" s="1686"/>
      <c r="AP5" s="1731" t="s">
        <v>649</v>
      </c>
      <c r="AQ5" s="1732"/>
      <c r="AR5" s="1732"/>
      <c r="AS5" s="1732"/>
      <c r="AT5" s="1733"/>
      <c r="AU5" s="1686"/>
      <c r="AV5" s="1731" t="s">
        <v>659</v>
      </c>
      <c r="AW5" s="1732"/>
      <c r="AX5" s="1732"/>
      <c r="AY5" s="1732"/>
      <c r="AZ5" s="1733"/>
      <c r="BA5" s="1634"/>
      <c r="BB5" s="1731" t="s">
        <v>655</v>
      </c>
      <c r="BC5" s="1732"/>
      <c r="BD5" s="1732"/>
      <c r="BE5" s="1732"/>
      <c r="BF5" s="1733"/>
      <c r="BH5" s="1767" t="s">
        <v>217</v>
      </c>
      <c r="BI5" s="1747" t="s">
        <v>635</v>
      </c>
      <c r="BJ5" s="1748"/>
      <c r="BK5" s="1751"/>
      <c r="BL5" s="1748" t="s">
        <v>638</v>
      </c>
      <c r="BM5" s="1748"/>
      <c r="BN5" s="1751"/>
      <c r="BO5" s="1747" t="s">
        <v>646</v>
      </c>
      <c r="BP5" s="1748"/>
      <c r="BQ5" s="1748"/>
      <c r="BR5" s="1747" t="s">
        <v>650</v>
      </c>
      <c r="BS5" s="1748"/>
      <c r="BT5" s="1751"/>
      <c r="BU5" s="1747" t="s">
        <v>660</v>
      </c>
      <c r="BV5" s="1748"/>
      <c r="BW5" s="1751"/>
      <c r="BX5" s="1747" t="s">
        <v>656</v>
      </c>
      <c r="BY5" s="1748"/>
      <c r="BZ5" s="1751"/>
      <c r="CB5" s="1747" t="s">
        <v>803</v>
      </c>
      <c r="CC5" s="1748"/>
      <c r="CD5" s="1748"/>
      <c r="CE5" s="1751"/>
      <c r="CF5" s="1747" t="s">
        <v>803</v>
      </c>
      <c r="CG5" s="1748"/>
      <c r="CH5" s="1748"/>
      <c r="CI5" s="1751"/>
      <c r="CJ5" s="1747" t="s">
        <v>803</v>
      </c>
      <c r="CK5" s="1748"/>
      <c r="CL5" s="1748"/>
      <c r="CM5" s="1751"/>
    </row>
    <row r="6" spans="1:16381" ht="16.149999999999999" customHeight="1" thickBot="1">
      <c r="A6" s="1734" t="s">
        <v>217</v>
      </c>
      <c r="B6" s="1742" t="s">
        <v>292</v>
      </c>
      <c r="C6" s="306" t="s">
        <v>187</v>
      </c>
      <c r="D6" s="1744" t="s">
        <v>194</v>
      </c>
      <c r="E6" s="1745"/>
      <c r="F6" s="1746"/>
      <c r="G6" s="1744" t="s">
        <v>189</v>
      </c>
      <c r="H6" s="1745"/>
      <c r="I6" s="1746"/>
      <c r="J6" s="1744" t="s">
        <v>192</v>
      </c>
      <c r="K6" s="1746"/>
      <c r="L6" s="507" t="s">
        <v>187</v>
      </c>
      <c r="M6" s="1765" t="s">
        <v>194</v>
      </c>
      <c r="N6" s="1766"/>
      <c r="O6" s="505" t="s">
        <v>189</v>
      </c>
      <c r="P6" s="510" t="s">
        <v>514</v>
      </c>
      <c r="Q6" s="509" t="s">
        <v>187</v>
      </c>
      <c r="R6" s="512" t="s">
        <v>194</v>
      </c>
      <c r="S6" s="512" t="s">
        <v>513</v>
      </c>
      <c r="T6" s="512" t="s">
        <v>517</v>
      </c>
      <c r="U6" s="513">
        <v>4</v>
      </c>
      <c r="W6" s="1726" t="s">
        <v>217</v>
      </c>
      <c r="X6" s="1130" t="s">
        <v>187</v>
      </c>
      <c r="Y6" s="1131" t="s">
        <v>194</v>
      </c>
      <c r="Z6" s="1131" t="s">
        <v>513</v>
      </c>
      <c r="AA6" s="1131" t="s">
        <v>517</v>
      </c>
      <c r="AB6" s="1132">
        <v>4</v>
      </c>
      <c r="AC6" s="104"/>
      <c r="AD6" s="1130" t="s">
        <v>187</v>
      </c>
      <c r="AE6" s="1131" t="s">
        <v>194</v>
      </c>
      <c r="AF6" s="1131" t="s">
        <v>513</v>
      </c>
      <c r="AG6" s="1131" t="s">
        <v>517</v>
      </c>
      <c r="AH6" s="1132">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68"/>
      <c r="BI6" s="1749"/>
      <c r="BJ6" s="1750"/>
      <c r="BK6" s="1752"/>
      <c r="BL6" s="1750"/>
      <c r="BM6" s="1750"/>
      <c r="BN6" s="1752"/>
      <c r="BO6" s="1749"/>
      <c r="BP6" s="1750"/>
      <c r="BQ6" s="1750"/>
      <c r="BR6" s="1749"/>
      <c r="BS6" s="1750"/>
      <c r="BT6" s="1752"/>
      <c r="BU6" s="1749"/>
      <c r="BV6" s="1750"/>
      <c r="BW6" s="1752"/>
      <c r="BX6" s="1749"/>
      <c r="BY6" s="1750"/>
      <c r="BZ6" s="1752"/>
      <c r="CB6" s="1770"/>
      <c r="CC6" s="1771"/>
      <c r="CD6" s="1771"/>
      <c r="CE6" s="1772"/>
      <c r="CF6" s="1770"/>
      <c r="CG6" s="1771"/>
      <c r="CH6" s="1771"/>
      <c r="CI6" s="1772"/>
      <c r="CJ6" s="1770"/>
      <c r="CK6" s="1771"/>
      <c r="CL6" s="1771"/>
      <c r="CM6" s="1772"/>
    </row>
    <row r="7" spans="1:16381" ht="90.75" thickBot="1">
      <c r="A7" s="1735"/>
      <c r="B7" s="1743"/>
      <c r="C7" s="502" t="s">
        <v>233</v>
      </c>
      <c r="D7" s="503" t="s">
        <v>234</v>
      </c>
      <c r="E7" s="1738" t="s">
        <v>176</v>
      </c>
      <c r="F7" s="1739"/>
      <c r="G7" s="1737" t="s">
        <v>284</v>
      </c>
      <c r="H7" s="1738"/>
      <c r="I7" s="1739"/>
      <c r="J7" s="1740" t="s">
        <v>193</v>
      </c>
      <c r="K7" s="1741"/>
      <c r="L7" s="508" t="s">
        <v>233</v>
      </c>
      <c r="M7" s="506" t="s">
        <v>234</v>
      </c>
      <c r="N7" s="506" t="s">
        <v>176</v>
      </c>
      <c r="O7" s="506" t="s">
        <v>284</v>
      </c>
      <c r="P7" s="511" t="s">
        <v>193</v>
      </c>
      <c r="Q7" s="509" t="s">
        <v>233</v>
      </c>
      <c r="R7" s="512" t="s">
        <v>512</v>
      </c>
      <c r="S7" s="512" t="s">
        <v>38</v>
      </c>
      <c r="T7" s="512" t="s">
        <v>193</v>
      </c>
      <c r="U7" s="513" t="s">
        <v>627</v>
      </c>
      <c r="W7" s="1727"/>
      <c r="X7" s="1136" t="s">
        <v>233</v>
      </c>
      <c r="Y7" s="1137" t="s">
        <v>512</v>
      </c>
      <c r="Z7" s="1137" t="s">
        <v>38</v>
      </c>
      <c r="AA7" s="1137" t="s">
        <v>193</v>
      </c>
      <c r="AB7" s="1138" t="s">
        <v>627</v>
      </c>
      <c r="AC7" s="1162" t="s">
        <v>752</v>
      </c>
      <c r="AD7" s="1133" t="s">
        <v>233</v>
      </c>
      <c r="AE7" s="1134" t="s">
        <v>512</v>
      </c>
      <c r="AF7" s="1134" t="s">
        <v>38</v>
      </c>
      <c r="AG7" s="1134" t="s">
        <v>193</v>
      </c>
      <c r="AH7" s="1135" t="s">
        <v>627</v>
      </c>
      <c r="AI7" s="1162" t="s">
        <v>752</v>
      </c>
      <c r="AJ7" s="509" t="s">
        <v>233</v>
      </c>
      <c r="AK7" s="512" t="s">
        <v>512</v>
      </c>
      <c r="AL7" s="512" t="s">
        <v>38</v>
      </c>
      <c r="AM7" s="512" t="s">
        <v>193</v>
      </c>
      <c r="AN7" s="513" t="s">
        <v>627</v>
      </c>
      <c r="AO7" s="1162" t="s">
        <v>752</v>
      </c>
      <c r="AP7" s="509" t="s">
        <v>233</v>
      </c>
      <c r="AQ7" s="512" t="s">
        <v>512</v>
      </c>
      <c r="AR7" s="512" t="s">
        <v>38</v>
      </c>
      <c r="AS7" s="512" t="s">
        <v>193</v>
      </c>
      <c r="AT7" s="513" t="s">
        <v>627</v>
      </c>
      <c r="AU7" s="1162" t="s">
        <v>752</v>
      </c>
      <c r="AV7" s="509" t="s">
        <v>233</v>
      </c>
      <c r="AW7" s="512" t="s">
        <v>512</v>
      </c>
      <c r="AX7" s="512" t="s">
        <v>38</v>
      </c>
      <c r="AY7" s="512" t="s">
        <v>193</v>
      </c>
      <c r="AZ7" s="513" t="s">
        <v>627</v>
      </c>
      <c r="BA7" s="1162" t="s">
        <v>752</v>
      </c>
      <c r="BB7" s="509" t="s">
        <v>233</v>
      </c>
      <c r="BC7" s="512" t="s">
        <v>512</v>
      </c>
      <c r="BD7" s="512" t="s">
        <v>38</v>
      </c>
      <c r="BE7" s="512" t="s">
        <v>193</v>
      </c>
      <c r="BF7" s="513" t="s">
        <v>627</v>
      </c>
      <c r="BG7" s="1162" t="s">
        <v>752</v>
      </c>
      <c r="BH7" s="1768"/>
      <c r="BI7" s="1098" t="s">
        <v>644</v>
      </c>
      <c r="BJ7" s="40" t="s">
        <v>801</v>
      </c>
      <c r="BK7" s="1099" t="s">
        <v>790</v>
      </c>
      <c r="BL7" s="1389" t="s">
        <v>642</v>
      </c>
      <c r="BM7" s="1390" t="s">
        <v>800</v>
      </c>
      <c r="BN7" s="1391" t="s">
        <v>791</v>
      </c>
      <c r="BO7" s="1159" t="s">
        <v>648</v>
      </c>
      <c r="BP7" s="40" t="s">
        <v>799</v>
      </c>
      <c r="BQ7" s="513" t="s">
        <v>792</v>
      </c>
      <c r="BR7" s="1098" t="s">
        <v>652</v>
      </c>
      <c r="BS7" s="40" t="s">
        <v>798</v>
      </c>
      <c r="BT7" s="1099" t="s">
        <v>793</v>
      </c>
      <c r="BU7" s="1098" t="s">
        <v>662</v>
      </c>
      <c r="BV7" s="40" t="s">
        <v>797</v>
      </c>
      <c r="BW7" s="513" t="s">
        <v>794</v>
      </c>
      <c r="BX7" s="1098" t="s">
        <v>658</v>
      </c>
      <c r="BY7" s="40" t="s">
        <v>796</v>
      </c>
      <c r="BZ7" s="513" t="s">
        <v>795</v>
      </c>
      <c r="CB7" s="1098" t="s">
        <v>812</v>
      </c>
      <c r="CC7" s="1099" t="s">
        <v>813</v>
      </c>
      <c r="CD7" s="40" t="s">
        <v>812</v>
      </c>
      <c r="CE7" s="1099" t="s">
        <v>811</v>
      </c>
      <c r="CF7" s="40" t="s">
        <v>810</v>
      </c>
      <c r="CG7" s="1099" t="s">
        <v>809</v>
      </c>
      <c r="CH7" s="40" t="s">
        <v>808</v>
      </c>
      <c r="CI7" s="1160" t="s">
        <v>807</v>
      </c>
      <c r="CJ7" s="1098" t="s">
        <v>806</v>
      </c>
      <c r="CK7" s="40" t="s">
        <v>805</v>
      </c>
      <c r="CL7" s="40" t="s">
        <v>802</v>
      </c>
      <c r="CM7" s="1099" t="s">
        <v>804</v>
      </c>
    </row>
    <row r="8" spans="1:16381" ht="15.75" thickBot="1">
      <c r="A8" s="1736"/>
      <c r="B8" s="307" t="s">
        <v>293</v>
      </c>
      <c r="C8" s="307" t="s">
        <v>188</v>
      </c>
      <c r="D8" s="308" t="s">
        <v>188</v>
      </c>
      <c r="E8" s="309" t="s">
        <v>188</v>
      </c>
      <c r="F8" s="310" t="s">
        <v>191</v>
      </c>
      <c r="G8" s="311" t="s">
        <v>190</v>
      </c>
      <c r="H8" s="309" t="s">
        <v>188</v>
      </c>
      <c r="I8" s="310" t="s">
        <v>191</v>
      </c>
      <c r="J8" s="985" t="s">
        <v>188</v>
      </c>
      <c r="K8" s="504" t="s">
        <v>191</v>
      </c>
      <c r="L8" s="1753" t="s">
        <v>515</v>
      </c>
      <c r="M8" s="1754"/>
      <c r="N8" s="1754"/>
      <c r="O8" s="1754"/>
      <c r="P8" s="1755"/>
      <c r="Q8" s="1759" t="s">
        <v>515</v>
      </c>
      <c r="R8" s="1760"/>
      <c r="S8" s="1760"/>
      <c r="T8" s="1760"/>
      <c r="U8" s="1761"/>
      <c r="W8" s="127"/>
      <c r="X8" s="1148" t="s">
        <v>643</v>
      </c>
      <c r="Y8" s="335" t="s">
        <v>643</v>
      </c>
      <c r="Z8" s="335" t="s">
        <v>643</v>
      </c>
      <c r="AA8" s="335" t="s">
        <v>643</v>
      </c>
      <c r="AB8" s="1149" t="s">
        <v>643</v>
      </c>
      <c r="AC8" s="104"/>
      <c r="AD8" s="1146" t="s">
        <v>641</v>
      </c>
      <c r="AE8" s="1139" t="s">
        <v>641</v>
      </c>
      <c r="AF8" s="1139" t="s">
        <v>641</v>
      </c>
      <c r="AG8" s="1139" t="s">
        <v>641</v>
      </c>
      <c r="AH8" s="1140" t="s">
        <v>641</v>
      </c>
      <c r="AI8" s="131"/>
      <c r="AJ8" s="1146" t="s">
        <v>645</v>
      </c>
      <c r="AK8" s="1139" t="s">
        <v>645</v>
      </c>
      <c r="AL8" s="1139" t="s">
        <v>645</v>
      </c>
      <c r="AM8" s="1139" t="s">
        <v>645</v>
      </c>
      <c r="AN8" s="1140" t="s">
        <v>645</v>
      </c>
      <c r="AO8" s="169"/>
      <c r="AP8" s="1146" t="s">
        <v>649</v>
      </c>
      <c r="AQ8" s="1139" t="s">
        <v>649</v>
      </c>
      <c r="AR8" s="1139" t="s">
        <v>649</v>
      </c>
      <c r="AS8" s="1139" t="s">
        <v>649</v>
      </c>
      <c r="AT8" s="1140" t="s">
        <v>649</v>
      </c>
      <c r="AU8" s="169"/>
      <c r="AV8" s="1146" t="s">
        <v>659</v>
      </c>
      <c r="AW8" s="1139" t="s">
        <v>659</v>
      </c>
      <c r="AX8" s="1139" t="s">
        <v>659</v>
      </c>
      <c r="AY8" s="1139" t="s">
        <v>659</v>
      </c>
      <c r="AZ8" s="1140" t="s">
        <v>659</v>
      </c>
      <c r="BA8" s="131"/>
      <c r="BB8" s="1146" t="s">
        <v>655</v>
      </c>
      <c r="BC8" s="1139" t="s">
        <v>655</v>
      </c>
      <c r="BD8" s="1139" t="s">
        <v>655</v>
      </c>
      <c r="BE8" s="1139" t="s">
        <v>655</v>
      </c>
      <c r="BF8" s="1140" t="s">
        <v>655</v>
      </c>
      <c r="BH8" s="1769"/>
      <c r="BI8" s="1153" t="s">
        <v>625</v>
      </c>
      <c r="BJ8" s="1154" t="s">
        <v>229</v>
      </c>
      <c r="BK8" s="1155" t="s">
        <v>625</v>
      </c>
      <c r="BL8" s="1153" t="s">
        <v>625</v>
      </c>
      <c r="BM8" s="1154" t="s">
        <v>229</v>
      </c>
      <c r="BN8" s="1155" t="s">
        <v>625</v>
      </c>
      <c r="BO8" s="1302" t="s">
        <v>625</v>
      </c>
      <c r="BP8" s="1154" t="s">
        <v>229</v>
      </c>
      <c r="BQ8" s="1155" t="s">
        <v>625</v>
      </c>
      <c r="BR8" s="1153" t="s">
        <v>625</v>
      </c>
      <c r="BS8" s="1154" t="s">
        <v>229</v>
      </c>
      <c r="BT8" s="1155" t="s">
        <v>625</v>
      </c>
      <c r="BU8" s="1153" t="s">
        <v>625</v>
      </c>
      <c r="BV8" s="1154" t="s">
        <v>229</v>
      </c>
      <c r="BW8" s="1155" t="s">
        <v>625</v>
      </c>
      <c r="BX8" s="1153" t="s">
        <v>625</v>
      </c>
      <c r="BY8" s="1154" t="s">
        <v>229</v>
      </c>
      <c r="BZ8" s="1155" t="s">
        <v>625</v>
      </c>
      <c r="CB8" s="67" t="s">
        <v>229</v>
      </c>
      <c r="CC8" s="68" t="s">
        <v>229</v>
      </c>
      <c r="CD8" s="1158" t="s">
        <v>229</v>
      </c>
      <c r="CE8" s="68" t="s">
        <v>229</v>
      </c>
      <c r="CF8" s="1158" t="s">
        <v>229</v>
      </c>
      <c r="CG8" s="68" t="s">
        <v>229</v>
      </c>
      <c r="CH8" s="1158" t="s">
        <v>229</v>
      </c>
      <c r="CI8" s="1161" t="s">
        <v>229</v>
      </c>
      <c r="CJ8" s="67" t="s">
        <v>229</v>
      </c>
      <c r="CK8" s="1158" t="s">
        <v>229</v>
      </c>
      <c r="CL8" s="1158"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747.5995646284382</v>
      </c>
      <c r="D10" s="515">
        <f>'4B Biological treatment '!T63</f>
        <v>0</v>
      </c>
      <c r="E10" s="472">
        <f>'4B Biological treatment '!U63</f>
        <v>8.0224619830130912</v>
      </c>
      <c r="F10" s="472">
        <f>'4B Biological treatment '!W63</f>
        <v>0.48134771898078543</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15699.590857197203</v>
      </c>
      <c r="M10" s="515">
        <f t="shared" ref="M10:M25" si="0">D10*$B$3</f>
        <v>0</v>
      </c>
      <c r="N10" s="471">
        <f>E10*$B$3+F10*$C$3</f>
        <v>317.6894945273184</v>
      </c>
      <c r="O10" s="514">
        <f>G10+H10*$B$3+I10*$C$3</f>
        <v>252.83335953932928</v>
      </c>
      <c r="P10" s="471">
        <f>J10*$B$3+K10*$C$3</f>
        <v>2831.8730929925982</v>
      </c>
      <c r="Q10" s="471">
        <f>L10</f>
        <v>15699.590857197203</v>
      </c>
      <c r="R10" s="516">
        <f>M10+N10</f>
        <v>317.6894945273184</v>
      </c>
      <c r="S10" s="514">
        <f>O10</f>
        <v>252.83335953932928</v>
      </c>
      <c r="T10" s="471">
        <f>P10</f>
        <v>2831.8730929925982</v>
      </c>
      <c r="U10" s="471">
        <f>SUM(Q10:T10)</f>
        <v>19101.986804256449</v>
      </c>
      <c r="V10" s="515"/>
      <c r="W10" s="596">
        <f>A10</f>
        <v>2000</v>
      </c>
      <c r="X10" s="1101">
        <f>Q10</f>
        <v>15699.590857197203</v>
      </c>
      <c r="Y10" s="1102">
        <f t="shared" ref="Y10:AA10" si="1">R10</f>
        <v>317.6894945273184</v>
      </c>
      <c r="Z10" s="1102">
        <f t="shared" si="1"/>
        <v>252.83335953932928</v>
      </c>
      <c r="AA10" s="1102">
        <f t="shared" si="1"/>
        <v>2831.8730929925982</v>
      </c>
      <c r="AB10" s="1142">
        <f>SUM(X10:AA10)</f>
        <v>19101.986804256449</v>
      </c>
      <c r="AC10" s="1102"/>
      <c r="AD10" s="1101">
        <f>Q10</f>
        <v>15699.590857197203</v>
      </c>
      <c r="AE10" s="1102">
        <f t="shared" ref="AE10:AG10" si="2">R10</f>
        <v>317.6894945273184</v>
      </c>
      <c r="AF10" s="1102">
        <f t="shared" si="2"/>
        <v>252.83335953932928</v>
      </c>
      <c r="AG10" s="1102">
        <f t="shared" si="2"/>
        <v>2831.8730929925982</v>
      </c>
      <c r="AH10" s="1142">
        <f>SUM(AD10:AG10)</f>
        <v>19101.986804256449</v>
      </c>
      <c r="AI10" s="1421"/>
      <c r="AJ10" s="1101">
        <f>Q10</f>
        <v>15699.590857197203</v>
      </c>
      <c r="AK10" s="1102">
        <f t="shared" ref="AK10:AM10" si="3">R10</f>
        <v>317.6894945273184</v>
      </c>
      <c r="AL10" s="1102">
        <f t="shared" si="3"/>
        <v>252.83335953932928</v>
      </c>
      <c r="AM10" s="1102">
        <f t="shared" si="3"/>
        <v>2831.8730929925982</v>
      </c>
      <c r="AN10" s="1142">
        <f>SUM(AJ10:AM10)</f>
        <v>19101.986804256449</v>
      </c>
      <c r="AO10" s="1418"/>
      <c r="AP10" s="1101">
        <f>Q10</f>
        <v>15699.590857197203</v>
      </c>
      <c r="AQ10" s="1102">
        <f t="shared" ref="AQ10:AS10" si="4">R10</f>
        <v>317.6894945273184</v>
      </c>
      <c r="AR10" s="1102">
        <f t="shared" si="4"/>
        <v>252.83335953932928</v>
      </c>
      <c r="AS10" s="1102">
        <f t="shared" si="4"/>
        <v>2831.8730929925982</v>
      </c>
      <c r="AT10" s="1142">
        <f>SUM(AP10:AS10)</f>
        <v>19101.986804256449</v>
      </c>
      <c r="AU10" s="1414"/>
      <c r="AV10" s="1101">
        <f>X10</f>
        <v>15699.590857197203</v>
      </c>
      <c r="AW10" s="1102">
        <f>Y10</f>
        <v>317.6894945273184</v>
      </c>
      <c r="AX10" s="1102">
        <f>Z10</f>
        <v>252.83335953932928</v>
      </c>
      <c r="AY10" s="1102">
        <f>AA10</f>
        <v>2831.8730929925982</v>
      </c>
      <c r="AZ10" s="1142">
        <f>SUM(AV10:AY10)</f>
        <v>19101.986804256449</v>
      </c>
      <c r="BA10" s="1424"/>
      <c r="BB10" s="1101">
        <f>Q10</f>
        <v>15699.590857197203</v>
      </c>
      <c r="BC10" s="1102">
        <f t="shared" ref="BC10:BE10" si="5">R10</f>
        <v>317.6894945273184</v>
      </c>
      <c r="BD10" s="1102">
        <f t="shared" si="5"/>
        <v>252.83335953932928</v>
      </c>
      <c r="BE10" s="1102">
        <f t="shared" si="5"/>
        <v>2831.8730929925982</v>
      </c>
      <c r="BF10" s="1142">
        <f>SUM(BB10:BE10)</f>
        <v>19101.986804256449</v>
      </c>
      <c r="BG10" s="1426"/>
      <c r="BH10" s="596">
        <f>W10</f>
        <v>2000</v>
      </c>
      <c r="BI10" s="1102">
        <f>'Baseline data (from input)'!AZ56</f>
        <v>80.188323661702427</v>
      </c>
      <c r="BJ10" s="576">
        <f>'Baseline data (from input)'!BA56</f>
        <v>0.14223993776609636</v>
      </c>
      <c r="BK10" s="1103"/>
      <c r="BL10" s="1101">
        <f>BI10</f>
        <v>80.188323661702427</v>
      </c>
      <c r="BM10" s="576">
        <f>BJ10</f>
        <v>0.14223993776609636</v>
      </c>
      <c r="BN10" s="1103"/>
      <c r="BO10" s="1102">
        <f t="shared" ref="BO10:BP26" si="6">BI10</f>
        <v>80.188323661702427</v>
      </c>
      <c r="BP10" s="417">
        <f t="shared" si="6"/>
        <v>0.14223993776609636</v>
      </c>
      <c r="BQ10" s="1103"/>
      <c r="BR10" s="1101">
        <f>'Baseline data (from input)'!AZ56</f>
        <v>80.188323661702427</v>
      </c>
      <c r="BS10" s="417">
        <f>'Baseline data (from input)'!BA56</f>
        <v>0.14223993776609636</v>
      </c>
      <c r="BT10" s="1103"/>
      <c r="BU10" s="1102">
        <f t="shared" ref="BU10:BV26" si="7">BI10</f>
        <v>80.188323661702427</v>
      </c>
      <c r="BV10" s="417">
        <f t="shared" si="7"/>
        <v>0.14223993776609636</v>
      </c>
      <c r="BW10" s="1103"/>
      <c r="BX10" s="1101">
        <f>BU10</f>
        <v>80.188323661702427</v>
      </c>
      <c r="BY10" s="417">
        <f>BV10</f>
        <v>0.14223993776609636</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771.20144163921236</v>
      </c>
      <c r="D11" s="3">
        <f>'4B Biological treatment '!T64</f>
        <v>0</v>
      </c>
      <c r="E11" s="178">
        <f>'4B Biological treatment '!U64</f>
        <v>8.215170232401265</v>
      </c>
      <c r="F11" s="178">
        <f>'4B Biological treatment '!W64</f>
        <v>0.49291021394407586</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16195.23027442346</v>
      </c>
      <c r="M11" s="3">
        <f t="shared" si="0"/>
        <v>0</v>
      </c>
      <c r="N11" s="419">
        <f t="shared" ref="N11:N27" si="9">E11*$B$3+F11*$C$3</f>
        <v>325.32074120309005</v>
      </c>
      <c r="O11" s="518">
        <f t="shared" ref="O11:O27" si="10">G11+H11*$B$3+I11*$C$3</f>
        <v>258.06241311161995</v>
      </c>
      <c r="P11" s="419">
        <f t="shared" ref="P11:P27" si="11">J11*$B$3+K11*$C$3</f>
        <v>2890.4413774158538</v>
      </c>
      <c r="Q11" s="519">
        <f t="shared" ref="Q11:Q27" si="12">L11</f>
        <v>16195.23027442346</v>
      </c>
      <c r="R11" s="520">
        <f t="shared" ref="R11:R27" si="13">M11+N11</f>
        <v>325.32074120309005</v>
      </c>
      <c r="S11" s="518">
        <f t="shared" ref="S11:S27" si="14">O11</f>
        <v>258.06241311161995</v>
      </c>
      <c r="T11" s="519">
        <f t="shared" ref="T11:T27" si="15">P11</f>
        <v>2890.4413774158538</v>
      </c>
      <c r="U11" s="519">
        <f t="shared" ref="U11:U27" si="16">SUM(Q11:T11)</f>
        <v>19669.054806154025</v>
      </c>
      <c r="V11" s="3"/>
      <c r="W11" s="596">
        <f t="shared" ref="W11:W27" si="17">A11</f>
        <v>2001</v>
      </c>
      <c r="X11" s="1101">
        <f t="shared" ref="X11:X27" si="18">Q11</f>
        <v>16195.23027442346</v>
      </c>
      <c r="Y11" s="1102">
        <f t="shared" ref="Y11:Y27" si="19">R11</f>
        <v>325.32074120309005</v>
      </c>
      <c r="Z11" s="1102">
        <f t="shared" ref="Z11:Z27" si="20">S11</f>
        <v>258.06241311161995</v>
      </c>
      <c r="AA11" s="1102">
        <f t="shared" ref="AA11:AA27" si="21">T11</f>
        <v>2890.4413774158538</v>
      </c>
      <c r="AB11" s="1142">
        <f t="shared" ref="AB11:AB60" si="22">SUM(X11:AA11)</f>
        <v>19669.054806154025</v>
      </c>
      <c r="AC11" s="1102"/>
      <c r="AD11" s="1101">
        <f t="shared" ref="AD11:AD26" si="23">Q11</f>
        <v>16195.23027442346</v>
      </c>
      <c r="AE11" s="1102">
        <f t="shared" ref="AE11:AE27" si="24">R11</f>
        <v>325.32074120309005</v>
      </c>
      <c r="AF11" s="1102">
        <f t="shared" ref="AF11:AF27" si="25">S11</f>
        <v>258.06241311161995</v>
      </c>
      <c r="AG11" s="1102">
        <f t="shared" ref="AG11:AG27" si="26">T11</f>
        <v>2890.4413774158538</v>
      </c>
      <c r="AH11" s="1142">
        <f t="shared" ref="AH11:AH26" si="27">SUM(AD11:AG11)</f>
        <v>19669.054806154025</v>
      </c>
      <c r="AI11" s="1422"/>
      <c r="AJ11" s="1101">
        <f t="shared" ref="AJ11:AJ27" si="28">X11</f>
        <v>16195.23027442346</v>
      </c>
      <c r="AK11" s="1102">
        <f t="shared" ref="AK11:AK27" si="29">Y11</f>
        <v>325.32074120309005</v>
      </c>
      <c r="AL11" s="1102">
        <f t="shared" ref="AL11:AL27" si="30">Z11</f>
        <v>258.06241311161995</v>
      </c>
      <c r="AM11" s="1102">
        <f t="shared" ref="AM11:AM27" si="31">AA11</f>
        <v>2890.4413774158538</v>
      </c>
      <c r="AN11" s="1142">
        <f t="shared" ref="AN11:AN27" si="32">AB11</f>
        <v>19669.054806154025</v>
      </c>
      <c r="AO11" s="1419"/>
      <c r="AP11" s="1101">
        <f t="shared" ref="AP11:AP26" si="33">Q11</f>
        <v>16195.23027442346</v>
      </c>
      <c r="AQ11" s="1102">
        <f t="shared" ref="AQ11:AQ26" si="34">R11</f>
        <v>325.32074120309005</v>
      </c>
      <c r="AR11" s="1102">
        <f t="shared" ref="AR11:AR26" si="35">S11</f>
        <v>258.06241311161995</v>
      </c>
      <c r="AS11" s="1102">
        <f t="shared" ref="AS11:AS26" si="36">T11</f>
        <v>2890.4413774158538</v>
      </c>
      <c r="AT11" s="1142">
        <f t="shared" ref="AT11:AT60" si="37">SUM(AP11:AS11)</f>
        <v>19669.054806154025</v>
      </c>
      <c r="AU11" s="1414"/>
      <c r="AV11" s="1101">
        <f t="shared" ref="AV11:AV27" si="38">X11</f>
        <v>16195.23027442346</v>
      </c>
      <c r="AW11" s="1102">
        <f t="shared" ref="AW11:AW27" si="39">Y11</f>
        <v>325.32074120309005</v>
      </c>
      <c r="AX11" s="1102">
        <f t="shared" ref="AX11:AX27" si="40">Z11</f>
        <v>258.06241311161995</v>
      </c>
      <c r="AY11" s="1102">
        <f t="shared" ref="AY11:AY27" si="41">AA11</f>
        <v>2890.4413774158538</v>
      </c>
      <c r="AZ11" s="1142">
        <f t="shared" ref="AZ11:AZ27" si="42">AB11</f>
        <v>19669.054806154025</v>
      </c>
      <c r="BA11" s="1424"/>
      <c r="BB11" s="1101">
        <f t="shared" ref="BB11:BB27" si="43">Q11</f>
        <v>16195.23027442346</v>
      </c>
      <c r="BC11" s="1102">
        <f t="shared" ref="BC11:BC27" si="44">R11</f>
        <v>325.32074120309005</v>
      </c>
      <c r="BD11" s="1102">
        <f t="shared" ref="BD11:BD27" si="45">S11</f>
        <v>258.06241311161995</v>
      </c>
      <c r="BE11" s="1102">
        <f t="shared" ref="BE11:BE27" si="46">T11</f>
        <v>2890.4413774158538</v>
      </c>
      <c r="BF11" s="1142">
        <f t="shared" ref="BF11:BF60" si="47">SUM(BB11:BE11)</f>
        <v>19669.054806154025</v>
      </c>
      <c r="BG11" s="1427"/>
      <c r="BH11" s="596">
        <f t="shared" ref="BH11:BH60" si="48">W11</f>
        <v>2001</v>
      </c>
      <c r="BI11" s="1102">
        <f>'Baseline data (from input)'!AZ57</f>
        <v>82.192518487402396</v>
      </c>
      <c r="BJ11" s="576">
        <f>'Baseline data (from input)'!BA57</f>
        <v>0.14212687687042144</v>
      </c>
      <c r="BK11" s="1103"/>
      <c r="BL11" s="1101">
        <f t="shared" ref="BL11:BL26" si="49">BI11</f>
        <v>82.192518487402396</v>
      </c>
      <c r="BM11" s="576">
        <f t="shared" ref="BM11:BM26" si="50">BJ11</f>
        <v>0.14212687687042144</v>
      </c>
      <c r="BN11" s="1103"/>
      <c r="BO11" s="1102">
        <f t="shared" si="6"/>
        <v>82.192518487402396</v>
      </c>
      <c r="BP11" s="417">
        <f t="shared" si="6"/>
        <v>0.14212687687042144</v>
      </c>
      <c r="BQ11" s="1103"/>
      <c r="BR11" s="1101">
        <f>'Baseline data (from input)'!AZ57</f>
        <v>82.192518487402396</v>
      </c>
      <c r="BS11" s="417">
        <f>'Baseline data (from input)'!BA57</f>
        <v>0.14212687687042144</v>
      </c>
      <c r="BT11" s="1103"/>
      <c r="BU11" s="1102">
        <f t="shared" si="7"/>
        <v>82.192518487402396</v>
      </c>
      <c r="BV11" s="417">
        <f t="shared" si="7"/>
        <v>0.14212687687042144</v>
      </c>
      <c r="BW11" s="1103"/>
      <c r="BX11" s="1101">
        <f t="shared" ref="BX11:BX25" si="51">BU11</f>
        <v>82.192518487402396</v>
      </c>
      <c r="BY11" s="417">
        <f t="shared" ref="BY11:BY25" si="52">BV11</f>
        <v>0.14212687687042144</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795.07217127238346</v>
      </c>
      <c r="D12" s="3">
        <f>'4B Biological treatment '!T65</f>
        <v>0</v>
      </c>
      <c r="E12" s="178">
        <f>'4B Biological treatment '!U65</f>
        <v>8.4298599460466228</v>
      </c>
      <c r="F12" s="178">
        <f>'4B Biological treatment '!W65</f>
        <v>0.50579159676279739</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16696.515596720052</v>
      </c>
      <c r="M12" s="3">
        <f t="shared" si="0"/>
        <v>0</v>
      </c>
      <c r="N12" s="419">
        <f t="shared" si="9"/>
        <v>333.8224538634463</v>
      </c>
      <c r="O12" s="518">
        <f t="shared" si="10"/>
        <v>261.64230363418824</v>
      </c>
      <c r="P12" s="419">
        <f t="shared" si="11"/>
        <v>2930.5381259825444</v>
      </c>
      <c r="Q12" s="519">
        <f t="shared" si="12"/>
        <v>16696.515596720052</v>
      </c>
      <c r="R12" s="520">
        <f t="shared" si="13"/>
        <v>333.8224538634463</v>
      </c>
      <c r="S12" s="518">
        <f t="shared" si="14"/>
        <v>261.64230363418824</v>
      </c>
      <c r="T12" s="519">
        <f t="shared" si="15"/>
        <v>2930.5381259825444</v>
      </c>
      <c r="U12" s="519">
        <f t="shared" si="16"/>
        <v>20222.51848020023</v>
      </c>
      <c r="V12" s="3"/>
      <c r="W12" s="596">
        <f t="shared" si="17"/>
        <v>2002</v>
      </c>
      <c r="X12" s="1101">
        <f t="shared" si="18"/>
        <v>16696.515596720052</v>
      </c>
      <c r="Y12" s="1102">
        <f t="shared" si="19"/>
        <v>333.8224538634463</v>
      </c>
      <c r="Z12" s="1102">
        <f t="shared" si="20"/>
        <v>261.64230363418824</v>
      </c>
      <c r="AA12" s="1102">
        <f t="shared" si="21"/>
        <v>2930.5381259825444</v>
      </c>
      <c r="AB12" s="1142">
        <f t="shared" si="22"/>
        <v>20222.51848020023</v>
      </c>
      <c r="AC12" s="1102"/>
      <c r="AD12" s="1101">
        <f t="shared" si="23"/>
        <v>16696.515596720052</v>
      </c>
      <c r="AE12" s="1102">
        <f t="shared" si="24"/>
        <v>333.8224538634463</v>
      </c>
      <c r="AF12" s="1102">
        <f t="shared" si="25"/>
        <v>261.64230363418824</v>
      </c>
      <c r="AG12" s="1102">
        <f t="shared" si="26"/>
        <v>2930.5381259825444</v>
      </c>
      <c r="AH12" s="1142">
        <f t="shared" si="27"/>
        <v>20222.51848020023</v>
      </c>
      <c r="AI12" s="1422"/>
      <c r="AJ12" s="1101">
        <f t="shared" si="28"/>
        <v>16696.515596720052</v>
      </c>
      <c r="AK12" s="1102">
        <f t="shared" si="29"/>
        <v>333.8224538634463</v>
      </c>
      <c r="AL12" s="1102">
        <f t="shared" si="30"/>
        <v>261.64230363418824</v>
      </c>
      <c r="AM12" s="1102">
        <f t="shared" si="31"/>
        <v>2930.5381259825444</v>
      </c>
      <c r="AN12" s="1142">
        <f t="shared" si="32"/>
        <v>20222.51848020023</v>
      </c>
      <c r="AO12" s="1419"/>
      <c r="AP12" s="1101">
        <f t="shared" si="33"/>
        <v>16696.515596720052</v>
      </c>
      <c r="AQ12" s="1102">
        <f t="shared" si="34"/>
        <v>333.8224538634463</v>
      </c>
      <c r="AR12" s="1102">
        <f t="shared" si="35"/>
        <v>261.64230363418824</v>
      </c>
      <c r="AS12" s="1102">
        <f t="shared" si="36"/>
        <v>2930.5381259825444</v>
      </c>
      <c r="AT12" s="1142">
        <f t="shared" si="37"/>
        <v>20222.51848020023</v>
      </c>
      <c r="AU12" s="1414"/>
      <c r="AV12" s="1101">
        <f t="shared" si="38"/>
        <v>16696.515596720052</v>
      </c>
      <c r="AW12" s="1102">
        <f t="shared" si="39"/>
        <v>333.8224538634463</v>
      </c>
      <c r="AX12" s="1102">
        <f t="shared" si="40"/>
        <v>261.64230363418824</v>
      </c>
      <c r="AY12" s="1102">
        <f t="shared" si="41"/>
        <v>2930.5381259825444</v>
      </c>
      <c r="AZ12" s="1142">
        <f t="shared" si="42"/>
        <v>20222.51848020023</v>
      </c>
      <c r="BA12" s="1424"/>
      <c r="BB12" s="1101">
        <f t="shared" si="43"/>
        <v>16696.515596720052</v>
      </c>
      <c r="BC12" s="1102">
        <f t="shared" si="44"/>
        <v>333.8224538634463</v>
      </c>
      <c r="BD12" s="1102">
        <f t="shared" si="45"/>
        <v>261.64230363418824</v>
      </c>
      <c r="BE12" s="1102">
        <f t="shared" si="46"/>
        <v>2930.5381259825444</v>
      </c>
      <c r="BF12" s="1142">
        <f t="shared" si="47"/>
        <v>20222.51848020023</v>
      </c>
      <c r="BG12" s="1427"/>
      <c r="BH12" s="596">
        <f t="shared" si="48"/>
        <v>2002</v>
      </c>
      <c r="BI12" s="1102">
        <f>'Baseline data (from input)'!AZ58</f>
        <v>84.632747070867467</v>
      </c>
      <c r="BJ12" s="576">
        <f>'Baseline data (from input)'!BA58</f>
        <v>0.14171576136380343</v>
      </c>
      <c r="BK12" s="1103"/>
      <c r="BL12" s="1101">
        <f t="shared" si="49"/>
        <v>84.632747070867467</v>
      </c>
      <c r="BM12" s="576">
        <f t="shared" si="50"/>
        <v>0.14171576136380343</v>
      </c>
      <c r="BN12" s="1103"/>
      <c r="BO12" s="1102">
        <f t="shared" si="6"/>
        <v>84.632747070867467</v>
      </c>
      <c r="BP12" s="417">
        <f t="shared" si="6"/>
        <v>0.14171576136380343</v>
      </c>
      <c r="BQ12" s="1103"/>
      <c r="BR12" s="1101">
        <f>'Baseline data (from input)'!AZ58</f>
        <v>84.632747070867467</v>
      </c>
      <c r="BS12" s="417">
        <f>'Baseline data (from input)'!BA58</f>
        <v>0.14171576136380343</v>
      </c>
      <c r="BT12" s="1103"/>
      <c r="BU12" s="1102">
        <f t="shared" si="7"/>
        <v>84.632747070867467</v>
      </c>
      <c r="BV12" s="417">
        <f t="shared" si="7"/>
        <v>0.14171576136380343</v>
      </c>
      <c r="BW12" s="1103"/>
      <c r="BX12" s="1101">
        <f t="shared" si="51"/>
        <v>84.632747070867467</v>
      </c>
      <c r="BY12" s="417">
        <f t="shared" si="52"/>
        <v>0.14171576136380343</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819.34395354900607</v>
      </c>
      <c r="D13" s="3">
        <f>'4B Biological treatment '!T66</f>
        <v>0</v>
      </c>
      <c r="E13" s="178">
        <f>'4B Biological treatment '!U66</f>
        <v>8.6131473735520565</v>
      </c>
      <c r="F13" s="178">
        <f>'4B Biological treatment '!W66</f>
        <v>0.51678884241312339</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17206.223024529128</v>
      </c>
      <c r="M13" s="3">
        <f t="shared" si="0"/>
        <v>0</v>
      </c>
      <c r="N13" s="419">
        <f t="shared" si="9"/>
        <v>341.08063599266143</v>
      </c>
      <c r="O13" s="518">
        <f t="shared" si="10"/>
        <v>264.99234564808432</v>
      </c>
      <c r="P13" s="419">
        <f t="shared" si="11"/>
        <v>2968.0604444646974</v>
      </c>
      <c r="Q13" s="519">
        <f t="shared" si="12"/>
        <v>17206.223024529128</v>
      </c>
      <c r="R13" s="520">
        <f t="shared" si="13"/>
        <v>341.08063599266143</v>
      </c>
      <c r="S13" s="518">
        <f t="shared" si="14"/>
        <v>264.99234564808432</v>
      </c>
      <c r="T13" s="519">
        <f t="shared" si="15"/>
        <v>2968.0604444646974</v>
      </c>
      <c r="U13" s="519">
        <f t="shared" si="16"/>
        <v>20780.356450634568</v>
      </c>
      <c r="V13" s="3"/>
      <c r="W13" s="596">
        <f t="shared" si="17"/>
        <v>2003</v>
      </c>
      <c r="X13" s="1101">
        <f t="shared" si="18"/>
        <v>17206.223024529128</v>
      </c>
      <c r="Y13" s="1102">
        <f t="shared" si="19"/>
        <v>341.08063599266143</v>
      </c>
      <c r="Z13" s="1102">
        <f t="shared" si="20"/>
        <v>264.99234564808432</v>
      </c>
      <c r="AA13" s="1102">
        <f t="shared" si="21"/>
        <v>2968.0604444646974</v>
      </c>
      <c r="AB13" s="1142">
        <f t="shared" si="22"/>
        <v>20780.356450634568</v>
      </c>
      <c r="AC13" s="1102"/>
      <c r="AD13" s="1101">
        <f t="shared" si="23"/>
        <v>17206.223024529128</v>
      </c>
      <c r="AE13" s="1102">
        <f t="shared" si="24"/>
        <v>341.08063599266143</v>
      </c>
      <c r="AF13" s="1102">
        <f t="shared" si="25"/>
        <v>264.99234564808432</v>
      </c>
      <c r="AG13" s="1102">
        <f t="shared" si="26"/>
        <v>2968.0604444646974</v>
      </c>
      <c r="AH13" s="1142">
        <f t="shared" si="27"/>
        <v>20780.356450634568</v>
      </c>
      <c r="AI13" s="1422"/>
      <c r="AJ13" s="1101">
        <f t="shared" si="28"/>
        <v>17206.223024529128</v>
      </c>
      <c r="AK13" s="1102">
        <f t="shared" si="29"/>
        <v>341.08063599266143</v>
      </c>
      <c r="AL13" s="1102">
        <f t="shared" si="30"/>
        <v>264.99234564808432</v>
      </c>
      <c r="AM13" s="1102">
        <f t="shared" si="31"/>
        <v>2968.0604444646974</v>
      </c>
      <c r="AN13" s="1142">
        <f t="shared" si="32"/>
        <v>20780.356450634568</v>
      </c>
      <c r="AO13" s="1419"/>
      <c r="AP13" s="1101">
        <f t="shared" si="33"/>
        <v>17206.223024529128</v>
      </c>
      <c r="AQ13" s="1102">
        <f t="shared" si="34"/>
        <v>341.08063599266143</v>
      </c>
      <c r="AR13" s="1102">
        <f t="shared" si="35"/>
        <v>264.99234564808432</v>
      </c>
      <c r="AS13" s="1102">
        <f t="shared" si="36"/>
        <v>2968.0604444646974</v>
      </c>
      <c r="AT13" s="1142">
        <f t="shared" si="37"/>
        <v>20780.356450634568</v>
      </c>
      <c r="AU13" s="1414"/>
      <c r="AV13" s="1101">
        <f t="shared" si="38"/>
        <v>17206.223024529128</v>
      </c>
      <c r="AW13" s="1102">
        <f t="shared" si="39"/>
        <v>341.08063599266143</v>
      </c>
      <c r="AX13" s="1102">
        <f t="shared" si="40"/>
        <v>264.99234564808432</v>
      </c>
      <c r="AY13" s="1102">
        <f t="shared" si="41"/>
        <v>2968.0604444646974</v>
      </c>
      <c r="AZ13" s="1142">
        <f t="shared" si="42"/>
        <v>20780.356450634568</v>
      </c>
      <c r="BA13" s="1424"/>
      <c r="BB13" s="1101">
        <f t="shared" si="43"/>
        <v>17206.223024529128</v>
      </c>
      <c r="BC13" s="1102">
        <f t="shared" si="44"/>
        <v>341.08063599266143</v>
      </c>
      <c r="BD13" s="1102">
        <f t="shared" si="45"/>
        <v>264.99234564808432</v>
      </c>
      <c r="BE13" s="1102">
        <f t="shared" si="46"/>
        <v>2968.0604444646974</v>
      </c>
      <c r="BF13" s="1142">
        <f t="shared" si="47"/>
        <v>20780.356450634568</v>
      </c>
      <c r="BG13" s="1427"/>
      <c r="BH13" s="596">
        <f t="shared" si="48"/>
        <v>2003</v>
      </c>
      <c r="BI13" s="1102">
        <f>'Baseline data (from input)'!AZ59</f>
        <v>86.68891227114166</v>
      </c>
      <c r="BJ13" s="576">
        <f>'Baseline data (from input)'!BA59</f>
        <v>0.14851353327100256</v>
      </c>
      <c r="BK13" s="1103"/>
      <c r="BL13" s="1101">
        <f t="shared" si="49"/>
        <v>86.68891227114166</v>
      </c>
      <c r="BM13" s="576">
        <f t="shared" si="50"/>
        <v>0.14851353327100256</v>
      </c>
      <c r="BN13" s="1103"/>
      <c r="BO13" s="1102">
        <f t="shared" si="6"/>
        <v>86.68891227114166</v>
      </c>
      <c r="BP13" s="417">
        <f t="shared" si="6"/>
        <v>0.14851353327100256</v>
      </c>
      <c r="BQ13" s="1103"/>
      <c r="BR13" s="1101">
        <f>'Baseline data (from input)'!AZ59</f>
        <v>86.68891227114166</v>
      </c>
      <c r="BS13" s="417">
        <f>'Baseline data (from input)'!BA59</f>
        <v>0.14851353327100256</v>
      </c>
      <c r="BT13" s="1103"/>
      <c r="BU13" s="1102">
        <f t="shared" si="7"/>
        <v>86.68891227114166</v>
      </c>
      <c r="BV13" s="417">
        <f t="shared" si="7"/>
        <v>0.14851353327100256</v>
      </c>
      <c r="BW13" s="1103"/>
      <c r="BX13" s="1101">
        <f t="shared" si="51"/>
        <v>86.68891227114166</v>
      </c>
      <c r="BY13" s="417">
        <f t="shared" si="52"/>
        <v>0.14851353327100256</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840.61958443899709</v>
      </c>
      <c r="D14" s="3">
        <f>'4B Biological treatment '!T67</f>
        <v>0</v>
      </c>
      <c r="E14" s="178">
        <f>'4B Biological treatment '!U67</f>
        <v>8.8720750845051715</v>
      </c>
      <c r="F14" s="178">
        <f>'4B Biological treatment '!W67</f>
        <v>0.53232450507031026</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17653.011273218937</v>
      </c>
      <c r="M14" s="3">
        <f t="shared" si="0"/>
        <v>0</v>
      </c>
      <c r="N14" s="419">
        <f t="shared" si="9"/>
        <v>351.33417334640478</v>
      </c>
      <c r="O14" s="518">
        <f t="shared" si="10"/>
        <v>268.1470164296091</v>
      </c>
      <c r="P14" s="419">
        <f t="shared" si="11"/>
        <v>3003.3944973749908</v>
      </c>
      <c r="Q14" s="519">
        <f t="shared" si="12"/>
        <v>17653.011273218937</v>
      </c>
      <c r="R14" s="520">
        <f t="shared" si="13"/>
        <v>351.33417334640478</v>
      </c>
      <c r="S14" s="518">
        <f t="shared" si="14"/>
        <v>268.1470164296091</v>
      </c>
      <c r="T14" s="519">
        <f t="shared" si="15"/>
        <v>3003.3944973749908</v>
      </c>
      <c r="U14" s="519">
        <f t="shared" si="16"/>
        <v>21275.886960369939</v>
      </c>
      <c r="V14" s="3"/>
      <c r="W14" s="596">
        <f t="shared" si="17"/>
        <v>2004</v>
      </c>
      <c r="X14" s="1101">
        <f t="shared" si="18"/>
        <v>17653.011273218937</v>
      </c>
      <c r="Y14" s="1102">
        <f t="shared" si="19"/>
        <v>351.33417334640478</v>
      </c>
      <c r="Z14" s="1102">
        <f t="shared" si="20"/>
        <v>268.1470164296091</v>
      </c>
      <c r="AA14" s="1102">
        <f t="shared" si="21"/>
        <v>3003.3944973749908</v>
      </c>
      <c r="AB14" s="1142">
        <f t="shared" si="22"/>
        <v>21275.886960369939</v>
      </c>
      <c r="AC14" s="1102"/>
      <c r="AD14" s="1101">
        <f t="shared" si="23"/>
        <v>17653.011273218937</v>
      </c>
      <c r="AE14" s="1102">
        <f t="shared" si="24"/>
        <v>351.33417334640478</v>
      </c>
      <c r="AF14" s="1102">
        <f t="shared" si="25"/>
        <v>268.1470164296091</v>
      </c>
      <c r="AG14" s="1102">
        <f t="shared" si="26"/>
        <v>3003.3944973749908</v>
      </c>
      <c r="AH14" s="1142">
        <f t="shared" si="27"/>
        <v>21275.886960369939</v>
      </c>
      <c r="AI14" s="1422"/>
      <c r="AJ14" s="1101">
        <f t="shared" si="28"/>
        <v>17653.011273218937</v>
      </c>
      <c r="AK14" s="1102">
        <f t="shared" si="29"/>
        <v>351.33417334640478</v>
      </c>
      <c r="AL14" s="1102">
        <f t="shared" si="30"/>
        <v>268.1470164296091</v>
      </c>
      <c r="AM14" s="1102">
        <f t="shared" si="31"/>
        <v>3003.3944973749908</v>
      </c>
      <c r="AN14" s="1142">
        <f t="shared" si="32"/>
        <v>21275.886960369939</v>
      </c>
      <c r="AO14" s="1419"/>
      <c r="AP14" s="1101">
        <f t="shared" si="33"/>
        <v>17653.011273218937</v>
      </c>
      <c r="AQ14" s="1102">
        <f t="shared" si="34"/>
        <v>351.33417334640478</v>
      </c>
      <c r="AR14" s="1102">
        <f t="shared" si="35"/>
        <v>268.1470164296091</v>
      </c>
      <c r="AS14" s="1102">
        <f t="shared" si="36"/>
        <v>3003.3944973749908</v>
      </c>
      <c r="AT14" s="1142">
        <f t="shared" si="37"/>
        <v>21275.886960369939</v>
      </c>
      <c r="AU14" s="1414"/>
      <c r="AV14" s="1101">
        <f t="shared" si="38"/>
        <v>17653.011273218937</v>
      </c>
      <c r="AW14" s="1102">
        <f t="shared" si="39"/>
        <v>351.33417334640478</v>
      </c>
      <c r="AX14" s="1102">
        <f t="shared" si="40"/>
        <v>268.1470164296091</v>
      </c>
      <c r="AY14" s="1102">
        <f t="shared" si="41"/>
        <v>3003.3944973749908</v>
      </c>
      <c r="AZ14" s="1142">
        <f t="shared" si="42"/>
        <v>21275.886960369939</v>
      </c>
      <c r="BA14" s="1424"/>
      <c r="BB14" s="1101">
        <f t="shared" si="43"/>
        <v>17653.011273218937</v>
      </c>
      <c r="BC14" s="1102">
        <f t="shared" si="44"/>
        <v>351.33417334640478</v>
      </c>
      <c r="BD14" s="1102">
        <f t="shared" si="45"/>
        <v>268.1470164296091</v>
      </c>
      <c r="BE14" s="1102">
        <f t="shared" si="46"/>
        <v>3003.3944973749908</v>
      </c>
      <c r="BF14" s="1142">
        <f t="shared" si="47"/>
        <v>21275.886960369939</v>
      </c>
      <c r="BG14" s="1427"/>
      <c r="BH14" s="596">
        <f t="shared" si="48"/>
        <v>2004</v>
      </c>
      <c r="BI14" s="1102">
        <f>'Baseline data (from input)'!AZ60</f>
        <v>89.739375778625487</v>
      </c>
      <c r="BJ14" s="576">
        <f>'Baseline data (from input)'!BA60</f>
        <v>0.15516280087799594</v>
      </c>
      <c r="BK14" s="1103"/>
      <c r="BL14" s="1101">
        <f t="shared" si="49"/>
        <v>89.739375778625487</v>
      </c>
      <c r="BM14" s="576">
        <f t="shared" si="50"/>
        <v>0.15516280087799594</v>
      </c>
      <c r="BN14" s="1103"/>
      <c r="BO14" s="1102">
        <f t="shared" si="6"/>
        <v>89.739375778625487</v>
      </c>
      <c r="BP14" s="417">
        <f t="shared" si="6"/>
        <v>0.15516280087799594</v>
      </c>
      <c r="BQ14" s="1103"/>
      <c r="BR14" s="1101">
        <f>'Baseline data (from input)'!AZ60</f>
        <v>89.739375778625487</v>
      </c>
      <c r="BS14" s="417">
        <f>'Baseline data (from input)'!BA60</f>
        <v>0.15516280087799594</v>
      </c>
      <c r="BT14" s="1103"/>
      <c r="BU14" s="1102">
        <f t="shared" si="7"/>
        <v>89.739375778625487</v>
      </c>
      <c r="BV14" s="417">
        <f t="shared" si="7"/>
        <v>0.15516280087799594</v>
      </c>
      <c r="BW14" s="1103"/>
      <c r="BX14" s="1101">
        <f t="shared" si="51"/>
        <v>89.739375778625487</v>
      </c>
      <c r="BY14" s="417">
        <f t="shared" si="52"/>
        <v>0.15516280087799594</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859.36785637779712</v>
      </c>
      <c r="D15" s="3">
        <f>'4B Biological treatment '!T68</f>
        <v>0</v>
      </c>
      <c r="E15" s="178">
        <f>'4B Biological treatment '!U68</f>
        <v>9.1743886374952961</v>
      </c>
      <c r="F15" s="178">
        <f>'4B Biological treatment '!W68</f>
        <v>0.55046331824971773</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18046.724983933738</v>
      </c>
      <c r="M15" s="3">
        <f t="shared" si="0"/>
        <v>0</v>
      </c>
      <c r="N15" s="419">
        <f t="shared" si="9"/>
        <v>363.30579004481376</v>
      </c>
      <c r="O15" s="518">
        <f t="shared" si="10"/>
        <v>271.20974780766511</v>
      </c>
      <c r="P15" s="419">
        <f t="shared" si="11"/>
        <v>3037.6987782514689</v>
      </c>
      <c r="Q15" s="519">
        <f t="shared" si="12"/>
        <v>18046.724983933738</v>
      </c>
      <c r="R15" s="520">
        <f t="shared" si="13"/>
        <v>363.30579004481376</v>
      </c>
      <c r="S15" s="518">
        <f t="shared" si="14"/>
        <v>271.20974780766511</v>
      </c>
      <c r="T15" s="519">
        <f t="shared" si="15"/>
        <v>3037.6987782514689</v>
      </c>
      <c r="U15" s="519">
        <f t="shared" si="16"/>
        <v>21718.939300037688</v>
      </c>
      <c r="V15" s="3"/>
      <c r="W15" s="596">
        <f t="shared" si="17"/>
        <v>2005</v>
      </c>
      <c r="X15" s="1101">
        <f t="shared" si="18"/>
        <v>18046.724983933738</v>
      </c>
      <c r="Y15" s="1102">
        <f t="shared" si="19"/>
        <v>363.30579004481376</v>
      </c>
      <c r="Z15" s="1102">
        <f t="shared" si="20"/>
        <v>271.20974780766511</v>
      </c>
      <c r="AA15" s="1102">
        <f t="shared" si="21"/>
        <v>3037.6987782514689</v>
      </c>
      <c r="AB15" s="1142">
        <f t="shared" si="22"/>
        <v>21718.939300037688</v>
      </c>
      <c r="AC15" s="1102"/>
      <c r="AD15" s="1101">
        <f t="shared" si="23"/>
        <v>18046.724983933738</v>
      </c>
      <c r="AE15" s="1102">
        <f t="shared" si="24"/>
        <v>363.30579004481376</v>
      </c>
      <c r="AF15" s="1102">
        <f t="shared" si="25"/>
        <v>271.20974780766511</v>
      </c>
      <c r="AG15" s="1102">
        <f t="shared" si="26"/>
        <v>3037.6987782514689</v>
      </c>
      <c r="AH15" s="1142">
        <f t="shared" si="27"/>
        <v>21718.939300037688</v>
      </c>
      <c r="AI15" s="1422"/>
      <c r="AJ15" s="1101">
        <f t="shared" si="28"/>
        <v>18046.724983933738</v>
      </c>
      <c r="AK15" s="1102">
        <f t="shared" si="29"/>
        <v>363.30579004481376</v>
      </c>
      <c r="AL15" s="1102">
        <f t="shared" si="30"/>
        <v>271.20974780766511</v>
      </c>
      <c r="AM15" s="1102">
        <f t="shared" si="31"/>
        <v>3037.6987782514689</v>
      </c>
      <c r="AN15" s="1142">
        <f t="shared" si="32"/>
        <v>21718.939300037688</v>
      </c>
      <c r="AO15" s="1419"/>
      <c r="AP15" s="1101">
        <f t="shared" si="33"/>
        <v>18046.724983933738</v>
      </c>
      <c r="AQ15" s="1102">
        <f t="shared" si="34"/>
        <v>363.30579004481376</v>
      </c>
      <c r="AR15" s="1102">
        <f t="shared" si="35"/>
        <v>271.20974780766511</v>
      </c>
      <c r="AS15" s="1102">
        <f t="shared" si="36"/>
        <v>3037.6987782514689</v>
      </c>
      <c r="AT15" s="1142">
        <f t="shared" si="37"/>
        <v>21718.939300037688</v>
      </c>
      <c r="AU15" s="1414"/>
      <c r="AV15" s="1101">
        <f t="shared" si="38"/>
        <v>18046.724983933738</v>
      </c>
      <c r="AW15" s="1102">
        <f t="shared" si="39"/>
        <v>363.30579004481376</v>
      </c>
      <c r="AX15" s="1102">
        <f t="shared" si="40"/>
        <v>271.20974780766511</v>
      </c>
      <c r="AY15" s="1102">
        <f t="shared" si="41"/>
        <v>3037.6987782514689</v>
      </c>
      <c r="AZ15" s="1142">
        <f t="shared" si="42"/>
        <v>21718.939300037688</v>
      </c>
      <c r="BA15" s="1424"/>
      <c r="BB15" s="1101">
        <f t="shared" si="43"/>
        <v>18046.724983933738</v>
      </c>
      <c r="BC15" s="1102">
        <f t="shared" si="44"/>
        <v>363.30579004481376</v>
      </c>
      <c r="BD15" s="1102">
        <f t="shared" si="45"/>
        <v>271.20974780766511</v>
      </c>
      <c r="BE15" s="1102">
        <f t="shared" si="46"/>
        <v>3037.6987782514689</v>
      </c>
      <c r="BF15" s="1142">
        <f t="shared" si="47"/>
        <v>21718.939300037688</v>
      </c>
      <c r="BG15" s="1427"/>
      <c r="BH15" s="596">
        <f t="shared" si="48"/>
        <v>2005</v>
      </c>
      <c r="BI15" s="1102">
        <f>'Baseline data (from input)'!AZ61</f>
        <v>93.358291455940389</v>
      </c>
      <c r="BJ15" s="576">
        <f>'Baseline data (from input)'!BA61</f>
        <v>0.16187656878153692</v>
      </c>
      <c r="BK15" s="1103"/>
      <c r="BL15" s="1101">
        <f t="shared" si="49"/>
        <v>93.358291455940389</v>
      </c>
      <c r="BM15" s="576">
        <f t="shared" si="50"/>
        <v>0.16187656878153692</v>
      </c>
      <c r="BN15" s="1103"/>
      <c r="BO15" s="1102">
        <f t="shared" si="6"/>
        <v>93.358291455940389</v>
      </c>
      <c r="BP15" s="417">
        <f t="shared" si="6"/>
        <v>0.16187656878153692</v>
      </c>
      <c r="BQ15" s="1103"/>
      <c r="BR15" s="1101">
        <f>'Baseline data (from input)'!AZ61</f>
        <v>93.358291455940389</v>
      </c>
      <c r="BS15" s="417">
        <f>'Baseline data (from input)'!BA61</f>
        <v>0.16187656878153692</v>
      </c>
      <c r="BT15" s="1103"/>
      <c r="BU15" s="1102">
        <f t="shared" si="7"/>
        <v>93.358291455940389</v>
      </c>
      <c r="BV15" s="417">
        <f t="shared" si="7"/>
        <v>0.16187656878153692</v>
      </c>
      <c r="BW15" s="1103"/>
      <c r="BX15" s="1101">
        <f t="shared" si="51"/>
        <v>93.358291455940389</v>
      </c>
      <c r="BY15" s="417">
        <f t="shared" si="52"/>
        <v>0.16187656878153692</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875.72357501711747</v>
      </c>
      <c r="D16" s="3">
        <f>'4B Biological treatment '!T69</f>
        <v>0</v>
      </c>
      <c r="E16" s="178">
        <f>'4B Biological treatment '!U69</f>
        <v>9.5069571111319693</v>
      </c>
      <c r="F16" s="178">
        <f>'4B Biological treatment '!W69</f>
        <v>0.57041742666791817</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18390.195075359468</v>
      </c>
      <c r="M16" s="3">
        <f t="shared" si="0"/>
        <v>0</v>
      </c>
      <c r="N16" s="419">
        <f t="shared" si="9"/>
        <v>376.47550160082596</v>
      </c>
      <c r="O16" s="518">
        <f t="shared" si="10"/>
        <v>274.27247918572107</v>
      </c>
      <c r="P16" s="419">
        <f t="shared" si="11"/>
        <v>3072.0030591279478</v>
      </c>
      <c r="Q16" s="519">
        <f t="shared" si="12"/>
        <v>18390.195075359468</v>
      </c>
      <c r="R16" s="520">
        <f t="shared" si="13"/>
        <v>376.47550160082596</v>
      </c>
      <c r="S16" s="518">
        <f t="shared" si="14"/>
        <v>274.27247918572107</v>
      </c>
      <c r="T16" s="519">
        <f t="shared" si="15"/>
        <v>3072.0030591279478</v>
      </c>
      <c r="U16" s="519">
        <f t="shared" si="16"/>
        <v>22112.946115273964</v>
      </c>
      <c r="V16" s="3"/>
      <c r="W16" s="596">
        <f t="shared" si="17"/>
        <v>2006</v>
      </c>
      <c r="X16" s="1101">
        <f t="shared" si="18"/>
        <v>18390.195075359468</v>
      </c>
      <c r="Y16" s="1102">
        <f t="shared" si="19"/>
        <v>376.47550160082596</v>
      </c>
      <c r="Z16" s="1102">
        <f t="shared" si="20"/>
        <v>274.27247918572107</v>
      </c>
      <c r="AA16" s="1102">
        <f t="shared" si="21"/>
        <v>3072.0030591279478</v>
      </c>
      <c r="AB16" s="1142">
        <f t="shared" si="22"/>
        <v>22112.946115273964</v>
      </c>
      <c r="AC16" s="1102"/>
      <c r="AD16" s="1101">
        <f t="shared" si="23"/>
        <v>18390.195075359468</v>
      </c>
      <c r="AE16" s="1102">
        <f t="shared" si="24"/>
        <v>376.47550160082596</v>
      </c>
      <c r="AF16" s="1102">
        <f t="shared" si="25"/>
        <v>274.27247918572107</v>
      </c>
      <c r="AG16" s="1102">
        <f t="shared" si="26"/>
        <v>3072.0030591279478</v>
      </c>
      <c r="AH16" s="1142">
        <f t="shared" si="27"/>
        <v>22112.946115273964</v>
      </c>
      <c r="AI16" s="1422"/>
      <c r="AJ16" s="1101">
        <f t="shared" si="28"/>
        <v>18390.195075359468</v>
      </c>
      <c r="AK16" s="1102">
        <f t="shared" si="29"/>
        <v>376.47550160082596</v>
      </c>
      <c r="AL16" s="1102">
        <f t="shared" si="30"/>
        <v>274.27247918572107</v>
      </c>
      <c r="AM16" s="1102">
        <f t="shared" si="31"/>
        <v>3072.0030591279478</v>
      </c>
      <c r="AN16" s="1142">
        <f t="shared" si="32"/>
        <v>22112.946115273964</v>
      </c>
      <c r="AO16" s="1419"/>
      <c r="AP16" s="1101">
        <f t="shared" si="33"/>
        <v>18390.195075359468</v>
      </c>
      <c r="AQ16" s="1102">
        <f t="shared" si="34"/>
        <v>376.47550160082596</v>
      </c>
      <c r="AR16" s="1102">
        <f t="shared" si="35"/>
        <v>274.27247918572107</v>
      </c>
      <c r="AS16" s="1102">
        <f t="shared" si="36"/>
        <v>3072.0030591279478</v>
      </c>
      <c r="AT16" s="1142">
        <f t="shared" si="37"/>
        <v>22112.946115273964</v>
      </c>
      <c r="AU16" s="1414"/>
      <c r="AV16" s="1101">
        <f t="shared" si="38"/>
        <v>18390.195075359468</v>
      </c>
      <c r="AW16" s="1102">
        <f t="shared" si="39"/>
        <v>376.47550160082596</v>
      </c>
      <c r="AX16" s="1102">
        <f t="shared" si="40"/>
        <v>274.27247918572107</v>
      </c>
      <c r="AY16" s="1102">
        <f t="shared" si="41"/>
        <v>3072.0030591279478</v>
      </c>
      <c r="AZ16" s="1142">
        <f t="shared" si="42"/>
        <v>22112.946115273964</v>
      </c>
      <c r="BA16" s="1424"/>
      <c r="BB16" s="1101">
        <f t="shared" si="43"/>
        <v>18390.195075359468</v>
      </c>
      <c r="BC16" s="1102">
        <f t="shared" si="44"/>
        <v>376.47550160082596</v>
      </c>
      <c r="BD16" s="1102">
        <f t="shared" si="45"/>
        <v>274.27247918572107</v>
      </c>
      <c r="BE16" s="1102">
        <f t="shared" si="46"/>
        <v>3072.0030591279478</v>
      </c>
      <c r="BF16" s="1142">
        <f t="shared" si="47"/>
        <v>22112.946115273964</v>
      </c>
      <c r="BG16" s="1427"/>
      <c r="BH16" s="596">
        <f t="shared" si="48"/>
        <v>2006</v>
      </c>
      <c r="BI16" s="1102">
        <f>'Baseline data (from input)'!AZ62</f>
        <v>97.367692650767196</v>
      </c>
      <c r="BJ16" s="576">
        <f>'Baseline data (from input)'!BA62</f>
        <v>0.16873910759300498</v>
      </c>
      <c r="BK16" s="1103"/>
      <c r="BL16" s="1101">
        <f t="shared" si="49"/>
        <v>97.367692650767196</v>
      </c>
      <c r="BM16" s="576">
        <f t="shared" si="50"/>
        <v>0.16873910759300498</v>
      </c>
      <c r="BN16" s="1103"/>
      <c r="BO16" s="1102">
        <f t="shared" si="6"/>
        <v>97.367692650767196</v>
      </c>
      <c r="BP16" s="417">
        <f t="shared" si="6"/>
        <v>0.16873910759300498</v>
      </c>
      <c r="BQ16" s="1103"/>
      <c r="BR16" s="1101">
        <f>'Baseline data (from input)'!AZ62</f>
        <v>97.367692650767196</v>
      </c>
      <c r="BS16" s="417">
        <f>'Baseline data (from input)'!BA62</f>
        <v>0.16873910759300498</v>
      </c>
      <c r="BT16" s="1103"/>
      <c r="BU16" s="1102">
        <f t="shared" si="7"/>
        <v>97.367692650767196</v>
      </c>
      <c r="BV16" s="417">
        <f t="shared" si="7"/>
        <v>0.16873910759300498</v>
      </c>
      <c r="BW16" s="1103"/>
      <c r="BX16" s="1101">
        <f t="shared" si="51"/>
        <v>97.367692650767196</v>
      </c>
      <c r="BY16" s="417">
        <f t="shared" si="52"/>
        <v>0.16873910759300498</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889.68294710567761</v>
      </c>
      <c r="D17" s="3">
        <f>'4B Biological treatment '!T70</f>
        <v>0</v>
      </c>
      <c r="E17" s="178">
        <f>'4B Biological treatment '!U70</f>
        <v>9.8418440635703632</v>
      </c>
      <c r="F17" s="178">
        <f>'4B Biological treatment '!W70</f>
        <v>0.5905106438142218</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18683.341889219231</v>
      </c>
      <c r="M17" s="3">
        <f t="shared" si="0"/>
        <v>0</v>
      </c>
      <c r="N17" s="419">
        <f t="shared" si="9"/>
        <v>389.73702491738641</v>
      </c>
      <c r="O17" s="518">
        <f t="shared" si="10"/>
        <v>277.29498707475938</v>
      </c>
      <c r="P17" s="419">
        <f t="shared" si="11"/>
        <v>3105.8568147396318</v>
      </c>
      <c r="Q17" s="519">
        <f t="shared" si="12"/>
        <v>18683.341889219231</v>
      </c>
      <c r="R17" s="520">
        <f t="shared" si="13"/>
        <v>389.73702491738641</v>
      </c>
      <c r="S17" s="518">
        <f t="shared" si="14"/>
        <v>277.29498707475938</v>
      </c>
      <c r="T17" s="519">
        <f t="shared" si="15"/>
        <v>3105.8568147396318</v>
      </c>
      <c r="U17" s="519">
        <f t="shared" si="16"/>
        <v>22456.230715951009</v>
      </c>
      <c r="V17" s="3"/>
      <c r="W17" s="596">
        <f t="shared" si="17"/>
        <v>2007</v>
      </c>
      <c r="X17" s="1101">
        <f t="shared" si="18"/>
        <v>18683.341889219231</v>
      </c>
      <c r="Y17" s="1102">
        <f t="shared" si="19"/>
        <v>389.73702491738641</v>
      </c>
      <c r="Z17" s="1102">
        <f t="shared" si="20"/>
        <v>277.29498707475938</v>
      </c>
      <c r="AA17" s="1102">
        <f t="shared" si="21"/>
        <v>3105.8568147396318</v>
      </c>
      <c r="AB17" s="1142">
        <f t="shared" si="22"/>
        <v>22456.230715951009</v>
      </c>
      <c r="AC17" s="1102"/>
      <c r="AD17" s="1101">
        <f t="shared" si="23"/>
        <v>18683.341889219231</v>
      </c>
      <c r="AE17" s="1102">
        <f t="shared" si="24"/>
        <v>389.73702491738641</v>
      </c>
      <c r="AF17" s="1102">
        <f t="shared" si="25"/>
        <v>277.29498707475938</v>
      </c>
      <c r="AG17" s="1102">
        <f t="shared" si="26"/>
        <v>3105.8568147396318</v>
      </c>
      <c r="AH17" s="1142">
        <f t="shared" si="27"/>
        <v>22456.230715951009</v>
      </c>
      <c r="AI17" s="1422"/>
      <c r="AJ17" s="1101">
        <f t="shared" si="28"/>
        <v>18683.341889219231</v>
      </c>
      <c r="AK17" s="1102">
        <f t="shared" si="29"/>
        <v>389.73702491738641</v>
      </c>
      <c r="AL17" s="1102">
        <f t="shared" si="30"/>
        <v>277.29498707475938</v>
      </c>
      <c r="AM17" s="1102">
        <f t="shared" si="31"/>
        <v>3105.8568147396318</v>
      </c>
      <c r="AN17" s="1142">
        <f t="shared" si="32"/>
        <v>22456.230715951009</v>
      </c>
      <c r="AO17" s="1419"/>
      <c r="AP17" s="1101">
        <f t="shared" si="33"/>
        <v>18683.341889219231</v>
      </c>
      <c r="AQ17" s="1102">
        <f t="shared" si="34"/>
        <v>389.73702491738641</v>
      </c>
      <c r="AR17" s="1102">
        <f t="shared" si="35"/>
        <v>277.29498707475938</v>
      </c>
      <c r="AS17" s="1102">
        <f t="shared" si="36"/>
        <v>3105.8568147396318</v>
      </c>
      <c r="AT17" s="1142">
        <f t="shared" si="37"/>
        <v>22456.230715951009</v>
      </c>
      <c r="AU17" s="1414"/>
      <c r="AV17" s="1101">
        <f t="shared" si="38"/>
        <v>18683.341889219231</v>
      </c>
      <c r="AW17" s="1102">
        <f t="shared" si="39"/>
        <v>389.73702491738641</v>
      </c>
      <c r="AX17" s="1102">
        <f t="shared" si="40"/>
        <v>277.29498707475938</v>
      </c>
      <c r="AY17" s="1102">
        <f t="shared" si="41"/>
        <v>3105.8568147396318</v>
      </c>
      <c r="AZ17" s="1142">
        <f t="shared" si="42"/>
        <v>22456.230715951009</v>
      </c>
      <c r="BA17" s="1424"/>
      <c r="BB17" s="1101">
        <f t="shared" si="43"/>
        <v>18683.341889219231</v>
      </c>
      <c r="BC17" s="1102">
        <f t="shared" si="44"/>
        <v>389.73702491738641</v>
      </c>
      <c r="BD17" s="1102">
        <f t="shared" si="45"/>
        <v>277.29498707475938</v>
      </c>
      <c r="BE17" s="1102">
        <f t="shared" si="46"/>
        <v>3105.8568147396318</v>
      </c>
      <c r="BF17" s="1142">
        <f t="shared" si="47"/>
        <v>22456.230715951009</v>
      </c>
      <c r="BG17" s="1427"/>
      <c r="BH17" s="596">
        <f t="shared" si="48"/>
        <v>2007</v>
      </c>
      <c r="BI17" s="1102">
        <f>'Baseline data (from input)'!AZ63</f>
        <v>101.41073268047464</v>
      </c>
      <c r="BJ17" s="576">
        <f>'Baseline data (from input)'!BA63</f>
        <v>0.17580272896813717</v>
      </c>
      <c r="BK17" s="1103"/>
      <c r="BL17" s="1101">
        <f t="shared" si="49"/>
        <v>101.41073268047464</v>
      </c>
      <c r="BM17" s="576">
        <f t="shared" si="50"/>
        <v>0.17580272896813717</v>
      </c>
      <c r="BN17" s="1103"/>
      <c r="BO17" s="1102">
        <f t="shared" si="6"/>
        <v>101.41073268047464</v>
      </c>
      <c r="BP17" s="417">
        <f t="shared" si="6"/>
        <v>0.17580272896813717</v>
      </c>
      <c r="BQ17" s="1103"/>
      <c r="BR17" s="1101">
        <f>'Baseline data (from input)'!AZ63</f>
        <v>101.41073268047464</v>
      </c>
      <c r="BS17" s="417">
        <f>'Baseline data (from input)'!BA63</f>
        <v>0.17580272896813717</v>
      </c>
      <c r="BT17" s="1103"/>
      <c r="BU17" s="1102">
        <f t="shared" si="7"/>
        <v>101.41073268047464</v>
      </c>
      <c r="BV17" s="417">
        <f t="shared" si="7"/>
        <v>0.17580272896813717</v>
      </c>
      <c r="BW17" s="1103"/>
      <c r="BX17" s="1101">
        <f t="shared" si="51"/>
        <v>101.41073268047464</v>
      </c>
      <c r="BY17" s="417">
        <f t="shared" si="52"/>
        <v>0.17580272896813717</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901.08450559142307</v>
      </c>
      <c r="D18" s="3">
        <f>'4B Biological treatment '!T71</f>
        <v>0</v>
      </c>
      <c r="E18" s="178">
        <f>'4B Biological treatment '!U71</f>
        <v>10.069602347249996</v>
      </c>
      <c r="F18" s="178">
        <f>'4B Biological treatment '!W71</f>
        <v>0.60417614083499971</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18922.774617419884</v>
      </c>
      <c r="M18" s="3">
        <f t="shared" si="0"/>
        <v>0</v>
      </c>
      <c r="N18" s="419">
        <f t="shared" si="9"/>
        <v>398.75625295109984</v>
      </c>
      <c r="O18" s="518">
        <f t="shared" si="10"/>
        <v>280.37495709096584</v>
      </c>
      <c r="P18" s="419">
        <f t="shared" si="11"/>
        <v>3140.3541778724511</v>
      </c>
      <c r="Q18" s="519">
        <f t="shared" si="12"/>
        <v>18922.774617419884</v>
      </c>
      <c r="R18" s="520">
        <f t="shared" si="13"/>
        <v>398.75625295109984</v>
      </c>
      <c r="S18" s="518">
        <f t="shared" si="14"/>
        <v>280.37495709096584</v>
      </c>
      <c r="T18" s="519">
        <f t="shared" si="15"/>
        <v>3140.3541778724511</v>
      </c>
      <c r="U18" s="519">
        <f t="shared" si="16"/>
        <v>22742.260005334403</v>
      </c>
      <c r="V18" s="3"/>
      <c r="W18" s="596">
        <f t="shared" si="17"/>
        <v>2008</v>
      </c>
      <c r="X18" s="1101">
        <f t="shared" si="18"/>
        <v>18922.774617419884</v>
      </c>
      <c r="Y18" s="1102">
        <f t="shared" si="19"/>
        <v>398.75625295109984</v>
      </c>
      <c r="Z18" s="1102">
        <f t="shared" si="20"/>
        <v>280.37495709096584</v>
      </c>
      <c r="AA18" s="1102">
        <f t="shared" si="21"/>
        <v>3140.3541778724511</v>
      </c>
      <c r="AB18" s="1142">
        <f t="shared" si="22"/>
        <v>22742.260005334403</v>
      </c>
      <c r="AC18" s="1102"/>
      <c r="AD18" s="1101">
        <f t="shared" si="23"/>
        <v>18922.774617419884</v>
      </c>
      <c r="AE18" s="1102">
        <f t="shared" si="24"/>
        <v>398.75625295109984</v>
      </c>
      <c r="AF18" s="1102">
        <f t="shared" si="25"/>
        <v>280.37495709096584</v>
      </c>
      <c r="AG18" s="1102">
        <f t="shared" si="26"/>
        <v>3140.3541778724511</v>
      </c>
      <c r="AH18" s="1142">
        <f t="shared" si="27"/>
        <v>22742.260005334403</v>
      </c>
      <c r="AI18" s="1422"/>
      <c r="AJ18" s="1101">
        <f t="shared" si="28"/>
        <v>18922.774617419884</v>
      </c>
      <c r="AK18" s="1102">
        <f t="shared" si="29"/>
        <v>398.75625295109984</v>
      </c>
      <c r="AL18" s="1102">
        <f t="shared" si="30"/>
        <v>280.37495709096584</v>
      </c>
      <c r="AM18" s="1102">
        <f t="shared" si="31"/>
        <v>3140.3541778724511</v>
      </c>
      <c r="AN18" s="1142">
        <f t="shared" si="32"/>
        <v>22742.260005334403</v>
      </c>
      <c r="AO18" s="1419"/>
      <c r="AP18" s="1101">
        <f t="shared" si="33"/>
        <v>18922.774617419884</v>
      </c>
      <c r="AQ18" s="1102">
        <f t="shared" si="34"/>
        <v>398.75625295109984</v>
      </c>
      <c r="AR18" s="1102">
        <f t="shared" si="35"/>
        <v>280.37495709096584</v>
      </c>
      <c r="AS18" s="1102">
        <f t="shared" si="36"/>
        <v>3140.3541778724511</v>
      </c>
      <c r="AT18" s="1142">
        <f t="shared" si="37"/>
        <v>22742.260005334403</v>
      </c>
      <c r="AU18" s="1414"/>
      <c r="AV18" s="1101">
        <f t="shared" si="38"/>
        <v>18922.774617419884</v>
      </c>
      <c r="AW18" s="1102">
        <f t="shared" si="39"/>
        <v>398.75625295109984</v>
      </c>
      <c r="AX18" s="1102">
        <f t="shared" si="40"/>
        <v>280.37495709096584</v>
      </c>
      <c r="AY18" s="1102">
        <f t="shared" si="41"/>
        <v>3140.3541778724511</v>
      </c>
      <c r="AZ18" s="1142">
        <f t="shared" si="42"/>
        <v>22742.260005334403</v>
      </c>
      <c r="BA18" s="1424"/>
      <c r="BB18" s="1101">
        <f t="shared" si="43"/>
        <v>18922.774617419884</v>
      </c>
      <c r="BC18" s="1102">
        <f t="shared" si="44"/>
        <v>398.75625295109984</v>
      </c>
      <c r="BD18" s="1102">
        <f t="shared" si="45"/>
        <v>280.37495709096584</v>
      </c>
      <c r="BE18" s="1102">
        <f t="shared" si="46"/>
        <v>3140.3541778724511</v>
      </c>
      <c r="BF18" s="1142">
        <f t="shared" si="47"/>
        <v>22742.260005334403</v>
      </c>
      <c r="BG18" s="1427"/>
      <c r="BH18" s="596">
        <f t="shared" si="48"/>
        <v>2008</v>
      </c>
      <c r="BI18" s="1102">
        <f>'Baseline data (from input)'!AZ64</f>
        <v>104.06580753108338</v>
      </c>
      <c r="BJ18" s="576">
        <f>'Baseline data (from input)'!BA64</f>
        <v>0.1831353355645457</v>
      </c>
      <c r="BK18" s="1103"/>
      <c r="BL18" s="1101">
        <f t="shared" si="49"/>
        <v>104.06580753108338</v>
      </c>
      <c r="BM18" s="576">
        <f t="shared" si="50"/>
        <v>0.1831353355645457</v>
      </c>
      <c r="BN18" s="1103"/>
      <c r="BO18" s="1102">
        <f t="shared" si="6"/>
        <v>104.06580753108338</v>
      </c>
      <c r="BP18" s="417">
        <f t="shared" si="6"/>
        <v>0.1831353355645457</v>
      </c>
      <c r="BQ18" s="1103"/>
      <c r="BR18" s="1101">
        <f>'Baseline data (from input)'!AZ64</f>
        <v>104.06580753108338</v>
      </c>
      <c r="BS18" s="417">
        <f>'Baseline data (from input)'!BA64</f>
        <v>0.1831353355645457</v>
      </c>
      <c r="BT18" s="1103"/>
      <c r="BU18" s="1102">
        <f t="shared" si="7"/>
        <v>104.06580753108338</v>
      </c>
      <c r="BV18" s="417">
        <f t="shared" si="7"/>
        <v>0.1831353355645457</v>
      </c>
      <c r="BW18" s="1103"/>
      <c r="BX18" s="1101">
        <f t="shared" si="51"/>
        <v>104.06580753108338</v>
      </c>
      <c r="BY18" s="417">
        <f t="shared" si="52"/>
        <v>0.1831353355645457</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909.42389212194837</v>
      </c>
      <c r="D19" s="3">
        <f>'4B Biological treatment '!T72</f>
        <v>0</v>
      </c>
      <c r="E19" s="178">
        <f>'4B Biological treatment '!U72</f>
        <v>10.024540160397191</v>
      </c>
      <c r="F19" s="178">
        <f>'4B Biological treatment '!W72</f>
        <v>0.60147240962383142</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19097.901734560917</v>
      </c>
      <c r="M19" s="3">
        <f t="shared" si="0"/>
        <v>0</v>
      </c>
      <c r="N19" s="419">
        <f t="shared" si="9"/>
        <v>396.97179035172871</v>
      </c>
      <c r="O19" s="518">
        <f t="shared" si="10"/>
        <v>283.40321119272096</v>
      </c>
      <c r="P19" s="419">
        <f t="shared" si="11"/>
        <v>3174.2722942362484</v>
      </c>
      <c r="Q19" s="519">
        <f t="shared" si="12"/>
        <v>19097.901734560917</v>
      </c>
      <c r="R19" s="520">
        <f t="shared" si="13"/>
        <v>396.97179035172871</v>
      </c>
      <c r="S19" s="518">
        <f t="shared" si="14"/>
        <v>283.40321119272096</v>
      </c>
      <c r="T19" s="519">
        <f t="shared" si="15"/>
        <v>3174.2722942362484</v>
      </c>
      <c r="U19" s="519">
        <f t="shared" si="16"/>
        <v>22952.549030341619</v>
      </c>
      <c r="V19" s="3"/>
      <c r="W19" s="596">
        <f t="shared" si="17"/>
        <v>2009</v>
      </c>
      <c r="X19" s="1101">
        <f t="shared" si="18"/>
        <v>19097.901734560917</v>
      </c>
      <c r="Y19" s="1102">
        <f t="shared" si="19"/>
        <v>396.97179035172871</v>
      </c>
      <c r="Z19" s="1102">
        <f t="shared" si="20"/>
        <v>283.40321119272096</v>
      </c>
      <c r="AA19" s="1102">
        <f t="shared" si="21"/>
        <v>3174.2722942362484</v>
      </c>
      <c r="AB19" s="1142">
        <f t="shared" si="22"/>
        <v>22952.549030341619</v>
      </c>
      <c r="AC19" s="1102"/>
      <c r="AD19" s="1101">
        <f t="shared" si="23"/>
        <v>19097.901734560917</v>
      </c>
      <c r="AE19" s="1102">
        <f t="shared" si="24"/>
        <v>396.97179035172871</v>
      </c>
      <c r="AF19" s="1102">
        <f t="shared" si="25"/>
        <v>283.40321119272096</v>
      </c>
      <c r="AG19" s="1102">
        <f t="shared" si="26"/>
        <v>3174.2722942362484</v>
      </c>
      <c r="AH19" s="1142">
        <f t="shared" si="27"/>
        <v>22952.549030341619</v>
      </c>
      <c r="AI19" s="1422"/>
      <c r="AJ19" s="1101">
        <f t="shared" si="28"/>
        <v>19097.901734560917</v>
      </c>
      <c r="AK19" s="1102">
        <f t="shared" si="29"/>
        <v>396.97179035172871</v>
      </c>
      <c r="AL19" s="1102">
        <f t="shared" si="30"/>
        <v>283.40321119272096</v>
      </c>
      <c r="AM19" s="1102">
        <f t="shared" si="31"/>
        <v>3174.2722942362484</v>
      </c>
      <c r="AN19" s="1142">
        <f t="shared" si="32"/>
        <v>22952.549030341619</v>
      </c>
      <c r="AO19" s="1419"/>
      <c r="AP19" s="1101">
        <f t="shared" si="33"/>
        <v>19097.901734560917</v>
      </c>
      <c r="AQ19" s="1102">
        <f t="shared" si="34"/>
        <v>396.97179035172871</v>
      </c>
      <c r="AR19" s="1102">
        <f t="shared" si="35"/>
        <v>283.40321119272096</v>
      </c>
      <c r="AS19" s="1102">
        <f t="shared" si="36"/>
        <v>3174.2722942362484</v>
      </c>
      <c r="AT19" s="1142">
        <f t="shared" si="37"/>
        <v>22952.549030341619</v>
      </c>
      <c r="AU19" s="1414"/>
      <c r="AV19" s="1101">
        <f t="shared" si="38"/>
        <v>19097.901734560917</v>
      </c>
      <c r="AW19" s="1102">
        <f t="shared" si="39"/>
        <v>396.97179035172871</v>
      </c>
      <c r="AX19" s="1102">
        <f t="shared" si="40"/>
        <v>283.40321119272096</v>
      </c>
      <c r="AY19" s="1102">
        <f t="shared" si="41"/>
        <v>3174.2722942362484</v>
      </c>
      <c r="AZ19" s="1142">
        <f t="shared" si="42"/>
        <v>22952.549030341619</v>
      </c>
      <c r="BA19" s="1424"/>
      <c r="BB19" s="1101">
        <f t="shared" si="43"/>
        <v>19097.901734560917</v>
      </c>
      <c r="BC19" s="1102">
        <f t="shared" si="44"/>
        <v>396.97179035172871</v>
      </c>
      <c r="BD19" s="1102">
        <f t="shared" si="45"/>
        <v>283.40321119272096</v>
      </c>
      <c r="BE19" s="1102">
        <f t="shared" si="46"/>
        <v>3174.2722942362484</v>
      </c>
      <c r="BF19" s="1142">
        <f t="shared" si="47"/>
        <v>22952.549030341619</v>
      </c>
      <c r="BG19" s="1427"/>
      <c r="BH19" s="596">
        <f t="shared" si="48"/>
        <v>2009</v>
      </c>
      <c r="BI19" s="1102">
        <f>'Baseline data (from input)'!AZ65</f>
        <v>103.20449840426571</v>
      </c>
      <c r="BJ19" s="576">
        <f>'Baseline data (from input)'!BA65</f>
        <v>0.19067034924452517</v>
      </c>
      <c r="BK19" s="1103"/>
      <c r="BL19" s="1101">
        <f t="shared" si="49"/>
        <v>103.20449840426571</v>
      </c>
      <c r="BM19" s="576">
        <f t="shared" si="50"/>
        <v>0.19067034924452517</v>
      </c>
      <c r="BN19" s="1103"/>
      <c r="BO19" s="1102">
        <f t="shared" si="6"/>
        <v>103.20449840426571</v>
      </c>
      <c r="BP19" s="417">
        <f t="shared" si="6"/>
        <v>0.19067034924452517</v>
      </c>
      <c r="BQ19" s="1103"/>
      <c r="BR19" s="1101">
        <f>'Baseline data (from input)'!AZ65</f>
        <v>103.20449840426571</v>
      </c>
      <c r="BS19" s="417">
        <f>'Baseline data (from input)'!BA65</f>
        <v>0.19067034924452517</v>
      </c>
      <c r="BT19" s="1103"/>
      <c r="BU19" s="1102">
        <f t="shared" si="7"/>
        <v>103.20449840426571</v>
      </c>
      <c r="BV19" s="417">
        <f t="shared" si="7"/>
        <v>0.19067034924452517</v>
      </c>
      <c r="BW19" s="1103"/>
      <c r="BX19" s="1101">
        <f t="shared" si="51"/>
        <v>103.20449840426571</v>
      </c>
      <c r="BY19" s="417">
        <f t="shared" si="52"/>
        <v>0.19067034924452517</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913.96545684960563</v>
      </c>
      <c r="D20" s="3">
        <f>'4B Biological treatment '!T73</f>
        <v>0</v>
      </c>
      <c r="E20" s="178">
        <f>'4B Biological treatment '!U73</f>
        <v>11.535315942073929</v>
      </c>
      <c r="F20" s="178">
        <f>'4B Biological treatment '!W73</f>
        <v>0.69211895652443567</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19193.274593841717</v>
      </c>
      <c r="M20" s="3">
        <f t="shared" si="0"/>
        <v>0</v>
      </c>
      <c r="N20" s="419">
        <f t="shared" si="9"/>
        <v>456.79851130612758</v>
      </c>
      <c r="O20" s="518">
        <f t="shared" si="10"/>
        <v>289.10958635758124</v>
      </c>
      <c r="P20" s="419">
        <f t="shared" si="11"/>
        <v>3209.670707898656</v>
      </c>
      <c r="Q20" s="519">
        <f t="shared" si="12"/>
        <v>19193.274593841717</v>
      </c>
      <c r="R20" s="521">
        <f t="shared" si="13"/>
        <v>456.79851130612758</v>
      </c>
      <c r="S20" s="518">
        <f t="shared" si="14"/>
        <v>289.10958635758124</v>
      </c>
      <c r="T20" s="519">
        <f t="shared" si="15"/>
        <v>3209.670707898656</v>
      </c>
      <c r="U20" s="519">
        <f t="shared" si="16"/>
        <v>23148.853399404081</v>
      </c>
      <c r="V20" s="3"/>
      <c r="W20" s="596">
        <f t="shared" si="17"/>
        <v>2010</v>
      </c>
      <c r="X20" s="1101">
        <f t="shared" si="18"/>
        <v>19193.274593841717</v>
      </c>
      <c r="Y20" s="1102">
        <f t="shared" si="19"/>
        <v>456.79851130612758</v>
      </c>
      <c r="Z20" s="1102">
        <f t="shared" si="20"/>
        <v>289.10958635758124</v>
      </c>
      <c r="AA20" s="1102">
        <f t="shared" si="21"/>
        <v>3209.670707898656</v>
      </c>
      <c r="AB20" s="1142">
        <f t="shared" si="22"/>
        <v>23148.853399404081</v>
      </c>
      <c r="AC20" s="1102"/>
      <c r="AD20" s="1101">
        <f t="shared" si="23"/>
        <v>19193.274593841717</v>
      </c>
      <c r="AE20" s="1102">
        <f t="shared" si="24"/>
        <v>456.79851130612758</v>
      </c>
      <c r="AF20" s="1102">
        <f t="shared" si="25"/>
        <v>289.10958635758124</v>
      </c>
      <c r="AG20" s="1102">
        <f t="shared" si="26"/>
        <v>3209.670707898656</v>
      </c>
      <c r="AH20" s="1142">
        <f t="shared" si="27"/>
        <v>23148.853399404081</v>
      </c>
      <c r="AI20" s="1422"/>
      <c r="AJ20" s="1101">
        <f t="shared" si="28"/>
        <v>19193.274593841717</v>
      </c>
      <c r="AK20" s="1102">
        <f t="shared" si="29"/>
        <v>456.79851130612758</v>
      </c>
      <c r="AL20" s="1102">
        <f t="shared" si="30"/>
        <v>289.10958635758124</v>
      </c>
      <c r="AM20" s="1102">
        <f t="shared" si="31"/>
        <v>3209.670707898656</v>
      </c>
      <c r="AN20" s="1142">
        <f t="shared" si="32"/>
        <v>23148.853399404081</v>
      </c>
      <c r="AO20" s="1419"/>
      <c r="AP20" s="1101">
        <f t="shared" si="33"/>
        <v>19193.274593841717</v>
      </c>
      <c r="AQ20" s="1102">
        <f t="shared" si="34"/>
        <v>456.79851130612758</v>
      </c>
      <c r="AR20" s="1102">
        <f t="shared" si="35"/>
        <v>289.10958635758124</v>
      </c>
      <c r="AS20" s="1102">
        <f t="shared" si="36"/>
        <v>3209.670707898656</v>
      </c>
      <c r="AT20" s="1142">
        <f t="shared" si="37"/>
        <v>23148.853399404081</v>
      </c>
      <c r="AU20" s="1414"/>
      <c r="AV20" s="1101">
        <f t="shared" si="38"/>
        <v>19193.274593841717</v>
      </c>
      <c r="AW20" s="1102">
        <f t="shared" si="39"/>
        <v>456.79851130612758</v>
      </c>
      <c r="AX20" s="1102">
        <f t="shared" si="40"/>
        <v>289.10958635758124</v>
      </c>
      <c r="AY20" s="1102">
        <f t="shared" si="41"/>
        <v>3209.670707898656</v>
      </c>
      <c r="AZ20" s="1142">
        <f t="shared" si="42"/>
        <v>23148.853399404081</v>
      </c>
      <c r="BA20" s="1424"/>
      <c r="BB20" s="1101">
        <f t="shared" si="43"/>
        <v>19193.274593841717</v>
      </c>
      <c r="BC20" s="1102">
        <f t="shared" si="44"/>
        <v>456.79851130612758</v>
      </c>
      <c r="BD20" s="1102">
        <f t="shared" si="45"/>
        <v>289.10958635758124</v>
      </c>
      <c r="BE20" s="1102">
        <f t="shared" si="46"/>
        <v>3209.670707898656</v>
      </c>
      <c r="BF20" s="1142">
        <f t="shared" si="47"/>
        <v>23148.853399404081</v>
      </c>
      <c r="BG20" s="1427"/>
      <c r="BH20" s="596">
        <f t="shared" si="48"/>
        <v>2010</v>
      </c>
      <c r="BI20" s="1102">
        <f>'Baseline data (from input)'!AZ66</f>
        <v>104.82940175732732</v>
      </c>
      <c r="BJ20" s="576">
        <f>'Baseline data (from input)'!BA66</f>
        <v>0.20921052286095793</v>
      </c>
      <c r="BK20" s="1103"/>
      <c r="BL20" s="1101">
        <f t="shared" si="49"/>
        <v>104.82940175732732</v>
      </c>
      <c r="BM20" s="576">
        <f t="shared" si="50"/>
        <v>0.20921052286095793</v>
      </c>
      <c r="BN20" s="1103"/>
      <c r="BO20" s="1102">
        <f t="shared" si="6"/>
        <v>104.82940175732732</v>
      </c>
      <c r="BP20" s="417">
        <f t="shared" si="6"/>
        <v>0.20921052286095793</v>
      </c>
      <c r="BQ20" s="1103"/>
      <c r="BR20" s="1101">
        <f>'Baseline data (from input)'!AZ66</f>
        <v>104.82940175732732</v>
      </c>
      <c r="BS20" s="417">
        <f>'Baseline data (from input)'!BA66</f>
        <v>0.20921052286095793</v>
      </c>
      <c r="BT20" s="1103"/>
      <c r="BU20" s="1102">
        <f t="shared" si="7"/>
        <v>104.82940175732732</v>
      </c>
      <c r="BV20" s="417">
        <f t="shared" si="7"/>
        <v>0.20921052286095793</v>
      </c>
      <c r="BW20" s="1103"/>
      <c r="BX20" s="1101">
        <f t="shared" si="51"/>
        <v>104.82940175732732</v>
      </c>
      <c r="BY20" s="417">
        <f t="shared" si="52"/>
        <v>0.20921052286095793</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912.89564736811167</v>
      </c>
      <c r="D21" s="3">
        <f>'4B Biological treatment '!T74</f>
        <v>0.19334183325252791</v>
      </c>
      <c r="E21" s="178">
        <f>'4B Biological treatment '!U74</f>
        <v>12.211079229134413</v>
      </c>
      <c r="F21" s="178">
        <f>'4B Biological treatment '!W74</f>
        <v>0.73266475374806461</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19170.808594730344</v>
      </c>
      <c r="M21" s="3">
        <f t="shared" si="0"/>
        <v>4.0601784983030864</v>
      </c>
      <c r="N21" s="419">
        <f t="shared" si="9"/>
        <v>483.55873747372266</v>
      </c>
      <c r="O21" s="518">
        <f t="shared" si="10"/>
        <v>301.9056170360725</v>
      </c>
      <c r="P21" s="419">
        <f t="shared" si="11"/>
        <v>3332.0204976663595</v>
      </c>
      <c r="Q21" s="519">
        <f t="shared" si="12"/>
        <v>19170.808594730344</v>
      </c>
      <c r="R21" s="521">
        <f t="shared" si="13"/>
        <v>487.61891597202572</v>
      </c>
      <c r="S21" s="518">
        <f t="shared" si="14"/>
        <v>301.9056170360725</v>
      </c>
      <c r="T21" s="519">
        <f t="shared" si="15"/>
        <v>3332.0204976663595</v>
      </c>
      <c r="U21" s="519">
        <f t="shared" si="16"/>
        <v>23292.353625404801</v>
      </c>
      <c r="V21" s="3"/>
      <c r="W21" s="596">
        <f t="shared" si="17"/>
        <v>2011</v>
      </c>
      <c r="X21" s="1101">
        <f t="shared" si="18"/>
        <v>19170.808594730344</v>
      </c>
      <c r="Y21" s="1102">
        <f t="shared" si="19"/>
        <v>487.61891597202572</v>
      </c>
      <c r="Z21" s="1102">
        <f t="shared" si="20"/>
        <v>301.9056170360725</v>
      </c>
      <c r="AA21" s="1102">
        <f t="shared" si="21"/>
        <v>3332.0204976663595</v>
      </c>
      <c r="AB21" s="1142">
        <f t="shared" si="22"/>
        <v>23292.353625404801</v>
      </c>
      <c r="AC21" s="1102"/>
      <c r="AD21" s="1101">
        <f t="shared" si="23"/>
        <v>19170.808594730344</v>
      </c>
      <c r="AE21" s="1102">
        <f t="shared" si="24"/>
        <v>487.61891597202572</v>
      </c>
      <c r="AF21" s="1102">
        <f t="shared" si="25"/>
        <v>301.9056170360725</v>
      </c>
      <c r="AG21" s="1102">
        <f t="shared" si="26"/>
        <v>3332.0204976663595</v>
      </c>
      <c r="AH21" s="1142">
        <f t="shared" si="27"/>
        <v>23292.353625404801</v>
      </c>
      <c r="AI21" s="1422"/>
      <c r="AJ21" s="1101">
        <f t="shared" si="28"/>
        <v>19170.808594730344</v>
      </c>
      <c r="AK21" s="1102">
        <f t="shared" si="29"/>
        <v>487.61891597202572</v>
      </c>
      <c r="AL21" s="1102">
        <f t="shared" si="30"/>
        <v>301.9056170360725</v>
      </c>
      <c r="AM21" s="1102">
        <f t="shared" si="31"/>
        <v>3332.0204976663595</v>
      </c>
      <c r="AN21" s="1142">
        <f t="shared" si="32"/>
        <v>23292.353625404801</v>
      </c>
      <c r="AO21" s="1419"/>
      <c r="AP21" s="1101">
        <f t="shared" si="33"/>
        <v>19170.808594730344</v>
      </c>
      <c r="AQ21" s="1102">
        <f t="shared" si="34"/>
        <v>487.61891597202572</v>
      </c>
      <c r="AR21" s="1102">
        <f t="shared" si="35"/>
        <v>301.9056170360725</v>
      </c>
      <c r="AS21" s="1102">
        <f t="shared" si="36"/>
        <v>3332.0204976663595</v>
      </c>
      <c r="AT21" s="1142">
        <f t="shared" si="37"/>
        <v>23292.353625404801</v>
      </c>
      <c r="AU21" s="1414"/>
      <c r="AV21" s="1101">
        <f t="shared" si="38"/>
        <v>19170.808594730344</v>
      </c>
      <c r="AW21" s="1102">
        <f t="shared" si="39"/>
        <v>487.61891597202572</v>
      </c>
      <c r="AX21" s="1102">
        <f t="shared" si="40"/>
        <v>301.9056170360725</v>
      </c>
      <c r="AY21" s="1102">
        <f t="shared" si="41"/>
        <v>3332.0204976663595</v>
      </c>
      <c r="AZ21" s="1142">
        <f t="shared" si="42"/>
        <v>23292.353625404801</v>
      </c>
      <c r="BA21" s="1424"/>
      <c r="BB21" s="1101">
        <f t="shared" si="43"/>
        <v>19170.808594730344</v>
      </c>
      <c r="BC21" s="1102">
        <f t="shared" si="44"/>
        <v>487.61891597202572</v>
      </c>
      <c r="BD21" s="1102">
        <f t="shared" si="45"/>
        <v>301.9056170360725</v>
      </c>
      <c r="BE21" s="1102">
        <f t="shared" si="46"/>
        <v>3332.0204976663595</v>
      </c>
      <c r="BF21" s="1142">
        <f t="shared" si="47"/>
        <v>23292.353625404801</v>
      </c>
      <c r="BG21" s="1427"/>
      <c r="BH21" s="596">
        <f t="shared" si="48"/>
        <v>2011</v>
      </c>
      <c r="BI21" s="1102">
        <f>'Baseline data (from input)'!AZ67</f>
        <v>107.41979413687004</v>
      </c>
      <c r="BJ21" s="576">
        <f>'Baseline data (from input)'!BA67</f>
        <v>0.22744143519612944</v>
      </c>
      <c r="BK21" s="1103"/>
      <c r="BL21" s="1101">
        <f t="shared" si="49"/>
        <v>107.41979413687004</v>
      </c>
      <c r="BM21" s="576">
        <f t="shared" si="50"/>
        <v>0.22744143519612944</v>
      </c>
      <c r="BN21" s="1103"/>
      <c r="BO21" s="1102">
        <f t="shared" si="6"/>
        <v>107.41979413687004</v>
      </c>
      <c r="BP21" s="417">
        <f t="shared" si="6"/>
        <v>0.22744143519612944</v>
      </c>
      <c r="BQ21" s="1103"/>
      <c r="BR21" s="1101">
        <f>'Baseline data (from input)'!AZ67</f>
        <v>107.41979413687004</v>
      </c>
      <c r="BS21" s="417">
        <f>'Baseline data (from input)'!BA67</f>
        <v>0.22744143519612944</v>
      </c>
      <c r="BT21" s="1103"/>
      <c r="BU21" s="1102">
        <f t="shared" si="7"/>
        <v>107.41979413687004</v>
      </c>
      <c r="BV21" s="417">
        <f t="shared" si="7"/>
        <v>0.22744143519612944</v>
      </c>
      <c r="BW21" s="1103"/>
      <c r="BX21" s="1101">
        <f t="shared" si="51"/>
        <v>107.41979413687004</v>
      </c>
      <c r="BY21" s="417">
        <f t="shared" si="52"/>
        <v>0.22744143519612944</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907.20403046494505</v>
      </c>
      <c r="D22" s="3">
        <f>'4B Biological treatment '!T75</f>
        <v>0.2082571219057886</v>
      </c>
      <c r="E22" s="178">
        <f>'4B Biological treatment '!U75</f>
        <v>13.491768788014623</v>
      </c>
      <c r="F22" s="178">
        <f>'4B Biological treatment '!W75</f>
        <v>0.80950612728087734</v>
      </c>
      <c r="G22" s="3">
        <f>'4C2 Open-burning '!R82</f>
        <v>32.155652457135474</v>
      </c>
      <c r="H22" s="3">
        <f>'4C2 Open-burning '!Z82</f>
        <v>10.819392594545473</v>
      </c>
      <c r="I22" s="3">
        <f>'4C2 Open-burning '!AH82</f>
        <v>0.15062420601993221</v>
      </c>
      <c r="J22" s="317">
        <f>'4D Wastewater treatment and dis'!AV119</f>
        <v>121.42022721713889</v>
      </c>
      <c r="K22" s="3">
        <f>'4D Wastewater treatment and dis'!AW119</f>
        <v>2.6383207851384207</v>
      </c>
      <c r="L22" s="419">
        <f t="shared" si="8"/>
        <v>19051.284639763846</v>
      </c>
      <c r="M22" s="3">
        <f t="shared" si="0"/>
        <v>4.3733995600215607</v>
      </c>
      <c r="N22" s="419">
        <f t="shared" si="9"/>
        <v>534.2740440053791</v>
      </c>
      <c r="O22" s="518">
        <f t="shared" si="10"/>
        <v>306.05640080876935</v>
      </c>
      <c r="P22" s="419">
        <f t="shared" si="11"/>
        <v>3367.704214952827</v>
      </c>
      <c r="Q22" s="519">
        <f t="shared" si="12"/>
        <v>19051.284639763846</v>
      </c>
      <c r="R22" s="521">
        <f t="shared" si="13"/>
        <v>538.64744356540064</v>
      </c>
      <c r="S22" s="518">
        <f t="shared" si="14"/>
        <v>306.05640080876935</v>
      </c>
      <c r="T22" s="519">
        <f t="shared" si="15"/>
        <v>3367.704214952827</v>
      </c>
      <c r="U22" s="519">
        <f t="shared" si="16"/>
        <v>23263.692699090843</v>
      </c>
      <c r="V22" s="3"/>
      <c r="W22" s="596">
        <f t="shared" si="17"/>
        <v>2012</v>
      </c>
      <c r="X22" s="1101">
        <f t="shared" si="18"/>
        <v>19051.284639763846</v>
      </c>
      <c r="Y22" s="1102">
        <f t="shared" si="19"/>
        <v>538.64744356540064</v>
      </c>
      <c r="Z22" s="1102">
        <f t="shared" si="20"/>
        <v>306.05640080876935</v>
      </c>
      <c r="AA22" s="1102">
        <f t="shared" si="21"/>
        <v>3367.704214952827</v>
      </c>
      <c r="AB22" s="1142">
        <f t="shared" si="22"/>
        <v>23263.692699090843</v>
      </c>
      <c r="AC22" s="1102"/>
      <c r="AD22" s="1101">
        <f t="shared" si="23"/>
        <v>19051.284639763846</v>
      </c>
      <c r="AE22" s="1102">
        <f t="shared" si="24"/>
        <v>538.64744356540064</v>
      </c>
      <c r="AF22" s="1102">
        <f t="shared" si="25"/>
        <v>306.05640080876935</v>
      </c>
      <c r="AG22" s="1102">
        <f t="shared" si="26"/>
        <v>3367.704214952827</v>
      </c>
      <c r="AH22" s="1142">
        <f t="shared" si="27"/>
        <v>23263.692699090843</v>
      </c>
      <c r="AI22" s="1422"/>
      <c r="AJ22" s="1101">
        <f t="shared" si="28"/>
        <v>19051.284639763846</v>
      </c>
      <c r="AK22" s="1102">
        <f t="shared" si="29"/>
        <v>538.64744356540064</v>
      </c>
      <c r="AL22" s="1102">
        <f t="shared" si="30"/>
        <v>306.05640080876935</v>
      </c>
      <c r="AM22" s="1102">
        <f t="shared" si="31"/>
        <v>3367.704214952827</v>
      </c>
      <c r="AN22" s="1142">
        <f t="shared" si="32"/>
        <v>23263.692699090843</v>
      </c>
      <c r="AO22" s="1419"/>
      <c r="AP22" s="1101">
        <f t="shared" si="33"/>
        <v>19051.284639763846</v>
      </c>
      <c r="AQ22" s="1102">
        <f t="shared" si="34"/>
        <v>538.64744356540064</v>
      </c>
      <c r="AR22" s="1102">
        <f t="shared" si="35"/>
        <v>306.05640080876935</v>
      </c>
      <c r="AS22" s="1102">
        <f t="shared" si="36"/>
        <v>3367.704214952827</v>
      </c>
      <c r="AT22" s="1142">
        <f t="shared" si="37"/>
        <v>23263.692699090843</v>
      </c>
      <c r="AU22" s="1414"/>
      <c r="AV22" s="1101">
        <f t="shared" si="38"/>
        <v>19051.284639763846</v>
      </c>
      <c r="AW22" s="1102">
        <f t="shared" si="39"/>
        <v>538.64744356540064</v>
      </c>
      <c r="AX22" s="1102">
        <f t="shared" si="40"/>
        <v>306.05640080876935</v>
      </c>
      <c r="AY22" s="1102">
        <f t="shared" si="41"/>
        <v>3367.704214952827</v>
      </c>
      <c r="AZ22" s="1142">
        <f t="shared" si="42"/>
        <v>23263.692699090843</v>
      </c>
      <c r="BA22" s="1424"/>
      <c r="BB22" s="1101">
        <f t="shared" si="43"/>
        <v>19051.284639763846</v>
      </c>
      <c r="BC22" s="1102">
        <f t="shared" si="44"/>
        <v>538.64744356540064</v>
      </c>
      <c r="BD22" s="1102">
        <f t="shared" si="45"/>
        <v>306.05640080876935</v>
      </c>
      <c r="BE22" s="1102">
        <f t="shared" si="46"/>
        <v>3367.704214952827</v>
      </c>
      <c r="BF22" s="1142">
        <f t="shared" si="47"/>
        <v>23263.692699090843</v>
      </c>
      <c r="BG22" s="1427"/>
      <c r="BH22" s="596">
        <f t="shared" si="48"/>
        <v>2012</v>
      </c>
      <c r="BI22" s="1102">
        <f>'Baseline data (from input)'!AZ68</f>
        <v>108.46761087084198</v>
      </c>
      <c r="BJ22" s="576">
        <f>'Baseline data (from input)'!BA68</f>
        <v>0.24495352390298028</v>
      </c>
      <c r="BK22" s="1103"/>
      <c r="BL22" s="1101">
        <f t="shared" si="49"/>
        <v>108.46761087084198</v>
      </c>
      <c r="BM22" s="576">
        <f t="shared" si="50"/>
        <v>0.24495352390298028</v>
      </c>
      <c r="BN22" s="1103"/>
      <c r="BO22" s="1102">
        <f t="shared" si="6"/>
        <v>108.46761087084198</v>
      </c>
      <c r="BP22" s="417">
        <f t="shared" si="6"/>
        <v>0.24495352390298028</v>
      </c>
      <c r="BQ22" s="1103"/>
      <c r="BR22" s="1101">
        <f>'Baseline data (from input)'!AZ68</f>
        <v>108.46761087084198</v>
      </c>
      <c r="BS22" s="417">
        <f>'Baseline data (from input)'!BA68</f>
        <v>0.24495352390298028</v>
      </c>
      <c r="BT22" s="1103"/>
      <c r="BU22" s="1102">
        <f t="shared" si="7"/>
        <v>108.46761087084198</v>
      </c>
      <c r="BV22" s="417">
        <f t="shared" si="7"/>
        <v>0.24495352390298028</v>
      </c>
      <c r="BW22" s="1103"/>
      <c r="BX22" s="1101">
        <f t="shared" si="51"/>
        <v>108.46761087084198</v>
      </c>
      <c r="BY22" s="417">
        <f t="shared" si="52"/>
        <v>0.24495352390298028</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896.16711186314876</v>
      </c>
      <c r="D23" s="3">
        <f>'4B Biological treatment '!T76</f>
        <v>0.2233300797027758</v>
      </c>
      <c r="E23" s="178">
        <f>'4B Biological treatment '!U76</f>
        <v>14.759223804745339</v>
      </c>
      <c r="F23" s="178">
        <f>'4B Biological treatment '!W76</f>
        <v>0.88555342828472039</v>
      </c>
      <c r="G23" s="3">
        <f>'4C2 Open-burning '!R83</f>
        <v>32.638684941922989</v>
      </c>
      <c r="H23" s="3">
        <f>'4C2 Open-burning '!Z83</f>
        <v>10.981918237456981</v>
      </c>
      <c r="I23" s="3">
        <f>'4C2 Open-burning '!AH83</f>
        <v>0.15288683728203895</v>
      </c>
      <c r="J23" s="317">
        <f>'4D Wastewater treatment and dis'!AV120</f>
        <v>123.22777500074881</v>
      </c>
      <c r="K23" s="3">
        <f>'4D Wastewater treatment and dis'!AW120</f>
        <v>2.6775967031376564</v>
      </c>
      <c r="L23" s="419">
        <f t="shared" si="8"/>
        <v>18819.509349126125</v>
      </c>
      <c r="M23" s="3">
        <f t="shared" si="0"/>
        <v>4.6899316737582915</v>
      </c>
      <c r="N23" s="419">
        <f t="shared" si="9"/>
        <v>584.46526266791545</v>
      </c>
      <c r="O23" s="518">
        <f t="shared" si="10"/>
        <v>310.6538874859516</v>
      </c>
      <c r="P23" s="419">
        <f t="shared" si="11"/>
        <v>3417.8382529883984</v>
      </c>
      <c r="Q23" s="519">
        <f t="shared" si="12"/>
        <v>18819.509349126125</v>
      </c>
      <c r="R23" s="521">
        <f t="shared" si="13"/>
        <v>589.15519434167379</v>
      </c>
      <c r="S23" s="518">
        <f t="shared" si="14"/>
        <v>310.6538874859516</v>
      </c>
      <c r="T23" s="519">
        <f t="shared" si="15"/>
        <v>3417.8382529883984</v>
      </c>
      <c r="U23" s="519">
        <f t="shared" si="16"/>
        <v>23137.15668394215</v>
      </c>
      <c r="V23" s="3"/>
      <c r="W23" s="596">
        <f t="shared" si="17"/>
        <v>2013</v>
      </c>
      <c r="X23" s="1101">
        <f t="shared" si="18"/>
        <v>18819.509349126125</v>
      </c>
      <c r="Y23" s="1102">
        <f t="shared" si="19"/>
        <v>589.15519434167379</v>
      </c>
      <c r="Z23" s="1102">
        <f t="shared" si="20"/>
        <v>310.6538874859516</v>
      </c>
      <c r="AA23" s="1102">
        <f t="shared" si="21"/>
        <v>3417.8382529883984</v>
      </c>
      <c r="AB23" s="1142">
        <f t="shared" si="22"/>
        <v>23137.15668394215</v>
      </c>
      <c r="AC23" s="1102"/>
      <c r="AD23" s="1101">
        <f t="shared" si="23"/>
        <v>18819.509349126125</v>
      </c>
      <c r="AE23" s="1102">
        <f t="shared" si="24"/>
        <v>589.15519434167379</v>
      </c>
      <c r="AF23" s="1102">
        <f t="shared" si="25"/>
        <v>310.6538874859516</v>
      </c>
      <c r="AG23" s="1102">
        <f t="shared" si="26"/>
        <v>3417.8382529883984</v>
      </c>
      <c r="AH23" s="1142">
        <f t="shared" si="27"/>
        <v>23137.15668394215</v>
      </c>
      <c r="AI23" s="1422"/>
      <c r="AJ23" s="1101">
        <f t="shared" si="28"/>
        <v>18819.509349126125</v>
      </c>
      <c r="AK23" s="1102">
        <f t="shared" si="29"/>
        <v>589.15519434167379</v>
      </c>
      <c r="AL23" s="1102">
        <f t="shared" si="30"/>
        <v>310.6538874859516</v>
      </c>
      <c r="AM23" s="1102">
        <f t="shared" si="31"/>
        <v>3417.8382529883984</v>
      </c>
      <c r="AN23" s="1142">
        <f t="shared" si="32"/>
        <v>23137.15668394215</v>
      </c>
      <c r="AO23" s="1419"/>
      <c r="AP23" s="1101">
        <f t="shared" si="33"/>
        <v>18819.509349126125</v>
      </c>
      <c r="AQ23" s="1102">
        <f t="shared" si="34"/>
        <v>589.15519434167379</v>
      </c>
      <c r="AR23" s="1102">
        <f t="shared" si="35"/>
        <v>310.6538874859516</v>
      </c>
      <c r="AS23" s="1102">
        <f t="shared" si="36"/>
        <v>3417.8382529883984</v>
      </c>
      <c r="AT23" s="1142">
        <f t="shared" si="37"/>
        <v>23137.15668394215</v>
      </c>
      <c r="AU23" s="1414"/>
      <c r="AV23" s="1101">
        <f t="shared" si="38"/>
        <v>18819.509349126125</v>
      </c>
      <c r="AW23" s="1102">
        <f t="shared" si="39"/>
        <v>589.15519434167379</v>
      </c>
      <c r="AX23" s="1102">
        <f t="shared" si="40"/>
        <v>310.6538874859516</v>
      </c>
      <c r="AY23" s="1102">
        <f t="shared" si="41"/>
        <v>3417.8382529883984</v>
      </c>
      <c r="AZ23" s="1142">
        <f t="shared" si="42"/>
        <v>23137.15668394215</v>
      </c>
      <c r="BA23" s="1424"/>
      <c r="BB23" s="1101">
        <f t="shared" si="43"/>
        <v>18819.509349126125</v>
      </c>
      <c r="BC23" s="1102">
        <f t="shared" si="44"/>
        <v>589.15519434167379</v>
      </c>
      <c r="BD23" s="1102">
        <f t="shared" si="45"/>
        <v>310.6538874859516</v>
      </c>
      <c r="BE23" s="1102">
        <f t="shared" si="46"/>
        <v>3417.8382529883984</v>
      </c>
      <c r="BF23" s="1142">
        <f t="shared" si="47"/>
        <v>23137.15668394215</v>
      </c>
      <c r="BG23" s="1427"/>
      <c r="BH23" s="596">
        <f t="shared" si="48"/>
        <v>2013</v>
      </c>
      <c r="BI23" s="1102">
        <f>'Baseline data (from input)'!AZ69</f>
        <v>109.97074645761069</v>
      </c>
      <c r="BJ23" s="576">
        <f>'Baseline data (from input)'!BA69</f>
        <v>0.25412456432281788</v>
      </c>
      <c r="BK23" s="1103"/>
      <c r="BL23" s="1101">
        <f t="shared" si="49"/>
        <v>109.97074645761069</v>
      </c>
      <c r="BM23" s="576">
        <f t="shared" si="50"/>
        <v>0.25412456432281788</v>
      </c>
      <c r="BN23" s="1103"/>
      <c r="BO23" s="1102">
        <f t="shared" si="6"/>
        <v>109.97074645761069</v>
      </c>
      <c r="BP23" s="417">
        <f t="shared" si="6"/>
        <v>0.25412456432281788</v>
      </c>
      <c r="BQ23" s="1103"/>
      <c r="BR23" s="1101">
        <f>'Baseline data (from input)'!AZ69</f>
        <v>109.97074645761069</v>
      </c>
      <c r="BS23" s="417">
        <f>'Baseline data (from input)'!BA69</f>
        <v>0.25412456432281788</v>
      </c>
      <c r="BT23" s="1103"/>
      <c r="BU23" s="1102">
        <f t="shared" si="7"/>
        <v>109.97074645761069</v>
      </c>
      <c r="BV23" s="417">
        <f t="shared" si="7"/>
        <v>0.25412456432281788</v>
      </c>
      <c r="BW23" s="1103"/>
      <c r="BX23" s="1101">
        <f t="shared" si="51"/>
        <v>109.97074645761069</v>
      </c>
      <c r="BY23" s="417">
        <f t="shared" si="52"/>
        <v>0.25412456432281788</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883.64256829584781</v>
      </c>
      <c r="D24" s="3">
        <f>'4B Biological treatment '!T77</f>
        <v>0.23671892495327568</v>
      </c>
      <c r="E24" s="178">
        <f>'4B Biological treatment '!U77</f>
        <v>15.915858805609473</v>
      </c>
      <c r="F24" s="178">
        <f>'4B Biological treatment '!W77</f>
        <v>0.95495152833656827</v>
      </c>
      <c r="G24" s="3">
        <f>'4C2 Open-burning '!R84</f>
        <v>33.044764937208711</v>
      </c>
      <c r="H24" s="3">
        <f>'4C2 Open-burning '!Z84</f>
        <v>11.118551723580275</v>
      </c>
      <c r="I24" s="3">
        <f>'4C2 Open-burning '!AH84</f>
        <v>0.15478900602055312</v>
      </c>
      <c r="J24" s="317">
        <f>'4D Wastewater treatment and dis'!AV121</f>
        <v>125.10267629930888</v>
      </c>
      <c r="K24" s="3">
        <f>'4D Wastewater treatment and dis'!AW121</f>
        <v>2.718336134939475</v>
      </c>
      <c r="L24" s="419">
        <f t="shared" si="8"/>
        <v>18556.493934212805</v>
      </c>
      <c r="M24" s="3">
        <f t="shared" si="0"/>
        <v>4.9710974240187893</v>
      </c>
      <c r="N24" s="419">
        <f t="shared" si="9"/>
        <v>630.26800870213515</v>
      </c>
      <c r="O24" s="518">
        <f t="shared" si="10"/>
        <v>314.51894299876597</v>
      </c>
      <c r="P24" s="419">
        <f t="shared" si="11"/>
        <v>3469.8404041167237</v>
      </c>
      <c r="Q24" s="519">
        <f t="shared" si="12"/>
        <v>18556.493934212805</v>
      </c>
      <c r="R24" s="521">
        <f t="shared" si="13"/>
        <v>635.23910612615396</v>
      </c>
      <c r="S24" s="518">
        <f t="shared" si="14"/>
        <v>314.51894299876597</v>
      </c>
      <c r="T24" s="519">
        <f t="shared" si="15"/>
        <v>3469.8404041167237</v>
      </c>
      <c r="U24" s="519">
        <f t="shared" si="16"/>
        <v>22976.09238745445</v>
      </c>
      <c r="V24" s="3"/>
      <c r="W24" s="596">
        <f t="shared" si="17"/>
        <v>2014</v>
      </c>
      <c r="X24" s="1101">
        <f t="shared" si="18"/>
        <v>18556.493934212805</v>
      </c>
      <c r="Y24" s="1102">
        <f t="shared" si="19"/>
        <v>635.23910612615396</v>
      </c>
      <c r="Z24" s="1102">
        <f t="shared" si="20"/>
        <v>314.51894299876597</v>
      </c>
      <c r="AA24" s="1102">
        <f t="shared" si="21"/>
        <v>3469.8404041167237</v>
      </c>
      <c r="AB24" s="1142">
        <f t="shared" si="22"/>
        <v>22976.09238745445</v>
      </c>
      <c r="AC24" s="1102"/>
      <c r="AD24" s="1101">
        <f t="shared" si="23"/>
        <v>18556.493934212805</v>
      </c>
      <c r="AE24" s="1102">
        <f t="shared" si="24"/>
        <v>635.23910612615396</v>
      </c>
      <c r="AF24" s="1102">
        <f t="shared" si="25"/>
        <v>314.51894299876597</v>
      </c>
      <c r="AG24" s="1102">
        <f t="shared" si="26"/>
        <v>3469.8404041167237</v>
      </c>
      <c r="AH24" s="1142">
        <f t="shared" si="27"/>
        <v>22976.09238745445</v>
      </c>
      <c r="AI24" s="1422"/>
      <c r="AJ24" s="1101">
        <f t="shared" si="28"/>
        <v>18556.493934212805</v>
      </c>
      <c r="AK24" s="1102">
        <f t="shared" si="29"/>
        <v>635.23910612615396</v>
      </c>
      <c r="AL24" s="1102">
        <f t="shared" si="30"/>
        <v>314.51894299876597</v>
      </c>
      <c r="AM24" s="1102">
        <f t="shared" si="31"/>
        <v>3469.8404041167237</v>
      </c>
      <c r="AN24" s="1142">
        <f t="shared" si="32"/>
        <v>22976.09238745445</v>
      </c>
      <c r="AO24" s="1419"/>
      <c r="AP24" s="1101">
        <f t="shared" si="33"/>
        <v>18556.493934212805</v>
      </c>
      <c r="AQ24" s="1102">
        <f t="shared" si="34"/>
        <v>635.23910612615396</v>
      </c>
      <c r="AR24" s="1102">
        <f t="shared" si="35"/>
        <v>314.51894299876597</v>
      </c>
      <c r="AS24" s="1102">
        <f t="shared" si="36"/>
        <v>3469.8404041167237</v>
      </c>
      <c r="AT24" s="1142">
        <f t="shared" si="37"/>
        <v>22976.09238745445</v>
      </c>
      <c r="AU24" s="1414"/>
      <c r="AV24" s="1101">
        <f t="shared" si="38"/>
        <v>18556.493934212805</v>
      </c>
      <c r="AW24" s="1102">
        <f t="shared" si="39"/>
        <v>635.23910612615396</v>
      </c>
      <c r="AX24" s="1102">
        <f t="shared" si="40"/>
        <v>314.51894299876597</v>
      </c>
      <c r="AY24" s="1102">
        <f t="shared" si="41"/>
        <v>3469.8404041167237</v>
      </c>
      <c r="AZ24" s="1142">
        <f t="shared" si="42"/>
        <v>22976.09238745445</v>
      </c>
      <c r="BA24" s="1424"/>
      <c r="BB24" s="1101">
        <f t="shared" si="43"/>
        <v>18556.493934212805</v>
      </c>
      <c r="BC24" s="1102">
        <f t="shared" si="44"/>
        <v>635.23910612615396</v>
      </c>
      <c r="BD24" s="1102">
        <f t="shared" si="45"/>
        <v>314.51894299876597</v>
      </c>
      <c r="BE24" s="1102">
        <f t="shared" si="46"/>
        <v>3469.8404041167237</v>
      </c>
      <c r="BF24" s="1142">
        <f t="shared" si="47"/>
        <v>22976.09238745445</v>
      </c>
      <c r="BG24" s="1427"/>
      <c r="BH24" s="596">
        <f t="shared" si="48"/>
        <v>2014</v>
      </c>
      <c r="BI24" s="1102">
        <f>'Baseline data (from input)'!AZ70</f>
        <v>110.82317528949993</v>
      </c>
      <c r="BJ24" s="576">
        <f>'Baseline data (from input)'!BA70</f>
        <v>0.26281715323754568</v>
      </c>
      <c r="BK24" s="1103"/>
      <c r="BL24" s="1101">
        <f t="shared" si="49"/>
        <v>110.82317528949993</v>
      </c>
      <c r="BM24" s="576">
        <f t="shared" si="50"/>
        <v>0.26281715323754568</v>
      </c>
      <c r="BN24" s="1103"/>
      <c r="BO24" s="1102">
        <f t="shared" si="6"/>
        <v>110.82317528949993</v>
      </c>
      <c r="BP24" s="417">
        <f t="shared" si="6"/>
        <v>0.26281715323754568</v>
      </c>
      <c r="BQ24" s="1103"/>
      <c r="BR24" s="1101">
        <f>'Baseline data (from input)'!AZ70</f>
        <v>110.82317528949993</v>
      </c>
      <c r="BS24" s="417">
        <f>'Baseline data (from input)'!BA70</f>
        <v>0.26281715323754568</v>
      </c>
      <c r="BT24" s="1103"/>
      <c r="BU24" s="1102">
        <f t="shared" si="7"/>
        <v>110.82317528949993</v>
      </c>
      <c r="BV24" s="417">
        <f t="shared" si="7"/>
        <v>0.26281715323754568</v>
      </c>
      <c r="BW24" s="1103"/>
      <c r="BX24" s="1101">
        <f t="shared" si="51"/>
        <v>110.82317528949993</v>
      </c>
      <c r="BY24" s="417">
        <f t="shared" si="52"/>
        <v>0.26281715323754568</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869.71305919348606</v>
      </c>
      <c r="D25" s="3">
        <f>'4B Biological treatment '!T78</f>
        <v>0.24872431455830615</v>
      </c>
      <c r="E25" s="178">
        <f>'4B Biological treatment '!U78</f>
        <v>16.973700880575333</v>
      </c>
      <c r="F25" s="178">
        <f>'4B Biological treatment '!W78</f>
        <v>1.01842205283452</v>
      </c>
      <c r="G25" s="3">
        <f>'4C2 Open-burning '!R85</f>
        <v>33.370161666347876</v>
      </c>
      <c r="H25" s="3">
        <f>'4C2 Open-burning '!Z85</f>
        <v>11.228037760793502</v>
      </c>
      <c r="I25" s="3">
        <f>'4C2 Open-burning '!AH85</f>
        <v>0.15631323645044112</v>
      </c>
      <c r="J25" s="317">
        <f>'4D Wastewater treatment and dis'!AV122</f>
        <v>127.04753208598689</v>
      </c>
      <c r="K25" s="3">
        <f>'4D Wastewater treatment and dis'!AW122</f>
        <v>2.7605955966757243</v>
      </c>
      <c r="L25" s="419">
        <f t="shared" si="8"/>
        <v>18263.974243063207</v>
      </c>
      <c r="M25" s="3">
        <f t="shared" si="0"/>
        <v>5.2232106057244296</v>
      </c>
      <c r="N25" s="419">
        <f t="shared" si="9"/>
        <v>672.15855487078329</v>
      </c>
      <c r="O25" s="518">
        <f t="shared" si="10"/>
        <v>317.61605794264813</v>
      </c>
      <c r="P25" s="419">
        <f t="shared" si="11"/>
        <v>3523.7828087751991</v>
      </c>
      <c r="Q25" s="519">
        <f t="shared" si="12"/>
        <v>18263.974243063207</v>
      </c>
      <c r="R25" s="521">
        <f t="shared" si="13"/>
        <v>677.38176547650767</v>
      </c>
      <c r="S25" s="518">
        <f t="shared" si="14"/>
        <v>317.61605794264813</v>
      </c>
      <c r="T25" s="519">
        <f t="shared" si="15"/>
        <v>3523.7828087751991</v>
      </c>
      <c r="U25" s="519">
        <f t="shared" si="16"/>
        <v>22782.75487525756</v>
      </c>
      <c r="V25" s="3"/>
      <c r="W25" s="596">
        <f t="shared" si="17"/>
        <v>2015</v>
      </c>
      <c r="X25" s="1101">
        <f t="shared" si="18"/>
        <v>18263.974243063207</v>
      </c>
      <c r="Y25" s="1102">
        <f t="shared" si="19"/>
        <v>677.38176547650767</v>
      </c>
      <c r="Z25" s="1102">
        <f t="shared" si="20"/>
        <v>317.61605794264813</v>
      </c>
      <c r="AA25" s="1102">
        <f t="shared" si="21"/>
        <v>3523.7828087751991</v>
      </c>
      <c r="AB25" s="1142">
        <f t="shared" si="22"/>
        <v>22782.75487525756</v>
      </c>
      <c r="AC25" s="1102"/>
      <c r="AD25" s="1101">
        <f t="shared" si="23"/>
        <v>18263.974243063207</v>
      </c>
      <c r="AE25" s="1102">
        <f t="shared" si="24"/>
        <v>677.38176547650767</v>
      </c>
      <c r="AF25" s="1102">
        <f t="shared" si="25"/>
        <v>317.61605794264813</v>
      </c>
      <c r="AG25" s="1102">
        <f t="shared" si="26"/>
        <v>3523.7828087751991</v>
      </c>
      <c r="AH25" s="1142">
        <f t="shared" si="27"/>
        <v>22782.75487525756</v>
      </c>
      <c r="AI25" s="1422"/>
      <c r="AJ25" s="1101">
        <f t="shared" si="28"/>
        <v>18263.974243063207</v>
      </c>
      <c r="AK25" s="1102">
        <f t="shared" si="29"/>
        <v>677.38176547650767</v>
      </c>
      <c r="AL25" s="1102">
        <f t="shared" si="30"/>
        <v>317.61605794264813</v>
      </c>
      <c r="AM25" s="1102">
        <f t="shared" si="31"/>
        <v>3523.7828087751991</v>
      </c>
      <c r="AN25" s="1142">
        <f t="shared" si="32"/>
        <v>22782.75487525756</v>
      </c>
      <c r="AO25" s="1419"/>
      <c r="AP25" s="1101">
        <f t="shared" si="33"/>
        <v>18263.974243063207</v>
      </c>
      <c r="AQ25" s="1102">
        <f t="shared" si="34"/>
        <v>677.38176547650767</v>
      </c>
      <c r="AR25" s="1102">
        <f t="shared" si="35"/>
        <v>317.61605794264813</v>
      </c>
      <c r="AS25" s="1102">
        <f t="shared" si="36"/>
        <v>3523.7828087751991</v>
      </c>
      <c r="AT25" s="1142">
        <f t="shared" si="37"/>
        <v>22782.75487525756</v>
      </c>
      <c r="AU25" s="1414"/>
      <c r="AV25" s="1101">
        <f t="shared" si="38"/>
        <v>18263.974243063207</v>
      </c>
      <c r="AW25" s="1102">
        <f t="shared" si="39"/>
        <v>677.38176547650767</v>
      </c>
      <c r="AX25" s="1102">
        <f t="shared" si="40"/>
        <v>317.61605794264813</v>
      </c>
      <c r="AY25" s="1102">
        <f t="shared" si="41"/>
        <v>3523.7828087751991</v>
      </c>
      <c r="AZ25" s="1142">
        <f t="shared" si="42"/>
        <v>22782.75487525756</v>
      </c>
      <c r="BA25" s="1424"/>
      <c r="BB25" s="1101">
        <f t="shared" si="43"/>
        <v>18263.974243063207</v>
      </c>
      <c r="BC25" s="1102">
        <f t="shared" si="44"/>
        <v>677.38176547650767</v>
      </c>
      <c r="BD25" s="1102">
        <f t="shared" si="45"/>
        <v>317.61605794264813</v>
      </c>
      <c r="BE25" s="1102">
        <f t="shared" si="46"/>
        <v>3523.7828087751991</v>
      </c>
      <c r="BF25" s="1142">
        <f t="shared" si="47"/>
        <v>22782.75487525756</v>
      </c>
      <c r="BG25" s="1427"/>
      <c r="BH25" s="596">
        <f t="shared" si="48"/>
        <v>2015</v>
      </c>
      <c r="BI25" s="1102">
        <f>'Baseline data (from input)'!AZ71</f>
        <v>111.237148145329</v>
      </c>
      <c r="BJ25" s="576">
        <f>'Baseline data (from input)'!BA71</f>
        <v>0.27107274020628741</v>
      </c>
      <c r="BK25" s="1103"/>
      <c r="BL25" s="1101">
        <f t="shared" si="49"/>
        <v>111.237148145329</v>
      </c>
      <c r="BM25" s="576">
        <f t="shared" si="50"/>
        <v>0.27107274020628741</v>
      </c>
      <c r="BN25" s="1103"/>
      <c r="BO25" s="1102">
        <f t="shared" si="6"/>
        <v>111.237148145329</v>
      </c>
      <c r="BP25" s="417">
        <f t="shared" si="6"/>
        <v>0.27107274020628741</v>
      </c>
      <c r="BQ25" s="1103"/>
      <c r="BR25" s="1101">
        <f>'Baseline data (from input)'!AZ71</f>
        <v>111.237148145329</v>
      </c>
      <c r="BS25" s="417">
        <f>'Baseline data (from input)'!BA71</f>
        <v>0.27107274020628741</v>
      </c>
      <c r="BT25" s="1103"/>
      <c r="BU25" s="1102">
        <f t="shared" si="7"/>
        <v>111.237148145329</v>
      </c>
      <c r="BV25" s="417">
        <f t="shared" si="7"/>
        <v>0.27107274020628741</v>
      </c>
      <c r="BW25" s="1103"/>
      <c r="BX25" s="1101">
        <f t="shared" si="51"/>
        <v>111.237148145329</v>
      </c>
      <c r="BY25" s="417">
        <f t="shared" si="52"/>
        <v>0.27107274020628741</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854.47623809287529</v>
      </c>
      <c r="D26" s="3">
        <f>'4B Biological treatment '!T79</f>
        <v>0.25929726721956436</v>
      </c>
      <c r="E26" s="178">
        <f>'4B Biological treatment '!U79</f>
        <v>17.928908489418596</v>
      </c>
      <c r="F26" s="178">
        <f>'4B Biological treatment '!W79</f>
        <v>1.0757345093651158</v>
      </c>
      <c r="G26" s="3">
        <f>'4C2 Open-burning '!R86</f>
        <v>33.610848152350449</v>
      </c>
      <c r="H26" s="3">
        <f>'4C2 Open-burning '!Z86</f>
        <v>11.309021394626923</v>
      </c>
      <c r="I26" s="3">
        <f>'4C2 Open-burning '!AH86</f>
        <v>0.15744066531857534</v>
      </c>
      <c r="J26" s="317">
        <f>'4D Wastewater treatment and dis'!AV123</f>
        <v>129.06507290384971</v>
      </c>
      <c r="K26" s="3">
        <f>'4D Wastewater treatment and dis'!AW123</f>
        <v>2.804434419881956</v>
      </c>
      <c r="L26" s="419">
        <f t="shared" si="8"/>
        <v>17944.000999950382</v>
      </c>
      <c r="M26" s="3">
        <f t="shared" ref="M26:M27" si="53">D26*$B$3</f>
        <v>5.4452426116108512</v>
      </c>
      <c r="N26" s="419">
        <f t="shared" si="9"/>
        <v>709.9847761809765</v>
      </c>
      <c r="O26" s="518">
        <f t="shared" si="10"/>
        <v>319.90690368827416</v>
      </c>
      <c r="P26" s="419">
        <f t="shared" si="11"/>
        <v>3579.7412011442502</v>
      </c>
      <c r="Q26" s="519">
        <f t="shared" si="12"/>
        <v>17944.000999950382</v>
      </c>
      <c r="R26" s="521">
        <f t="shared" si="13"/>
        <v>715.43001879258736</v>
      </c>
      <c r="S26" s="518">
        <f t="shared" si="14"/>
        <v>319.90690368827416</v>
      </c>
      <c r="T26" s="519">
        <f t="shared" si="15"/>
        <v>3579.7412011442502</v>
      </c>
      <c r="U26" s="519">
        <f t="shared" si="16"/>
        <v>22559.079123575495</v>
      </c>
      <c r="V26" s="3"/>
      <c r="W26" s="596">
        <f t="shared" si="17"/>
        <v>2016</v>
      </c>
      <c r="X26" s="1101">
        <f t="shared" si="18"/>
        <v>17944.000999950382</v>
      </c>
      <c r="Y26" s="1102">
        <f t="shared" si="19"/>
        <v>715.43001879258736</v>
      </c>
      <c r="Z26" s="1102">
        <f t="shared" si="20"/>
        <v>319.90690368827416</v>
      </c>
      <c r="AA26" s="1102">
        <f t="shared" si="21"/>
        <v>3579.7412011442502</v>
      </c>
      <c r="AB26" s="1142">
        <f t="shared" si="22"/>
        <v>22559.079123575495</v>
      </c>
      <c r="AC26" s="1102"/>
      <c r="AD26" s="1101">
        <f t="shared" si="23"/>
        <v>17944.000999950382</v>
      </c>
      <c r="AE26" s="1102">
        <f t="shared" si="24"/>
        <v>715.43001879258736</v>
      </c>
      <c r="AF26" s="1102">
        <f t="shared" si="25"/>
        <v>319.90690368827416</v>
      </c>
      <c r="AG26" s="1102">
        <f t="shared" si="26"/>
        <v>3579.7412011442502</v>
      </c>
      <c r="AH26" s="1142">
        <f t="shared" si="27"/>
        <v>22559.079123575495</v>
      </c>
      <c r="AI26" s="1422"/>
      <c r="AJ26" s="1101">
        <f t="shared" si="28"/>
        <v>17944.000999950382</v>
      </c>
      <c r="AK26" s="1102">
        <f t="shared" si="29"/>
        <v>715.43001879258736</v>
      </c>
      <c r="AL26" s="1102">
        <f t="shared" si="30"/>
        <v>319.90690368827416</v>
      </c>
      <c r="AM26" s="1102">
        <f t="shared" si="31"/>
        <v>3579.7412011442502</v>
      </c>
      <c r="AN26" s="1142">
        <f t="shared" si="32"/>
        <v>22559.079123575495</v>
      </c>
      <c r="AO26" s="1419"/>
      <c r="AP26" s="1101">
        <f t="shared" si="33"/>
        <v>17944.000999950382</v>
      </c>
      <c r="AQ26" s="1102">
        <f t="shared" si="34"/>
        <v>715.43001879258736</v>
      </c>
      <c r="AR26" s="1102">
        <f t="shared" si="35"/>
        <v>319.90690368827416</v>
      </c>
      <c r="AS26" s="1102">
        <f t="shared" si="36"/>
        <v>3579.7412011442502</v>
      </c>
      <c r="AT26" s="1142">
        <f t="shared" si="37"/>
        <v>22559.079123575495</v>
      </c>
      <c r="AU26" s="1415"/>
      <c r="AV26" s="1101">
        <f t="shared" si="38"/>
        <v>17944.000999950382</v>
      </c>
      <c r="AW26" s="1102">
        <f t="shared" si="39"/>
        <v>715.43001879258736</v>
      </c>
      <c r="AX26" s="1102">
        <f t="shared" si="40"/>
        <v>319.90690368827416</v>
      </c>
      <c r="AY26" s="1102">
        <f t="shared" si="41"/>
        <v>3579.7412011442502</v>
      </c>
      <c r="AZ26" s="1142">
        <f t="shared" si="42"/>
        <v>22559.079123575495</v>
      </c>
      <c r="BA26" s="1424"/>
      <c r="BB26" s="1101">
        <f t="shared" si="43"/>
        <v>17944.000999950382</v>
      </c>
      <c r="BC26" s="1102">
        <f t="shared" si="44"/>
        <v>715.43001879258736</v>
      </c>
      <c r="BD26" s="1102">
        <f t="shared" si="45"/>
        <v>319.90690368827416</v>
      </c>
      <c r="BE26" s="1102">
        <f t="shared" si="46"/>
        <v>3579.7412011442502</v>
      </c>
      <c r="BF26" s="1142">
        <f t="shared" si="47"/>
        <v>22559.079123575495</v>
      </c>
      <c r="BG26" s="1427"/>
      <c r="BH26" s="596">
        <f t="shared" si="48"/>
        <v>2016</v>
      </c>
      <c r="BI26" s="1102">
        <f>'Baseline data (from input)'!AZ72</f>
        <v>111.2009647431657</v>
      </c>
      <c r="BJ26" s="576">
        <f>'Baseline data (from input)'!BA72</f>
        <v>0.27897774744192294</v>
      </c>
      <c r="BK26" s="1103"/>
      <c r="BL26" s="1101">
        <f t="shared" si="49"/>
        <v>111.2009647431657</v>
      </c>
      <c r="BM26" s="576">
        <f t="shared" si="50"/>
        <v>0.27897774744192294</v>
      </c>
      <c r="BN26" s="1103"/>
      <c r="BO26" s="1102">
        <f t="shared" si="6"/>
        <v>111.2009647431657</v>
      </c>
      <c r="BP26" s="417">
        <f t="shared" si="6"/>
        <v>0.27897774744192294</v>
      </c>
      <c r="BQ26" s="1103"/>
      <c r="BR26" s="1101">
        <f>'Baseline data (from input)'!AZ73</f>
        <v>111.48215319455257</v>
      </c>
      <c r="BS26" s="417">
        <f>'Baseline data (from input)'!BA72</f>
        <v>0.27897774744192294</v>
      </c>
      <c r="BT26" s="1103"/>
      <c r="BU26" s="1102">
        <f t="shared" si="7"/>
        <v>111.2009647431657</v>
      </c>
      <c r="BV26" s="417">
        <f t="shared" si="7"/>
        <v>0.27897774744192294</v>
      </c>
      <c r="BW26" s="1103"/>
      <c r="BX26" s="1101">
        <f>BU26</f>
        <v>111.2009647431657</v>
      </c>
      <c r="BY26" s="417">
        <f>BV26</f>
        <v>0.27897774744192294</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838.02636536804357</v>
      </c>
      <c r="D27" s="515">
        <f>'4B Biological treatment '!T80</f>
        <v>0.26959352009873772</v>
      </c>
      <c r="E27" s="472">
        <f>'4B Biological treatment '!U80</f>
        <v>18.831708409380081</v>
      </c>
      <c r="F27" s="472">
        <f>'4B Biological treatment '!W80</f>
        <v>1.1299025045628048</v>
      </c>
      <c r="G27" s="515">
        <f>'4C2 Open-burning '!R87</f>
        <v>33.762481189099681</v>
      </c>
      <c r="H27" s="515">
        <f>'4C2 Open-burning '!Z87</f>
        <v>11.360041269191125</v>
      </c>
      <c r="I27" s="515">
        <f>'4C2 Open-burning '!AH87</f>
        <v>0.15815094808448069</v>
      </c>
      <c r="J27" s="986">
        <f>'4D Wastewater treatment and dis'!AV124</f>
        <v>131.15816527384879</v>
      </c>
      <c r="K27" s="515">
        <f>'4D Wastewater treatment and dis'!AW124</f>
        <v>2.8499148907355294</v>
      </c>
      <c r="L27" s="471">
        <f t="shared" si="8"/>
        <v>17598.553672728915</v>
      </c>
      <c r="M27" s="515">
        <f t="shared" si="53"/>
        <v>5.6614639220734917</v>
      </c>
      <c r="N27" s="471">
        <f t="shared" si="9"/>
        <v>745.73565301145118</v>
      </c>
      <c r="O27" s="514">
        <f t="shared" si="10"/>
        <v>321.35014174830235</v>
      </c>
      <c r="P27" s="471">
        <f t="shared" si="11"/>
        <v>3637.7950868788384</v>
      </c>
      <c r="Q27" s="471">
        <f t="shared" si="12"/>
        <v>17598.553672728915</v>
      </c>
      <c r="R27" s="517">
        <f t="shared" si="13"/>
        <v>751.39711693352467</v>
      </c>
      <c r="S27" s="514">
        <f t="shared" si="14"/>
        <v>321.35014174830235</v>
      </c>
      <c r="T27" s="471">
        <f t="shared" si="15"/>
        <v>3637.7950868788384</v>
      </c>
      <c r="U27" s="471">
        <f t="shared" si="16"/>
        <v>22309.09601828958</v>
      </c>
      <c r="V27" s="3"/>
      <c r="W27" s="596">
        <f t="shared" si="17"/>
        <v>2017</v>
      </c>
      <c r="X27" s="1101">
        <f t="shared" si="18"/>
        <v>17598.553672728915</v>
      </c>
      <c r="Y27" s="1102">
        <f t="shared" si="19"/>
        <v>751.39711693352467</v>
      </c>
      <c r="Z27" s="1102">
        <f t="shared" si="20"/>
        <v>321.35014174830235</v>
      </c>
      <c r="AA27" s="1102">
        <f t="shared" si="21"/>
        <v>3637.7950868788384</v>
      </c>
      <c r="AB27" s="1142">
        <f t="shared" si="22"/>
        <v>22309.09601828958</v>
      </c>
      <c r="AC27" s="1102"/>
      <c r="AD27" s="1101">
        <f>Q27</f>
        <v>17598.553672728915</v>
      </c>
      <c r="AE27" s="1102">
        <f t="shared" si="24"/>
        <v>751.39711693352467</v>
      </c>
      <c r="AF27" s="1102">
        <f t="shared" si="25"/>
        <v>321.35014174830235</v>
      </c>
      <c r="AG27" s="1102">
        <f t="shared" si="26"/>
        <v>3637.7950868788384</v>
      </c>
      <c r="AH27" s="1142">
        <f>SUM(AD27:AG27)</f>
        <v>22309.09601828958</v>
      </c>
      <c r="AI27" s="1422"/>
      <c r="AJ27" s="1101">
        <f t="shared" si="28"/>
        <v>17598.553672728915</v>
      </c>
      <c r="AK27" s="1102">
        <f t="shared" si="29"/>
        <v>751.39711693352467</v>
      </c>
      <c r="AL27" s="1102">
        <f t="shared" si="30"/>
        <v>321.35014174830235</v>
      </c>
      <c r="AM27" s="1102">
        <f t="shared" si="31"/>
        <v>3637.7950868788384</v>
      </c>
      <c r="AN27" s="1142">
        <f t="shared" si="32"/>
        <v>22309.09601828958</v>
      </c>
      <c r="AO27" s="1419"/>
      <c r="AP27" s="1101">
        <f t="shared" ref="AP27" si="54">Q27</f>
        <v>17598.553672728915</v>
      </c>
      <c r="AQ27" s="1102">
        <f t="shared" ref="AQ27" si="55">R27</f>
        <v>751.39711693352467</v>
      </c>
      <c r="AR27" s="1102">
        <f t="shared" ref="AR27" si="56">S27</f>
        <v>321.35014174830235</v>
      </c>
      <c r="AS27" s="1102">
        <f t="shared" ref="AS27" si="57">T27</f>
        <v>3637.7950868788384</v>
      </c>
      <c r="AT27" s="1142">
        <f t="shared" si="37"/>
        <v>22309.09601828958</v>
      </c>
      <c r="AU27" s="1415"/>
      <c r="AV27" s="1101">
        <f t="shared" si="38"/>
        <v>17598.553672728915</v>
      </c>
      <c r="AW27" s="1102">
        <f t="shared" si="39"/>
        <v>751.39711693352467</v>
      </c>
      <c r="AX27" s="1102">
        <f t="shared" si="40"/>
        <v>321.35014174830235</v>
      </c>
      <c r="AY27" s="1102">
        <f t="shared" si="41"/>
        <v>3637.7950868788384</v>
      </c>
      <c r="AZ27" s="1142">
        <f t="shared" si="42"/>
        <v>22309.09601828958</v>
      </c>
      <c r="BA27" s="1424"/>
      <c r="BB27" s="1101">
        <f t="shared" si="43"/>
        <v>17598.553672728915</v>
      </c>
      <c r="BC27" s="1102">
        <f t="shared" si="44"/>
        <v>751.39711693352467</v>
      </c>
      <c r="BD27" s="1102">
        <f t="shared" si="45"/>
        <v>321.35014174830235</v>
      </c>
      <c r="BE27" s="1102">
        <f t="shared" si="46"/>
        <v>3637.7950868788384</v>
      </c>
      <c r="BF27" s="1142">
        <f t="shared" si="47"/>
        <v>22309.09601828958</v>
      </c>
      <c r="BG27" s="1427"/>
      <c r="BH27" s="596">
        <f t="shared" si="48"/>
        <v>2017</v>
      </c>
      <c r="BI27" s="1102">
        <f>'Recycling - Case 1'!BV97</f>
        <v>111.48215319455257</v>
      </c>
      <c r="BJ27" s="417">
        <f>'Recycling - Case 1'!BW97</f>
        <v>0.28613022309776337</v>
      </c>
      <c r="BK27" s="1142">
        <f>'Recycling - Case 1'!BX97</f>
        <v>49.995050999999997</v>
      </c>
      <c r="BL27" s="1101">
        <f>'Recycling - Case 1'!BY97</f>
        <v>111.48215319455257</v>
      </c>
      <c r="BM27" s="576">
        <f>'Recycling - Case 1'!BZ97</f>
        <v>0.28613022309776337</v>
      </c>
      <c r="BN27" s="1142">
        <f>'Recycling - Case 1'!CA97</f>
        <v>49.995050999999997</v>
      </c>
      <c r="BO27" s="1102">
        <f>'Recycling - Case 2'!BV97</f>
        <v>111.48215319455257</v>
      </c>
      <c r="BP27" s="417">
        <f>'Recycling - Case 2'!BW97</f>
        <v>0.28613022309776337</v>
      </c>
      <c r="BQ27" s="1142">
        <f>'Recycling - Case 2'!BX97</f>
        <v>49.995050999999997</v>
      </c>
      <c r="BR27" s="1101">
        <f>'Recycling - Case 2'!BY97</f>
        <v>111.48215319455257</v>
      </c>
      <c r="BS27" s="417">
        <f>'Recycling - Case 2'!BZ97</f>
        <v>0.28613022309776337</v>
      </c>
      <c r="BT27" s="1142">
        <f>'Recycling - Case 2'!CA97</f>
        <v>49.995050999999997</v>
      </c>
      <c r="BU27" s="1102">
        <f>'Recycling - Case 3'!BV97</f>
        <v>111.48215319455257</v>
      </c>
      <c r="BV27" s="417">
        <f>'Recycling - Case 3'!BW97</f>
        <v>0.28613022309776337</v>
      </c>
      <c r="BW27" s="1142">
        <f>'Recycling - Case 3'!BX97</f>
        <v>49.995050999999997</v>
      </c>
      <c r="BX27" s="1101">
        <f>'Recycling - Case 3'!BY97</f>
        <v>111.48215319455257</v>
      </c>
      <c r="BY27" s="417">
        <f>'Recycling - Case 3'!BZ97</f>
        <v>0.28613022309776337</v>
      </c>
      <c r="BZ27" s="1142">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17230.856890422718</v>
      </c>
      <c r="Y28" s="1102">
        <f t="shared" ref="Y28:AA28" si="58">R29</f>
        <v>813.95770311191973</v>
      </c>
      <c r="Z28" s="1102">
        <f t="shared" si="58"/>
        <v>313.05069559326625</v>
      </c>
      <c r="AA28" s="1102">
        <f t="shared" si="58"/>
        <v>3728.7332486308678</v>
      </c>
      <c r="AB28" s="1142">
        <f t="shared" si="22"/>
        <v>22086.598537758771</v>
      </c>
      <c r="AC28" s="1423" t="str">
        <f>IF(OR('Recycling - Case 1'!AC98="No",'Recycling - Case 1'!T138="No"), "No", "Yes")</f>
        <v>Yes</v>
      </c>
      <c r="AD28" s="1101">
        <f>Q63</f>
        <v>17230.856890422718</v>
      </c>
      <c r="AE28" s="1102">
        <f t="shared" ref="AE28:AG28" si="59">R63</f>
        <v>813.95770311191973</v>
      </c>
      <c r="AF28" s="1102">
        <f t="shared" si="59"/>
        <v>313.05069559326625</v>
      </c>
      <c r="AG28" s="1102">
        <f t="shared" si="59"/>
        <v>3728.7332486308678</v>
      </c>
      <c r="AH28" s="1142">
        <f t="shared" ref="AH28:AH60" si="60">SUM(AD28:AG28)</f>
        <v>22086.598537758771</v>
      </c>
      <c r="AI28" s="1423" t="str">
        <f>IF(OR('Recycling - Case 1'!AC98="No",'Recycling - Case 1'!T178="No"), "No", "Yes")</f>
        <v>Yes</v>
      </c>
      <c r="AJ28" s="1101">
        <f>Q97</f>
        <v>17230.856890422718</v>
      </c>
      <c r="AK28" s="1102">
        <f t="shared" ref="AK28:AN28" si="61">R97</f>
        <v>813.95770311191973</v>
      </c>
      <c r="AL28" s="1102">
        <f t="shared" si="61"/>
        <v>313.30333811016675</v>
      </c>
      <c r="AM28" s="1102">
        <f t="shared" si="61"/>
        <v>3778.1317878798554</v>
      </c>
      <c r="AN28" s="1142">
        <f t="shared" si="61"/>
        <v>22136.249719524658</v>
      </c>
      <c r="AO28" s="1416" t="str">
        <f>IF(OR('Recycling - Case 2'!AC98="No",'Recycling - Case 2'!T138="No"), "No", "Yes")</f>
        <v>Yes</v>
      </c>
      <c r="AP28" s="1101">
        <f>Q131</f>
        <v>17230.856890422718</v>
      </c>
      <c r="AQ28" s="1102">
        <f t="shared" ref="AQ28:AS28" si="62">R131</f>
        <v>813.95770311191973</v>
      </c>
      <c r="AR28" s="1102">
        <f t="shared" si="62"/>
        <v>313.30333811016675</v>
      </c>
      <c r="AS28" s="1102">
        <f t="shared" si="62"/>
        <v>3778.1317878798554</v>
      </c>
      <c r="AT28" s="1142">
        <f t="shared" si="37"/>
        <v>22136.249719524658</v>
      </c>
      <c r="AU28" s="1423" t="str">
        <f>IF(OR('Recycling - Case 2'!AC98="No",'Recycling - Case 2'!T178="No"), "No", "Yes")</f>
        <v>Yes</v>
      </c>
      <c r="AV28" s="1101">
        <f t="shared" ref="AV28:AV60" si="63">Q165</f>
        <v>17230.856890422718</v>
      </c>
      <c r="AW28" s="1102">
        <f t="shared" ref="AW28:AW60" si="64">R165</f>
        <v>751.6821103048419</v>
      </c>
      <c r="AX28" s="1102">
        <f t="shared" ref="AX28:AX60" si="65">S165</f>
        <v>313.30333811016669</v>
      </c>
      <c r="AY28" s="1102">
        <f t="shared" ref="AY28:AY60" si="66">T165</f>
        <v>3778.1317878798554</v>
      </c>
      <c r="AZ28" s="1142">
        <f t="shared" ref="AZ28:AZ60" si="67">U165</f>
        <v>22073.974126717581</v>
      </c>
      <c r="BA28" s="1423" t="str">
        <f>IF(OR('Recycling - Case 3'!AC98="No",'Recycling - Case 3'!T138="No"), "No", "Yes")</f>
        <v>Yes</v>
      </c>
      <c r="BB28" s="1101">
        <f>Q199</f>
        <v>17230.856890422718</v>
      </c>
      <c r="BC28" s="1102">
        <f t="shared" ref="BC28:BE28" si="68">R199</f>
        <v>751.6821103048419</v>
      </c>
      <c r="BD28" s="1102">
        <f t="shared" si="68"/>
        <v>313.30333811016669</v>
      </c>
      <c r="BE28" s="1102">
        <f t="shared" si="68"/>
        <v>3778.1317878798554</v>
      </c>
      <c r="BF28" s="1142">
        <f t="shared" si="47"/>
        <v>22073.974126717581</v>
      </c>
      <c r="BG28" s="1423" t="str">
        <f>IF(OR('Recycling - Case 3'!AC98="No",'Recycling - Case 3'!T178="No"), "No", "Yes")</f>
        <v>Yes</v>
      </c>
      <c r="BH28" s="596">
        <f t="shared" si="48"/>
        <v>2018</v>
      </c>
      <c r="BI28" s="1102">
        <f>'Recycling - Case 1'!BV98</f>
        <v>108.3176056127139</v>
      </c>
      <c r="BJ28" s="417">
        <f>'Recycling - Case 1'!BW98</f>
        <v>0.30342298638676968</v>
      </c>
      <c r="BK28" s="1142">
        <f>'Recycling - Case 1'!BX98</f>
        <v>50.359792847133136</v>
      </c>
      <c r="BL28" s="1101">
        <f>'Recycling - Case 1'!BY98</f>
        <v>108.3176056127139</v>
      </c>
      <c r="BM28" s="576">
        <f>'Recycling - Case 1'!BZ98</f>
        <v>0.30342298638676968</v>
      </c>
      <c r="BN28" s="1142">
        <f>'Recycling - Case 1'!CA98</f>
        <v>50.359792847133136</v>
      </c>
      <c r="BO28" s="1102">
        <f>'Recycling - Case 2'!BV98</f>
        <v>108.79675618524169</v>
      </c>
      <c r="BP28" s="417">
        <f>'Recycling - Case 2'!BW98</f>
        <v>0.31239939440446801</v>
      </c>
      <c r="BQ28" s="1142">
        <f>'Recycling - Case 2'!BX98</f>
        <v>50.359792847133136</v>
      </c>
      <c r="BR28" s="1101">
        <f>'Recycling - Case 2'!BY98</f>
        <v>108.79675618524169</v>
      </c>
      <c r="BS28" s="417">
        <f>'Recycling - Case 2'!BZ98</f>
        <v>0.31239939440446801</v>
      </c>
      <c r="BT28" s="1142">
        <f>'Recycling - Case 2'!CA98</f>
        <v>50.359792847133136</v>
      </c>
      <c r="BU28" s="1102">
        <f>'Recycling - Case 3'!BV98</f>
        <v>108.79675618524169</v>
      </c>
      <c r="BV28" s="417">
        <f>'Recycling - Case 3'!BW98</f>
        <v>0.31239939440446801</v>
      </c>
      <c r="BW28" s="1142">
        <f>'Recycling - Case 3'!BX98</f>
        <v>50.359792847133136</v>
      </c>
      <c r="BX28" s="1101">
        <f>'Recycling - Case 3'!BY98</f>
        <v>108.79675618524169</v>
      </c>
      <c r="BY28" s="417">
        <f>'Recycling - Case 3'!BZ98</f>
        <v>0.31239939440446801</v>
      </c>
      <c r="BZ28" s="1142">
        <f>'Recycling - Case 3'!CA98</f>
        <v>50.359792847133136</v>
      </c>
      <c r="CA28" s="596">
        <v>2018</v>
      </c>
      <c r="CB28" s="649">
        <f>'Recycling - Case 1'!CB98</f>
        <v>2.3712632285903479E-2</v>
      </c>
      <c r="CC28" s="417">
        <f>'Recycling - Case 1'!CC98</f>
        <v>4.2790890844820795E-2</v>
      </c>
      <c r="CD28" s="417">
        <f>'Recycling - Case 1'!CD98</f>
        <v>2.3712632285903479E-2</v>
      </c>
      <c r="CE28" s="525">
        <f>'Recycling - Case 1'!CE98</f>
        <v>4.2790890844820795E-2</v>
      </c>
      <c r="CF28" s="649">
        <f>'Recycling - Case 2'!CB98</f>
        <v>2.3097802675159818E-2</v>
      </c>
      <c r="CG28" s="417">
        <f>'Recycling - Case 2'!CC98</f>
        <v>3.7534536819961217E-2</v>
      </c>
      <c r="CH28" s="417">
        <f>'Recycling - Case 2'!CD98</f>
        <v>2.3097802675159818E-2</v>
      </c>
      <c r="CI28" s="525">
        <f>'Recycling - Case 2'!CE98</f>
        <v>3.7534536819961217E-2</v>
      </c>
      <c r="CJ28" s="649">
        <f>'Recycling - Case 3'!CB98</f>
        <v>2.3097802675159818E-2</v>
      </c>
      <c r="CK28" s="417">
        <f>'Recycling - Case 3'!CC98</f>
        <v>3.7534536819961217E-2</v>
      </c>
      <c r="CL28" s="417">
        <f>'Recycling - Case 3'!CD98</f>
        <v>2.3097802675159818E-2</v>
      </c>
      <c r="CM28" s="525">
        <f>'Recycling - Case 3'!CE98</f>
        <v>3.7534536819961217E-2</v>
      </c>
    </row>
    <row r="29" spans="1:91">
      <c r="A29" s="1428">
        <f>'Input data'!A118</f>
        <v>2018</v>
      </c>
      <c r="B29" s="1428"/>
      <c r="C29" s="1429">
        <f>'4A SWD Case 1'!BG88</f>
        <v>820.5169947820342</v>
      </c>
      <c r="D29" s="515">
        <f>'4B Biological treatment '!T82</f>
        <v>0.32115863087580998</v>
      </c>
      <c r="E29" s="1430">
        <f>'4B Biological treatment '!U82</f>
        <v>20.384176057159792</v>
      </c>
      <c r="F29" s="1430">
        <f>'4B Biological treatment '!W82</f>
        <v>1.2230505634295874</v>
      </c>
      <c r="G29" s="515">
        <f>'4C2 Open-burning '!R89</f>
        <v>32.890504306921038</v>
      </c>
      <c r="H29" s="515">
        <f>'4C2 Open-burning '!Z89</f>
        <v>11.066647744235141</v>
      </c>
      <c r="I29" s="515">
        <f>'4C2 Open-burning '!AH89</f>
        <v>0.15406641502389429</v>
      </c>
      <c r="J29" s="1431">
        <f>'4D Wastewater treatment and dis'!AV126</f>
        <v>134.80821026422416</v>
      </c>
      <c r="K29" s="1432">
        <f>'4D Wastewater treatment and dis'!AW126</f>
        <v>2.8960026873618072</v>
      </c>
      <c r="L29" s="1433">
        <f t="shared" ref="L29:L61" si="69">C29*$B$3</f>
        <v>17230.856890422718</v>
      </c>
      <c r="M29" s="1432">
        <f t="shared" ref="M29:M61" si="70">D29*$B$3</f>
        <v>6.7443312483920099</v>
      </c>
      <c r="N29" s="1433">
        <f t="shared" ref="N29:N61" si="71">E29*$B$3+F29*$C$3</f>
        <v>807.21337186352775</v>
      </c>
      <c r="O29" s="1429">
        <f t="shared" ref="O29:O61" si="72">G29+H29*$B$3+I29*$C$3</f>
        <v>313.05069559326625</v>
      </c>
      <c r="P29" s="1433">
        <f t="shared" ref="P29:P61" si="73">J29*$B$3+K29*$C$3</f>
        <v>3728.7332486308678</v>
      </c>
      <c r="Q29" s="471">
        <f t="shared" ref="Q29:Q125" si="74">L29</f>
        <v>17230.856890422718</v>
      </c>
      <c r="R29" s="517">
        <f t="shared" ref="R29:R125" si="75">M29+N29</f>
        <v>813.95770311191973</v>
      </c>
      <c r="S29" s="514">
        <f t="shared" ref="S29:S125" si="76">O29</f>
        <v>313.05069559326625</v>
      </c>
      <c r="T29" s="471">
        <f t="shared" ref="T29:T125" si="77">P29</f>
        <v>3728.7332486308678</v>
      </c>
      <c r="U29" s="471">
        <f t="shared" ref="U29:U125" si="78">SUM(Q29:T29)</f>
        <v>22086.598537758771</v>
      </c>
      <c r="V29" s="3"/>
      <c r="W29" s="596">
        <f t="shared" ref="W29:W60" si="79">A30</f>
        <v>2019</v>
      </c>
      <c r="X29" s="1101">
        <f t="shared" ref="X29:X60" si="80">Q30</f>
        <v>16834.009318398883</v>
      </c>
      <c r="Y29" s="1102">
        <f t="shared" ref="Y29:Y60" si="81">R30</f>
        <v>865.39064549148964</v>
      </c>
      <c r="Z29" s="1102">
        <f t="shared" ref="Z29:Z60" si="82">S30</f>
        <v>304.9221239283998</v>
      </c>
      <c r="AA29" s="1102">
        <f t="shared" ref="AA29:AA60" si="83">T30</f>
        <v>3821.6612855587077</v>
      </c>
      <c r="AB29" s="1142">
        <f t="shared" si="22"/>
        <v>21825.983373377483</v>
      </c>
      <c r="AC29" s="1423" t="str">
        <f>IF(OR('Recycling - Case 1'!AC99="No",'Recycling - Case 1'!T139="No"), "No", "Yes")</f>
        <v>Yes</v>
      </c>
      <c r="AD29" s="1101">
        <f t="shared" ref="AD29:AD60" si="84">Q64</f>
        <v>16834.009318398883</v>
      </c>
      <c r="AE29" s="1102">
        <f t="shared" ref="AE29:AE60" si="85">R64</f>
        <v>865.39064549148964</v>
      </c>
      <c r="AF29" s="1102">
        <f t="shared" ref="AF29:AF60" si="86">S64</f>
        <v>304.9221239283998</v>
      </c>
      <c r="AG29" s="1102">
        <f t="shared" ref="AG29:AG60" si="87">T64</f>
        <v>3821.6612855587077</v>
      </c>
      <c r="AH29" s="1142">
        <f t="shared" si="60"/>
        <v>21825.983373377483</v>
      </c>
      <c r="AI29" s="1423" t="str">
        <f>IF(OR('Recycling - Case 1'!AI10="No",'Recycling - Case 1'!Z139="No"), "No", "Yes")</f>
        <v>Yes</v>
      </c>
      <c r="AJ29" s="1101">
        <f t="shared" ref="AJ29:AJ60" si="88">Q98</f>
        <v>16839.898969230198</v>
      </c>
      <c r="AK29" s="1102">
        <f t="shared" ref="AK29:AK60" si="89">R98</f>
        <v>865.39064549148964</v>
      </c>
      <c r="AL29" s="1102">
        <f t="shared" ref="AL29:AL60" si="90">S98</f>
        <v>307.81392004196488</v>
      </c>
      <c r="AM29" s="1102">
        <f t="shared" ref="AM29:AM60" si="91">T98</f>
        <v>3922.0560748079342</v>
      </c>
      <c r="AN29" s="1142">
        <f t="shared" ref="AN29:AN60" si="92">U98</f>
        <v>21935.159609571587</v>
      </c>
      <c r="AO29" s="1416" t="str">
        <f>IF(OR('Recycling - Case 2'!AC99="No",'Recycling - Case 2'!T139="No"), "No", "Yes")</f>
        <v>Yes</v>
      </c>
      <c r="AP29" s="1101">
        <f t="shared" ref="AP29:AP60" si="93">Q132</f>
        <v>16839.898969230198</v>
      </c>
      <c r="AQ29" s="1102">
        <f t="shared" ref="AQ29:AQ60" si="94">R132</f>
        <v>865.39064549148964</v>
      </c>
      <c r="AR29" s="1102">
        <f t="shared" ref="AR29:AR60" si="95">S132</f>
        <v>307.81392004196488</v>
      </c>
      <c r="AS29" s="1102">
        <f t="shared" ref="AS29:AS60" si="96">T132</f>
        <v>3922.0560748079342</v>
      </c>
      <c r="AT29" s="1142">
        <f t="shared" si="37"/>
        <v>21935.159609571587</v>
      </c>
      <c r="AU29" s="1423" t="str">
        <f>IF(OR('Recycling - Case 2'!AC99="No",'Recycling - Case 2'!T179="No"), "No", "Yes")</f>
        <v>Yes</v>
      </c>
      <c r="AV29" s="1101">
        <f t="shared" si="63"/>
        <v>16839.906548915631</v>
      </c>
      <c r="AW29" s="1102">
        <f t="shared" si="64"/>
        <v>732.13861170648022</v>
      </c>
      <c r="AX29" s="1102">
        <f t="shared" si="65"/>
        <v>307.81392004196488</v>
      </c>
      <c r="AY29" s="1102">
        <f t="shared" si="66"/>
        <v>3922.0560748079342</v>
      </c>
      <c r="AZ29" s="1142">
        <f t="shared" si="67"/>
        <v>21801.915155472008</v>
      </c>
      <c r="BA29" s="1423" t="str">
        <f>IF(OR('Recycling - Case 3'!AC99="No",'Recycling - Case 3'!T139="No"), "No", "Yes")</f>
        <v>Yes</v>
      </c>
      <c r="BB29" s="1101">
        <f t="shared" ref="BB29:BB60" si="97">Q200</f>
        <v>16839.906548915631</v>
      </c>
      <c r="BC29" s="1102">
        <f t="shared" ref="BC29:BC60" si="98">R200</f>
        <v>732.13861170648022</v>
      </c>
      <c r="BD29" s="1102">
        <f t="shared" ref="BD29:BD60" si="99">S200</f>
        <v>307.81392004196488</v>
      </c>
      <c r="BE29" s="1102">
        <f t="shared" ref="BE29:BE60" si="100">T200</f>
        <v>3922.0560748079342</v>
      </c>
      <c r="BF29" s="1142">
        <f t="shared" si="47"/>
        <v>21801.915155472008</v>
      </c>
      <c r="BG29" s="1423" t="str">
        <f>IF(OR('Recycling - Case 3'!AC99="No",'Recycling - Case 3'!T179="No"), "No", "Yes")</f>
        <v>Yes</v>
      </c>
      <c r="BH29" s="596">
        <f t="shared" si="48"/>
        <v>2019</v>
      </c>
      <c r="BI29" s="1102">
        <f>'Recycling - Case 1'!BV99</f>
        <v>105.41143564628373</v>
      </c>
      <c r="BJ29" s="417">
        <f>'Recycling - Case 1'!BW99</f>
        <v>0.3213836662239094</v>
      </c>
      <c r="BK29" s="1142">
        <f>'Recycling - Case 1'!BX99</f>
        <v>53.404857831011547</v>
      </c>
      <c r="BL29" s="1101">
        <f>'Recycling - Case 1'!BY99</f>
        <v>105.41143564628373</v>
      </c>
      <c r="BM29" s="576">
        <f>'Recycling - Case 1'!BZ99</f>
        <v>0.3213836662239094</v>
      </c>
      <c r="BN29" s="1142">
        <f>'Recycling - Case 1'!CA99</f>
        <v>53.404857831011547</v>
      </c>
      <c r="BO29" s="1102">
        <f>'Recycling - Case 2'!BV99</f>
        <v>107.06936587159521</v>
      </c>
      <c r="BP29" s="417">
        <f>'Recycling - Case 2'!BW99</f>
        <v>0.33847064590569859</v>
      </c>
      <c r="BQ29" s="1142">
        <f>'Recycling - Case 2'!BX99</f>
        <v>53.404857831011547</v>
      </c>
      <c r="BR29" s="1101">
        <f>'Recycling - Case 2'!BY99</f>
        <v>107.06936587159521</v>
      </c>
      <c r="BS29" s="417">
        <f>'Recycling - Case 2'!BZ99</f>
        <v>0.33847064590569859</v>
      </c>
      <c r="BT29" s="1142">
        <f>'Recycling - Case 2'!CA99</f>
        <v>53.404857831011547</v>
      </c>
      <c r="BU29" s="1102">
        <f>'Recycling - Case 3'!BV99</f>
        <v>107.06936587159521</v>
      </c>
      <c r="BV29" s="417">
        <f>'Recycling - Case 3'!BW99</f>
        <v>0.33847064590569859</v>
      </c>
      <c r="BW29" s="1142">
        <f>'Recycling - Case 3'!BX99</f>
        <v>53.404857831011547</v>
      </c>
      <c r="BX29" s="1101">
        <f>'Recycling - Case 3'!BY99</f>
        <v>107.06936587159521</v>
      </c>
      <c r="BY29" s="417">
        <f>'Recycling - Case 3'!BZ99</f>
        <v>0.33847064590569859</v>
      </c>
      <c r="BZ29" s="1142">
        <f>'Recycling - Case 3'!CA99</f>
        <v>53.404857831011547</v>
      </c>
      <c r="CA29" s="596">
        <v>2019</v>
      </c>
      <c r="CB29" s="649">
        <f>'Recycling - Case 1'!CB99</f>
        <v>4.7766344222348933E-2</v>
      </c>
      <c r="CC29" s="417">
        <f>'Recycling - Case 1'!CC99</f>
        <v>0.10539487979673434</v>
      </c>
      <c r="CD29" s="417">
        <f>'Recycling - Case 1'!CD99</f>
        <v>4.7766344222348933E-2</v>
      </c>
      <c r="CE29" s="525">
        <f>'Recycling - Case 1'!CE99</f>
        <v>0.10539487979673434</v>
      </c>
      <c r="CF29" s="649">
        <f>'Recycling - Case 2'!CB99</f>
        <v>4.2261345922522509E-2</v>
      </c>
      <c r="CG29" s="417">
        <f>'Recycling - Case 2'!CC99</f>
        <v>8.8760290106708384E-2</v>
      </c>
      <c r="CH29" s="417">
        <f>'Recycling - Case 2'!CD99</f>
        <v>4.2261345922522509E-2</v>
      </c>
      <c r="CI29" s="525">
        <f>'Recycling - Case 2'!CE99</f>
        <v>8.8760290106708384E-2</v>
      </c>
      <c r="CJ29" s="649">
        <f>'Recycling - Case 3'!CB99</f>
        <v>4.2261345922522509E-2</v>
      </c>
      <c r="CK29" s="417">
        <f>'Recycling - Case 3'!CC99</f>
        <v>8.8760290106708384E-2</v>
      </c>
      <c r="CL29" s="417">
        <f>'Recycling - Case 3'!CD99</f>
        <v>4.2261345922522509E-2</v>
      </c>
      <c r="CM29" s="525">
        <f>'Recycling - Case 3'!CE99</f>
        <v>8.8760290106708384E-2</v>
      </c>
    </row>
    <row r="30" spans="1:91">
      <c r="A30" s="4">
        <f>'Input data'!A119</f>
        <v>2019</v>
      </c>
      <c r="B30" s="4"/>
      <c r="C30" s="769">
        <f>'4A SWD Case 1'!BG89</f>
        <v>801.61949135232783</v>
      </c>
      <c r="D30" s="3">
        <f>'4B Biological treatment '!T83</f>
        <v>0.37426178802245613</v>
      </c>
      <c r="E30" s="1157">
        <f>'4B Biological treatment '!U83</f>
        <v>21.654826968258032</v>
      </c>
      <c r="F30" s="1157">
        <f>'4B Biological treatment '!W83</f>
        <v>1.2992896180954818</v>
      </c>
      <c r="G30" s="952">
        <f>'4C2 Open-burning '!R90</f>
        <v>32.036480261883405</v>
      </c>
      <c r="H30" s="952">
        <f>'4C2 Open-burning '!Z90</f>
        <v>10.779294799344312</v>
      </c>
      <c r="I30" s="952">
        <f>'4C2 Open-burning '!AH90</f>
        <v>0.1500659770331802</v>
      </c>
      <c r="J30" s="987">
        <f>'4D Wastewater treatment and dis'!AV127</f>
        <v>138.54200894277699</v>
      </c>
      <c r="K30" s="770">
        <f>'4D Wastewater treatment and dis'!AW127</f>
        <v>2.9428357992270668</v>
      </c>
      <c r="L30" s="771">
        <f t="shared" si="69"/>
        <v>16834.009318398883</v>
      </c>
      <c r="M30" s="772">
        <f t="shared" si="70"/>
        <v>7.8594975484715786</v>
      </c>
      <c r="N30" s="771">
        <f t="shared" si="71"/>
        <v>857.53114794301803</v>
      </c>
      <c r="O30" s="773">
        <f t="shared" si="72"/>
        <v>304.9221239283998</v>
      </c>
      <c r="P30" s="771">
        <f t="shared" si="73"/>
        <v>3821.6612855587077</v>
      </c>
      <c r="Q30" s="519">
        <f t="shared" si="74"/>
        <v>16834.009318398883</v>
      </c>
      <c r="R30" s="521">
        <f t="shared" si="75"/>
        <v>865.39064549148964</v>
      </c>
      <c r="S30" s="518">
        <f t="shared" si="76"/>
        <v>304.9221239283998</v>
      </c>
      <c r="T30" s="519">
        <f t="shared" si="77"/>
        <v>3821.6612855587077</v>
      </c>
      <c r="U30" s="519">
        <f t="shared" si="78"/>
        <v>21825.983373377483</v>
      </c>
      <c r="V30" s="3"/>
      <c r="W30" s="596">
        <f t="shared" si="79"/>
        <v>2020</v>
      </c>
      <c r="X30" s="1101">
        <f t="shared" si="80"/>
        <v>16398.341422829781</v>
      </c>
      <c r="Y30" s="1102">
        <f t="shared" si="81"/>
        <v>899.66541432358542</v>
      </c>
      <c r="Z30" s="1102">
        <f t="shared" si="82"/>
        <v>296.95916503445704</v>
      </c>
      <c r="AA30" s="1102">
        <f t="shared" si="83"/>
        <v>3916.619774427455</v>
      </c>
      <c r="AB30" s="1142">
        <f t="shared" si="22"/>
        <v>21511.585776615277</v>
      </c>
      <c r="AC30" s="1423" t="str">
        <f>IF(OR('Recycling - Case 1'!AC100="No",'Recycling - Case 1'!T140="No"), "No", "Yes")</f>
        <v>Yes</v>
      </c>
      <c r="AD30" s="1101">
        <f t="shared" si="84"/>
        <v>16398.341422829781</v>
      </c>
      <c r="AE30" s="1102">
        <f t="shared" si="85"/>
        <v>899.66541432358542</v>
      </c>
      <c r="AF30" s="1102">
        <f t="shared" si="86"/>
        <v>296.95916503445704</v>
      </c>
      <c r="AG30" s="1102">
        <f t="shared" si="87"/>
        <v>3916.619774427455</v>
      </c>
      <c r="AH30" s="1142">
        <f t="shared" si="60"/>
        <v>21511.585776615277</v>
      </c>
      <c r="AI30" s="1423" t="str">
        <f>IF(OR('Recycling - Case 1'!AI11="No",'Recycling - Case 1'!Z140="No"), "No", "Yes")</f>
        <v>Yes</v>
      </c>
      <c r="AJ30" s="1101">
        <f t="shared" si="88"/>
        <v>16420.907446437795</v>
      </c>
      <c r="AK30" s="1102">
        <f t="shared" si="89"/>
        <v>955.12514264041192</v>
      </c>
      <c r="AL30" s="1102">
        <f t="shared" si="90"/>
        <v>299.52410113774715</v>
      </c>
      <c r="AM30" s="1102">
        <f t="shared" si="91"/>
        <v>4069.6472808319609</v>
      </c>
      <c r="AN30" s="1142">
        <f t="shared" si="92"/>
        <v>21745.203971047915</v>
      </c>
      <c r="AO30" s="1416" t="str">
        <f>IF(OR('Recycling - Case 2'!AC100="No",'Recycling - Case 2'!T140="No"), "No", "Yes")</f>
        <v>Yes</v>
      </c>
      <c r="AP30" s="1101">
        <f t="shared" si="93"/>
        <v>16420.907446437795</v>
      </c>
      <c r="AQ30" s="1102">
        <f t="shared" si="94"/>
        <v>955.12514264041192</v>
      </c>
      <c r="AR30" s="1102">
        <f t="shared" si="95"/>
        <v>299.52410113774715</v>
      </c>
      <c r="AS30" s="1102">
        <f t="shared" si="96"/>
        <v>4069.6472808319609</v>
      </c>
      <c r="AT30" s="1142">
        <f t="shared" si="37"/>
        <v>21745.203971047915</v>
      </c>
      <c r="AU30" s="1423" t="str">
        <f>IF(OR('Recycling - Case 2'!AC100="No",'Recycling - Case 2'!T180="No"), "No", "Yes")</f>
        <v>Yes</v>
      </c>
      <c r="AV30" s="1101">
        <f t="shared" si="63"/>
        <v>16420.92998923947</v>
      </c>
      <c r="AW30" s="1102">
        <f t="shared" si="64"/>
        <v>733.17169299224111</v>
      </c>
      <c r="AX30" s="1102">
        <f t="shared" si="65"/>
        <v>299.52410113774715</v>
      </c>
      <c r="AY30" s="1102">
        <f t="shared" si="66"/>
        <v>4069.6472808319609</v>
      </c>
      <c r="AZ30" s="1142">
        <f t="shared" si="67"/>
        <v>21523.273064201418</v>
      </c>
      <c r="BA30" s="1423" t="str">
        <f>IF(OR('Recycling - Case 3'!AC100="No",'Recycling - Case 3'!T140="No"), "No", "Yes")</f>
        <v>Yes</v>
      </c>
      <c r="BB30" s="1101">
        <f t="shared" si="97"/>
        <v>16420.92998923947</v>
      </c>
      <c r="BC30" s="1102">
        <f t="shared" si="98"/>
        <v>733.17169299224111</v>
      </c>
      <c r="BD30" s="1102">
        <f t="shared" si="99"/>
        <v>299.52410113774715</v>
      </c>
      <c r="BE30" s="1102">
        <f t="shared" si="100"/>
        <v>4069.6472808319609</v>
      </c>
      <c r="BF30" s="1142">
        <f t="shared" si="47"/>
        <v>21523.273064201418</v>
      </c>
      <c r="BG30" s="1423" t="str">
        <f>IF(OR('Recycling - Case 3'!AC100="No",'Recycling - Case 3'!T180="No"), "No", "Yes")</f>
        <v>Yes</v>
      </c>
      <c r="BH30" s="596">
        <f t="shared" si="48"/>
        <v>2020</v>
      </c>
      <c r="BI30" s="1102">
        <f>'Recycling - Case 1'!BV100</f>
        <v>101.24053187147528</v>
      </c>
      <c r="BJ30" s="417">
        <f>'Recycling - Case 1'!BW100</f>
        <v>0.33011313054603664</v>
      </c>
      <c r="BK30" s="1142">
        <f>'Recycling - Case 1'!BX100</f>
        <v>50.522212337504236</v>
      </c>
      <c r="BL30" s="1101">
        <f>'Recycling - Case 1'!BY100</f>
        <v>101.24053187147528</v>
      </c>
      <c r="BM30" s="576">
        <f>'Recycling - Case 1'!BZ100</f>
        <v>0.33011313054603664</v>
      </c>
      <c r="BN30" s="1142">
        <f>'Recycling - Case 1'!CA100</f>
        <v>50.522212337504236</v>
      </c>
      <c r="BO30" s="1102">
        <f>'Recycling - Case 2'!BV100</f>
        <v>101.57777924005211</v>
      </c>
      <c r="BP30" s="417">
        <f>'Recycling - Case 2'!BW100</f>
        <v>0.36538453838790924</v>
      </c>
      <c r="BQ30" s="1142">
        <f>'Recycling - Case 2'!BX100</f>
        <v>50.522212337504236</v>
      </c>
      <c r="BR30" s="1101">
        <f>'Recycling - Case 2'!BY100</f>
        <v>101.57777924005211</v>
      </c>
      <c r="BS30" s="417">
        <f>'Recycling - Case 2'!BZ100</f>
        <v>0.36538453838790924</v>
      </c>
      <c r="BT30" s="1142">
        <f>'Recycling - Case 2'!CA100</f>
        <v>50.522212337504236</v>
      </c>
      <c r="BU30" s="1102">
        <f>'Recycling - Case 3'!BV100</f>
        <v>101.57777924005211</v>
      </c>
      <c r="BV30" s="417">
        <f>'Recycling - Case 3'!BW100</f>
        <v>0.36538453838790924</v>
      </c>
      <c r="BW30" s="1142">
        <f>'Recycling - Case 3'!BX100</f>
        <v>50.522212337504236</v>
      </c>
      <c r="BX30" s="1101">
        <f>'Recycling - Case 3'!BY100</f>
        <v>101.57777924005211</v>
      </c>
      <c r="BY30" s="417">
        <f>'Recycling - Case 3'!BZ100</f>
        <v>0.36538453838790924</v>
      </c>
      <c r="BZ30" s="1142">
        <f>'Recycling - Case 3'!CA100</f>
        <v>50.522212337504236</v>
      </c>
      <c r="CA30" s="596">
        <v>2020</v>
      </c>
      <c r="CB30" s="649">
        <f>'Recycling - Case 1'!CB100</f>
        <v>7.0040644951311681E-2</v>
      </c>
      <c r="CC30" s="417">
        <f>'Recycling - Case 1'!CC100</f>
        <v>9.7098937234060489E-2</v>
      </c>
      <c r="CD30" s="417">
        <f>'Recycling - Case 1'!CD100</f>
        <v>7.0040644951311681E-2</v>
      </c>
      <c r="CE30" s="525">
        <f>'Recycling - Case 1'!CE100</f>
        <v>9.7098937234060489E-2</v>
      </c>
      <c r="CF30" s="649">
        <f>'Recycling - Case 2'!CB100</f>
        <v>6.3097402659273327E-2</v>
      </c>
      <c r="CG30" s="417">
        <f>'Recycling - Case 2'!CC100</f>
        <v>9.5213595557322783E-2</v>
      </c>
      <c r="CH30" s="417">
        <f>'Recycling - Case 2'!CD100</f>
        <v>6.3097402659273327E-2</v>
      </c>
      <c r="CI30" s="525">
        <f>'Recycling - Case 2'!CE100</f>
        <v>9.5213595557322783E-2</v>
      </c>
      <c r="CJ30" s="649">
        <f>'Recycling - Case 3'!CB100</f>
        <v>6.3097402659273327E-2</v>
      </c>
      <c r="CK30" s="417">
        <f>'Recycling - Case 3'!CC100</f>
        <v>9.5213595557322783E-2</v>
      </c>
      <c r="CL30" s="417">
        <f>'Recycling - Case 3'!CD100</f>
        <v>6.3097402659273327E-2</v>
      </c>
      <c r="CM30" s="525">
        <f>'Recycling - Case 3'!CE100</f>
        <v>9.5213595557322783E-2</v>
      </c>
    </row>
    <row r="31" spans="1:91">
      <c r="A31" s="4">
        <f>'Input data'!A120</f>
        <v>2020</v>
      </c>
      <c r="B31" s="4"/>
      <c r="C31" s="769">
        <f>'4A SWD Case 1'!BG90</f>
        <v>780.87340108713249</v>
      </c>
      <c r="D31" s="3">
        <f>'4B Biological treatment '!T84</f>
        <v>0.42317853830412322</v>
      </c>
      <c r="E31" s="1157">
        <f>'4B Biological treatment '!U84</f>
        <v>22.494410732808049</v>
      </c>
      <c r="F31" s="1157">
        <f>'4B Biological treatment '!W84</f>
        <v>1.349664643968483</v>
      </c>
      <c r="G31" s="952">
        <f>'4C2 Open-burning '!R91</f>
        <v>31.199856234261556</v>
      </c>
      <c r="H31" s="952">
        <f>'4C2 Open-burning '!Z91</f>
        <v>10.497796427605877</v>
      </c>
      <c r="I31" s="952">
        <f>'4C2 Open-burning '!AH91</f>
        <v>0.14614704458216801</v>
      </c>
      <c r="J31" s="987">
        <f>'4D Wastewater treatment and dis'!AV128</f>
        <v>142.36131561162929</v>
      </c>
      <c r="K31" s="770">
        <f>'4D Wastewater treatment and dis'!AW128</f>
        <v>2.9904262793007734</v>
      </c>
      <c r="L31" s="771">
        <f t="shared" si="69"/>
        <v>16398.341422829781</v>
      </c>
      <c r="M31" s="772">
        <f t="shared" si="70"/>
        <v>8.8867493043865871</v>
      </c>
      <c r="N31" s="771">
        <f t="shared" si="71"/>
        <v>890.7786650191988</v>
      </c>
      <c r="O31" s="773">
        <f t="shared" si="72"/>
        <v>296.95916503445704</v>
      </c>
      <c r="P31" s="771">
        <f t="shared" si="73"/>
        <v>3916.619774427455</v>
      </c>
      <c r="Q31" s="519">
        <f t="shared" si="74"/>
        <v>16398.341422829781</v>
      </c>
      <c r="R31" s="521">
        <f t="shared" si="75"/>
        <v>899.66541432358542</v>
      </c>
      <c r="S31" s="518">
        <f t="shared" si="76"/>
        <v>296.95916503445704</v>
      </c>
      <c r="T31" s="519">
        <f t="shared" si="77"/>
        <v>3916.619774427455</v>
      </c>
      <c r="U31" s="519">
        <f t="shared" si="78"/>
        <v>21511.585776615277</v>
      </c>
      <c r="V31" s="3"/>
      <c r="W31" s="596">
        <f t="shared" si="79"/>
        <v>2021</v>
      </c>
      <c r="X31" s="1101">
        <f t="shared" si="80"/>
        <v>15962.79088822662</v>
      </c>
      <c r="Y31" s="1102">
        <f t="shared" si="81"/>
        <v>954.23515387994178</v>
      </c>
      <c r="Z31" s="1102">
        <f t="shared" si="82"/>
        <v>289.24978837231055</v>
      </c>
      <c r="AA31" s="1102">
        <f t="shared" si="83"/>
        <v>4002.3329524499013</v>
      </c>
      <c r="AB31" s="1142">
        <f t="shared" si="22"/>
        <v>21208.608782928775</v>
      </c>
      <c r="AC31" s="1423" t="str">
        <f>IF(OR('Recycling - Case 1'!AC101="No",'Recycling - Case 1'!T141="No"), "No", "Yes")</f>
        <v>Yes</v>
      </c>
      <c r="AD31" s="1101">
        <f t="shared" si="84"/>
        <v>15962.79088822662</v>
      </c>
      <c r="AE31" s="1102">
        <f t="shared" si="85"/>
        <v>954.23515387994178</v>
      </c>
      <c r="AF31" s="1102">
        <f t="shared" si="86"/>
        <v>289.24978837231055</v>
      </c>
      <c r="AG31" s="1102">
        <f t="shared" si="87"/>
        <v>4002.3329524499013</v>
      </c>
      <c r="AH31" s="1142">
        <f t="shared" si="60"/>
        <v>21208.608782928775</v>
      </c>
      <c r="AI31" s="1423" t="str">
        <f>IF(OR('Recycling - Case 1'!AI12="No",'Recycling - Case 1'!Z141="No"), "No", "Yes")</f>
        <v>Yes</v>
      </c>
      <c r="AJ31" s="1101">
        <f t="shared" si="88"/>
        <v>15976.365004343457</v>
      </c>
      <c r="AK31" s="1102">
        <f t="shared" si="89"/>
        <v>1174.3559009768687</v>
      </c>
      <c r="AL31" s="1102">
        <f t="shared" si="90"/>
        <v>275.2327175244078</v>
      </c>
      <c r="AM31" s="1102">
        <f t="shared" si="91"/>
        <v>4209.0846172659749</v>
      </c>
      <c r="AN31" s="1142">
        <f t="shared" si="92"/>
        <v>21635.038240110705</v>
      </c>
      <c r="AO31" s="1416" t="str">
        <f>IF(OR('Recycling - Case 2'!AC101="No",'Recycling - Case 2'!T141="No"), "No", "Yes")</f>
        <v>Yes</v>
      </c>
      <c r="AP31" s="1101">
        <f t="shared" si="93"/>
        <v>15976.365004343457</v>
      </c>
      <c r="AQ31" s="1102">
        <f t="shared" si="94"/>
        <v>1174.3559009768687</v>
      </c>
      <c r="AR31" s="1102">
        <f t="shared" si="95"/>
        <v>275.2327175244078</v>
      </c>
      <c r="AS31" s="1102">
        <f t="shared" si="96"/>
        <v>4209.0846172659749</v>
      </c>
      <c r="AT31" s="1142">
        <f t="shared" si="37"/>
        <v>21635.038240110705</v>
      </c>
      <c r="AU31" s="1423" t="str">
        <f>IF(OR('Recycling - Case 2'!AC101="No",'Recycling - Case 2'!T181="No"), "No", "Yes")</f>
        <v>Yes</v>
      </c>
      <c r="AV31" s="1101">
        <f t="shared" si="63"/>
        <v>15976.409714813279</v>
      </c>
      <c r="AW31" s="1102">
        <f t="shared" si="64"/>
        <v>808.03387153941321</v>
      </c>
      <c r="AX31" s="1102">
        <f t="shared" si="65"/>
        <v>275.2327175244078</v>
      </c>
      <c r="AY31" s="1102">
        <f t="shared" si="66"/>
        <v>4209.0846172659749</v>
      </c>
      <c r="AZ31" s="1142">
        <f t="shared" si="67"/>
        <v>21268.760921143075</v>
      </c>
      <c r="BA31" s="1423" t="str">
        <f>IF(OR('Recycling - Case 3'!AC101="No",'Recycling - Case 3'!T141="No"), "No", "Yes")</f>
        <v>Yes</v>
      </c>
      <c r="BB31" s="1101">
        <f t="shared" si="97"/>
        <v>15976.409714813279</v>
      </c>
      <c r="BC31" s="1102">
        <f t="shared" si="98"/>
        <v>808.03387153941321</v>
      </c>
      <c r="BD31" s="1102">
        <f t="shared" si="99"/>
        <v>275.2327175244078</v>
      </c>
      <c r="BE31" s="1102">
        <f t="shared" si="100"/>
        <v>4209.0846172659749</v>
      </c>
      <c r="BF31" s="1142">
        <f t="shared" si="47"/>
        <v>21268.760921143075</v>
      </c>
      <c r="BG31" s="1423" t="str">
        <f>IF(OR('Recycling - Case 3'!AC101="No",'Recycling - Case 3'!T181="No"), "No", "Yes")</f>
        <v>Yes</v>
      </c>
      <c r="BH31" s="596">
        <f t="shared" si="48"/>
        <v>2021</v>
      </c>
      <c r="BI31" s="1102">
        <f>'Recycling - Case 1'!BV101</f>
        <v>98.87237344843038</v>
      </c>
      <c r="BJ31" s="417">
        <f>'Recycling - Case 1'!BW101</f>
        <v>0.34968350449830582</v>
      </c>
      <c r="BK31" s="1142">
        <f>'Recycling - Case 1'!BX101</f>
        <v>50.478759434739615</v>
      </c>
      <c r="BL31" s="1101">
        <f>'Recycling - Case 1'!BY101</f>
        <v>98.87237344843038</v>
      </c>
      <c r="BM31" s="576">
        <f>'Recycling - Case 1'!BZ101</f>
        <v>0.34968350449830582</v>
      </c>
      <c r="BN31" s="1142">
        <f>'Recycling - Case 1'!CA101</f>
        <v>50.478759434739615</v>
      </c>
      <c r="BO31" s="1102">
        <f>'Recycling - Case 2'!BV101</f>
        <v>92.019303745198329</v>
      </c>
      <c r="BP31" s="417">
        <f>'Recycling - Case 2'!BW101</f>
        <v>0.43784153124584108</v>
      </c>
      <c r="BQ31" s="1142">
        <f>'Recycling - Case 2'!BX101</f>
        <v>50.478759434739615</v>
      </c>
      <c r="BR31" s="1101">
        <f>'Recycling - Case 2'!BY101</f>
        <v>92.019303745198329</v>
      </c>
      <c r="BS31" s="417">
        <f>'Recycling - Case 2'!BZ101</f>
        <v>0.43784153124584108</v>
      </c>
      <c r="BT31" s="1142">
        <f>'Recycling - Case 2'!CA101</f>
        <v>50.478759434739615</v>
      </c>
      <c r="BU31" s="1102">
        <f>'Recycling - Case 3'!BV101</f>
        <v>92.019303745198329</v>
      </c>
      <c r="BV31" s="417">
        <f>'Recycling - Case 3'!BW101</f>
        <v>0.43784153124584108</v>
      </c>
      <c r="BW31" s="1142">
        <f>'Recycling - Case 3'!BX101</f>
        <v>50.478759434739615</v>
      </c>
      <c r="BX31" s="1101">
        <f>'Recycling - Case 3'!BY101</f>
        <v>92.019303745198329</v>
      </c>
      <c r="BY31" s="417">
        <f>'Recycling - Case 3'!BZ101</f>
        <v>0.43784153124584108</v>
      </c>
      <c r="BZ31" s="1142">
        <f>'Recycling - Case 3'!CA101</f>
        <v>50.478759434739615</v>
      </c>
      <c r="CA31" s="596">
        <v>2021</v>
      </c>
      <c r="CB31" s="649">
        <f>'Recycling - Case 1'!CB101</f>
        <v>8.8835433333112834E-2</v>
      </c>
      <c r="CC31" s="417">
        <f>'Recycling - Case 1'!CC101</f>
        <v>0.13091899442309474</v>
      </c>
      <c r="CD31" s="417">
        <f>'Recycling - Case 1'!CD101</f>
        <v>8.8835433333112834E-2</v>
      </c>
      <c r="CE31" s="525">
        <f>'Recycling - Case 1'!CE101</f>
        <v>0.13091899442309474</v>
      </c>
      <c r="CF31" s="649">
        <f>'Recycling - Case 2'!CB101</f>
        <v>9.8397217928982372E-2</v>
      </c>
      <c r="CG31" s="417">
        <f>'Recycling - Case 2'!CC101</f>
        <v>0.20685740487956927</v>
      </c>
      <c r="CH31" s="417">
        <f>'Recycling - Case 2'!CD101</f>
        <v>9.8397217928982372E-2</v>
      </c>
      <c r="CI31" s="525">
        <f>'Recycling - Case 2'!CE101</f>
        <v>0.20685740487956927</v>
      </c>
      <c r="CJ31" s="649">
        <f>'Recycling - Case 3'!CB101</f>
        <v>9.8397217928982372E-2</v>
      </c>
      <c r="CK31" s="417">
        <f>'Recycling - Case 3'!CC101</f>
        <v>0.20685740487956927</v>
      </c>
      <c r="CL31" s="417">
        <f>'Recycling - Case 3'!CD101</f>
        <v>9.8397217928982372E-2</v>
      </c>
      <c r="CM31" s="525">
        <f>'Recycling - Case 3'!CE101</f>
        <v>0.20685740487956927</v>
      </c>
    </row>
    <row r="32" spans="1:91">
      <c r="A32" s="4">
        <f>'Input data'!A121</f>
        <v>2021</v>
      </c>
      <c r="B32" s="4"/>
      <c r="C32" s="769">
        <f>'4A SWD Case 1'!BG91</f>
        <v>760.13289943936286</v>
      </c>
      <c r="D32" s="3">
        <f>'4B Biological treatment '!T85</f>
        <v>0.48868156295860099</v>
      </c>
      <c r="E32" s="1157">
        <f>'4B Biological treatment '!U85</f>
        <v>23.837698006510383</v>
      </c>
      <c r="F32" s="1157">
        <f>'4B Biological treatment '!W85</f>
        <v>1.4302618803906229</v>
      </c>
      <c r="G32" s="952">
        <f>'4C2 Open-burning '!R92</f>
        <v>30.389874688526699</v>
      </c>
      <c r="H32" s="952">
        <f>'4C2 Open-burning '!Z92</f>
        <v>10.225262435352905</v>
      </c>
      <c r="I32" s="952">
        <f>'4C2 Open-burning '!AH92</f>
        <v>0.14235291142378337</v>
      </c>
      <c r="J32" s="987">
        <f>'4D Wastewater treatment and dis'!AV129</f>
        <v>145.8554935003541</v>
      </c>
      <c r="K32" s="770">
        <f>'4D Wastewater treatment and dis'!AW129</f>
        <v>3.0302180288466625</v>
      </c>
      <c r="L32" s="771">
        <f t="shared" si="69"/>
        <v>15962.79088822662</v>
      </c>
      <c r="M32" s="772">
        <f t="shared" si="70"/>
        <v>10.262312822130621</v>
      </c>
      <c r="N32" s="771">
        <f t="shared" si="71"/>
        <v>943.97284105781114</v>
      </c>
      <c r="O32" s="773">
        <f t="shared" si="72"/>
        <v>289.24978837231055</v>
      </c>
      <c r="P32" s="771">
        <f t="shared" si="73"/>
        <v>4002.3329524499013</v>
      </c>
      <c r="Q32" s="519">
        <f t="shared" si="74"/>
        <v>15962.79088822662</v>
      </c>
      <c r="R32" s="521">
        <f t="shared" si="75"/>
        <v>954.23515387994178</v>
      </c>
      <c r="S32" s="518">
        <f t="shared" si="76"/>
        <v>289.24978837231055</v>
      </c>
      <c r="T32" s="519">
        <f t="shared" si="77"/>
        <v>4002.3329524499013</v>
      </c>
      <c r="U32" s="519">
        <f t="shared" si="78"/>
        <v>21208.608782928775</v>
      </c>
      <c r="V32" s="3"/>
      <c r="W32" s="596">
        <f t="shared" si="79"/>
        <v>2022</v>
      </c>
      <c r="X32" s="1101">
        <f t="shared" si="80"/>
        <v>15515.517868713492</v>
      </c>
      <c r="Y32" s="1102">
        <f t="shared" si="81"/>
        <v>1007.5663271298209</v>
      </c>
      <c r="Z32" s="1102">
        <f t="shared" si="82"/>
        <v>281.776803826498</v>
      </c>
      <c r="AA32" s="1102">
        <f t="shared" si="83"/>
        <v>4085.8745387108802</v>
      </c>
      <c r="AB32" s="1142">
        <f t="shared" si="22"/>
        <v>20890.73553838069</v>
      </c>
      <c r="AC32" s="1423" t="str">
        <f>IF(OR('Recycling - Case 1'!AC102="No",'Recycling - Case 1'!T142="No"), "No", "Yes")</f>
        <v>Yes</v>
      </c>
      <c r="AD32" s="1101">
        <f t="shared" si="84"/>
        <v>15515.517868713492</v>
      </c>
      <c r="AE32" s="1102">
        <f t="shared" si="85"/>
        <v>1007.5663271298209</v>
      </c>
      <c r="AF32" s="1102">
        <f t="shared" si="86"/>
        <v>281.776803826498</v>
      </c>
      <c r="AG32" s="1102">
        <f t="shared" si="87"/>
        <v>4085.8745387108802</v>
      </c>
      <c r="AH32" s="1142">
        <f t="shared" si="60"/>
        <v>20890.73553838069</v>
      </c>
      <c r="AI32" s="1423" t="str">
        <f>IF(OR('Recycling - Case 1'!AI13="No",'Recycling - Case 1'!Z142="No"), "No", "Yes")</f>
        <v>Yes</v>
      </c>
      <c r="AJ32" s="1101">
        <f t="shared" si="88"/>
        <v>15432.679579352196</v>
      </c>
      <c r="AK32" s="1102">
        <f t="shared" si="89"/>
        <v>1280.5695532880061</v>
      </c>
      <c r="AL32" s="1102">
        <f t="shared" si="90"/>
        <v>228.95681389831122</v>
      </c>
      <c r="AM32" s="1102">
        <f t="shared" si="91"/>
        <v>4347.5122971083692</v>
      </c>
      <c r="AN32" s="1142">
        <f t="shared" si="92"/>
        <v>21289.718243646883</v>
      </c>
      <c r="AO32" s="1416" t="str">
        <f>IF(OR('Recycling - Case 2'!AC102="No",'Recycling - Case 2'!T142="No"), "No", "Yes")</f>
        <v>No</v>
      </c>
      <c r="AP32" s="1101">
        <f t="shared" si="93"/>
        <v>15432.679579352196</v>
      </c>
      <c r="AQ32" s="1102">
        <f t="shared" si="94"/>
        <v>1280.5695532880061</v>
      </c>
      <c r="AR32" s="1102">
        <f t="shared" si="95"/>
        <v>228.95681389831122</v>
      </c>
      <c r="AS32" s="1102">
        <f t="shared" si="96"/>
        <v>4347.5122971083692</v>
      </c>
      <c r="AT32" s="1142">
        <f t="shared" si="37"/>
        <v>21289.718243646883</v>
      </c>
      <c r="AU32" s="1423" t="str">
        <f>IF(OR('Recycling - Case 2'!AC102="No",'Recycling - Case 2'!T182="No"), "No", "Yes")</f>
        <v>No</v>
      </c>
      <c r="AV32" s="1101">
        <f t="shared" si="63"/>
        <v>15432.7534099518</v>
      </c>
      <c r="AW32" s="1102">
        <f t="shared" si="64"/>
        <v>777.71695000020338</v>
      </c>
      <c r="AX32" s="1102">
        <f t="shared" si="65"/>
        <v>228.95681389831122</v>
      </c>
      <c r="AY32" s="1102">
        <f t="shared" si="66"/>
        <v>4347.5122971083692</v>
      </c>
      <c r="AZ32" s="1142">
        <f t="shared" si="67"/>
        <v>20786.939470958685</v>
      </c>
      <c r="BA32" s="1423" t="str">
        <f>IF(OR('Recycling - Case 3'!AC102="No",'Recycling - Case 3'!T142="No"), "No", "Yes")</f>
        <v>No</v>
      </c>
      <c r="BB32" s="1101">
        <f t="shared" si="97"/>
        <v>15432.7534099518</v>
      </c>
      <c r="BC32" s="1102">
        <f t="shared" si="98"/>
        <v>777.71695000020338</v>
      </c>
      <c r="BD32" s="1102">
        <f t="shared" si="99"/>
        <v>228.95681389831122</v>
      </c>
      <c r="BE32" s="1102">
        <f t="shared" si="100"/>
        <v>4347.5122971083692</v>
      </c>
      <c r="BF32" s="1142">
        <f t="shared" si="47"/>
        <v>20786.939470958685</v>
      </c>
      <c r="BG32" s="1423" t="str">
        <f>IF(OR('Recycling - Case 3'!AC102="No",'Recycling - Case 3'!T182="No"), "No", "Yes")</f>
        <v>No</v>
      </c>
      <c r="BH32" s="596">
        <f t="shared" si="48"/>
        <v>2022</v>
      </c>
      <c r="BI32" s="1102">
        <f>'Recycling - Case 1'!BV102</f>
        <v>96.687801515028738</v>
      </c>
      <c r="BJ32" s="417">
        <f>'Recycling - Case 1'!BW102</f>
        <v>0.36951916322691952</v>
      </c>
      <c r="BK32" s="1142">
        <f>'Recycling - Case 1'!BX102</f>
        <v>50.35979284713315</v>
      </c>
      <c r="BL32" s="1101">
        <f>'Recycling - Case 1'!BY102</f>
        <v>96.687801515028738</v>
      </c>
      <c r="BM32" s="417">
        <f>'Recycling - Case 1'!BZ102</f>
        <v>0.36951916322691952</v>
      </c>
      <c r="BN32" s="1142">
        <f>'Recycling - Case 1'!CA102</f>
        <v>50.35979284713315</v>
      </c>
      <c r="BO32" s="1102">
        <f>'Recycling - Case 2'!BV102</f>
        <v>88.740758245241665</v>
      </c>
      <c r="BP32" s="417">
        <f>'Recycling - Case 2'!BW102</f>
        <v>0.47851759273061129</v>
      </c>
      <c r="BQ32" s="1142">
        <f>'Recycling - Case 2'!BX102</f>
        <v>50.35979284713315</v>
      </c>
      <c r="BR32" s="1101">
        <f>'Recycling - Case 2'!BY102</f>
        <v>88.740758245241665</v>
      </c>
      <c r="BS32" s="417">
        <f>'Recycling - Case 2'!BZ102</f>
        <v>0.47851759273061129</v>
      </c>
      <c r="BT32" s="1142">
        <f>'Recycling - Case 2'!CA102</f>
        <v>50.35979284713315</v>
      </c>
      <c r="BU32" s="1102">
        <f>'Recycling - Case 3'!BV102</f>
        <v>88.740758245241665</v>
      </c>
      <c r="BV32" s="417">
        <f>'Recycling - Case 3'!BW102</f>
        <v>0.47851759273061129</v>
      </c>
      <c r="BW32" s="1142">
        <f>'Recycling - Case 3'!BX102</f>
        <v>50.35979284713315</v>
      </c>
      <c r="BX32" s="1101">
        <f>'Recycling - Case 3'!BY102</f>
        <v>88.740758245241665</v>
      </c>
      <c r="BY32" s="417">
        <f>'Recycling - Case 3'!BZ102</f>
        <v>0.47851759273061129</v>
      </c>
      <c r="BZ32" s="1142">
        <f>'Recycling - Case 3'!CA102</f>
        <v>50.35979284713315</v>
      </c>
      <c r="CA32" s="596">
        <v>2022</v>
      </c>
      <c r="CB32" s="649">
        <f>'Recycling - Case 1'!CB102</f>
        <v>0.10560566358410617</v>
      </c>
      <c r="CC32" s="417">
        <f>'Recycling - Case 1'!CC102</f>
        <v>0.16099425616897156</v>
      </c>
      <c r="CD32" s="417">
        <f>'Recycling - Case 1'!CD102</f>
        <v>0.10560566358410617</v>
      </c>
      <c r="CE32" s="525">
        <f>'Recycling - Case 1'!CE102</f>
        <v>0.16099425616897156</v>
      </c>
      <c r="CF32" s="649">
        <f>'Recycling - Case 2'!CB102</f>
        <v>0.15915151958679319</v>
      </c>
      <c r="CG32" s="417">
        <f>'Recycling - Case 2'!CC102</f>
        <v>0.23582978957214951</v>
      </c>
      <c r="CH32" s="417">
        <f>'Recycling - Case 2'!CD102</f>
        <v>0.15915151958679319</v>
      </c>
      <c r="CI32" s="525">
        <f>'Recycling - Case 2'!CE102</f>
        <v>0.23582978957214951</v>
      </c>
      <c r="CJ32" s="649">
        <f>'Recycling - Case 3'!CB102</f>
        <v>0.15915151958679319</v>
      </c>
      <c r="CK32" s="417">
        <f>'Recycling - Case 3'!CC102</f>
        <v>0.23582978957214951</v>
      </c>
      <c r="CL32" s="417">
        <f>'Recycling - Case 3'!CD102</f>
        <v>0.15915151958679319</v>
      </c>
      <c r="CM32" s="525">
        <f>'Recycling - Case 3'!CE102</f>
        <v>0.23582978957214951</v>
      </c>
    </row>
    <row r="33" spans="1:91">
      <c r="A33" s="4">
        <f>'Input data'!A122</f>
        <v>2022</v>
      </c>
      <c r="B33" s="4"/>
      <c r="C33" s="769">
        <f>'4A SWD Case 1'!BG92</f>
        <v>738.83418422445197</v>
      </c>
      <c r="D33" s="3">
        <f>'4B Biological treatment '!T86</f>
        <v>0.55882769114244102</v>
      </c>
      <c r="E33" s="1157">
        <f>'4B Biological treatment '!U86</f>
        <v>25.147246101409838</v>
      </c>
      <c r="F33" s="1157">
        <f>'4B Biological treatment '!W86</f>
        <v>1.5088347660845904</v>
      </c>
      <c r="G33" s="952">
        <f>'4C2 Open-burning '!R93</f>
        <v>29.604729554369428</v>
      </c>
      <c r="H33" s="952">
        <f>'4C2 Open-burning '!Z93</f>
        <v>9.9610851352197987</v>
      </c>
      <c r="I33" s="952">
        <f>'4C2 Open-burning '!AH93</f>
        <v>0.13867511752423495</v>
      </c>
      <c r="J33" s="987">
        <f>'4D Wastewater treatment and dis'!AV130</f>
        <v>149.28011052683274</v>
      </c>
      <c r="K33" s="770">
        <f>'4D Wastewater treatment and dis'!AW130</f>
        <v>3.0677168311206198</v>
      </c>
      <c r="L33" s="771">
        <f t="shared" si="69"/>
        <v>15515.517868713492</v>
      </c>
      <c r="M33" s="772">
        <f t="shared" si="70"/>
        <v>11.735381513991261</v>
      </c>
      <c r="N33" s="771">
        <f t="shared" si="71"/>
        <v>995.83094561582971</v>
      </c>
      <c r="O33" s="773">
        <f t="shared" si="72"/>
        <v>281.776803826498</v>
      </c>
      <c r="P33" s="771">
        <f t="shared" si="73"/>
        <v>4085.8745387108802</v>
      </c>
      <c r="Q33" s="519">
        <f t="shared" si="74"/>
        <v>15515.517868713492</v>
      </c>
      <c r="R33" s="521">
        <f t="shared" si="75"/>
        <v>1007.5663271298209</v>
      </c>
      <c r="S33" s="518">
        <f t="shared" si="76"/>
        <v>281.776803826498</v>
      </c>
      <c r="T33" s="519">
        <f t="shared" si="77"/>
        <v>4085.8745387108802</v>
      </c>
      <c r="U33" s="519">
        <f t="shared" si="78"/>
        <v>20890.73553838069</v>
      </c>
      <c r="V33" s="3"/>
      <c r="W33" s="596">
        <f t="shared" si="79"/>
        <v>2023</v>
      </c>
      <c r="X33" s="1101">
        <f t="shared" si="80"/>
        <v>15060.701483520832</v>
      </c>
      <c r="Y33" s="1102">
        <f t="shared" si="81"/>
        <v>1066.9192862843956</v>
      </c>
      <c r="Z33" s="1102">
        <f t="shared" si="82"/>
        <v>274.55461538850153</v>
      </c>
      <c r="AA33" s="1102">
        <f t="shared" si="83"/>
        <v>4167.0334756114726</v>
      </c>
      <c r="AB33" s="1142">
        <f t="shared" si="22"/>
        <v>20569.2088608052</v>
      </c>
      <c r="AC33" s="1423" t="str">
        <f>IF(OR('Recycling - Case 1'!AC103="No",'Recycling - Case 1'!T143="No"), "No", "Yes")</f>
        <v>Yes</v>
      </c>
      <c r="AD33" s="1101">
        <f t="shared" si="84"/>
        <v>15060.701483520832</v>
      </c>
      <c r="AE33" s="1102">
        <f t="shared" si="85"/>
        <v>1066.9192862843956</v>
      </c>
      <c r="AF33" s="1102">
        <f t="shared" si="86"/>
        <v>274.55461538850153</v>
      </c>
      <c r="AG33" s="1102">
        <f t="shared" si="87"/>
        <v>4167.0334756114726</v>
      </c>
      <c r="AH33" s="1142">
        <f t="shared" si="60"/>
        <v>20569.2088608052</v>
      </c>
      <c r="AI33" s="1423" t="str">
        <f>IF(OR('Recycling - Case 1'!AI14="No",'Recycling - Case 1'!Z143="No"), "No", "Yes")</f>
        <v>Yes</v>
      </c>
      <c r="AJ33" s="1101">
        <f t="shared" si="88"/>
        <v>14853.485704425235</v>
      </c>
      <c r="AK33" s="1102">
        <f t="shared" si="89"/>
        <v>1285.3218672109438</v>
      </c>
      <c r="AL33" s="1102">
        <f t="shared" si="90"/>
        <v>217.14047397394438</v>
      </c>
      <c r="AM33" s="1102">
        <f t="shared" si="91"/>
        <v>4484.5916550535185</v>
      </c>
      <c r="AN33" s="1142">
        <f t="shared" si="92"/>
        <v>20840.539700663641</v>
      </c>
      <c r="AO33" s="1416" t="str">
        <f>IF(OR('Recycling - Case 2'!AC103="No",'Recycling - Case 2'!T143="No"), "No", "Yes")</f>
        <v>No</v>
      </c>
      <c r="AP33" s="1101">
        <f t="shared" si="93"/>
        <v>14853.485704425235</v>
      </c>
      <c r="AQ33" s="1102">
        <f t="shared" si="94"/>
        <v>1285.3218672109438</v>
      </c>
      <c r="AR33" s="1102">
        <f t="shared" si="95"/>
        <v>217.14047397394438</v>
      </c>
      <c r="AS33" s="1102">
        <f t="shared" si="96"/>
        <v>4484.5916550535185</v>
      </c>
      <c r="AT33" s="1142">
        <f t="shared" si="37"/>
        <v>20840.539700663641</v>
      </c>
      <c r="AU33" s="1423" t="str">
        <f>IF(OR('Recycling - Case 2'!AC103="No",'Recycling - Case 2'!T183="No"), "No", "Yes")</f>
        <v>No</v>
      </c>
      <c r="AV33" s="1101">
        <f t="shared" si="63"/>
        <v>14853.595381023115</v>
      </c>
      <c r="AW33" s="1102">
        <f t="shared" si="64"/>
        <v>780.60313066887602</v>
      </c>
      <c r="AX33" s="1102">
        <f t="shared" si="65"/>
        <v>217.14047397394438</v>
      </c>
      <c r="AY33" s="1102">
        <f t="shared" si="66"/>
        <v>4484.5916550535185</v>
      </c>
      <c r="AZ33" s="1142">
        <f t="shared" si="67"/>
        <v>20335.930640719453</v>
      </c>
      <c r="BA33" s="1423" t="str">
        <f>IF(OR('Recycling - Case 3'!AC103="No",'Recycling - Case 3'!T143="No"), "No", "Yes")</f>
        <v>No</v>
      </c>
      <c r="BB33" s="1101">
        <f t="shared" si="97"/>
        <v>14853.595381023115</v>
      </c>
      <c r="BC33" s="1102">
        <f t="shared" si="98"/>
        <v>780.60313066887602</v>
      </c>
      <c r="BD33" s="1102">
        <f t="shared" si="99"/>
        <v>217.14047397394438</v>
      </c>
      <c r="BE33" s="1102">
        <f t="shared" si="100"/>
        <v>4484.5916550535185</v>
      </c>
      <c r="BF33" s="1142">
        <f t="shared" si="47"/>
        <v>20335.930640719453</v>
      </c>
      <c r="BG33" s="1423" t="str">
        <f>IF(OR('Recycling - Case 3'!AC103="No",'Recycling - Case 3'!T183="No"), "No", "Yes")</f>
        <v>No</v>
      </c>
      <c r="BH33" s="596">
        <f t="shared" si="48"/>
        <v>2023</v>
      </c>
      <c r="BI33" s="1102">
        <f>'Recycling - Case 1'!BV103</f>
        <v>94.64226140546883</v>
      </c>
      <c r="BJ33" s="417">
        <f>'Recycling - Case 1'!BW103</f>
        <v>0.3893360059924923</v>
      </c>
      <c r="BK33" s="1142">
        <f>'Recycling - Case 1'!BX103</f>
        <v>49.90793306604332</v>
      </c>
      <c r="BL33" s="1101">
        <f>'Recycling - Case 1'!BY103</f>
        <v>94.64226140546883</v>
      </c>
      <c r="BM33" s="417">
        <f>'Recycling - Case 1'!BZ103</f>
        <v>0.3893360059924923</v>
      </c>
      <c r="BN33" s="1142">
        <f>'Recycling - Case 1'!CA103</f>
        <v>49.90793306604332</v>
      </c>
      <c r="BO33" s="1102">
        <f>'Recycling - Case 2'!BV103</f>
        <v>88.355442530178934</v>
      </c>
      <c r="BP33" s="417">
        <f>'Recycling - Case 2'!BW103</f>
        <v>0.49886672474079752</v>
      </c>
      <c r="BQ33" s="1142">
        <f>'Recycling - Case 2'!BX103</f>
        <v>49.90793306604332</v>
      </c>
      <c r="BR33" s="1101">
        <f>'Recycling - Case 2'!BY103</f>
        <v>88.355442530178934</v>
      </c>
      <c r="BS33" s="417">
        <f>'Recycling - Case 2'!BZ103</f>
        <v>0.49886672474079752</v>
      </c>
      <c r="BT33" s="1142">
        <f>'Recycling - Case 2'!CA103</f>
        <v>49.90793306604332</v>
      </c>
      <c r="BU33" s="1102">
        <f>'Recycling - Case 3'!BV103</f>
        <v>88.355442530178934</v>
      </c>
      <c r="BV33" s="417">
        <f>'Recycling - Case 3'!BW103</f>
        <v>0.49886672474079752</v>
      </c>
      <c r="BW33" s="1142">
        <f>'Recycling - Case 3'!BX103</f>
        <v>49.90793306604332</v>
      </c>
      <c r="BX33" s="1101">
        <f>'Recycling - Case 3'!BY103</f>
        <v>88.355442530178934</v>
      </c>
      <c r="BY33" s="417">
        <f>'Recycling - Case 3'!BZ103</f>
        <v>0.49886672474079752</v>
      </c>
      <c r="BZ33" s="1142">
        <f>'Recycling - Case 3'!CA103</f>
        <v>49.90793306604332</v>
      </c>
      <c r="CA33" s="596">
        <v>2023</v>
      </c>
      <c r="CB33" s="649">
        <f>'Recycling - Case 1'!CB103</f>
        <v>0.12048824658389801</v>
      </c>
      <c r="CC33" s="417">
        <f>'Recycling - Case 1'!CC103</f>
        <v>0.18546864007630459</v>
      </c>
      <c r="CD33" s="417">
        <f>'Recycling - Case 1'!CD103</f>
        <v>0.12048824658389801</v>
      </c>
      <c r="CE33" s="525">
        <f>'Recycling - Case 1'!CE103</f>
        <v>0.18546864007630459</v>
      </c>
      <c r="CF33" s="649">
        <f>'Recycling - Case 2'!CB103</f>
        <v>0.17801789007344582</v>
      </c>
      <c r="CG33" s="417">
        <f>'Recycling - Case 2'!CC103</f>
        <v>0.23984085052055193</v>
      </c>
      <c r="CH33" s="417">
        <f>'Recycling - Case 2'!CD103</f>
        <v>0.17801789007344582</v>
      </c>
      <c r="CI33" s="525">
        <f>'Recycling - Case 2'!CE103</f>
        <v>0.23984085052055193</v>
      </c>
      <c r="CJ33" s="649">
        <f>'Recycling - Case 3'!CB103</f>
        <v>0.17801789007344582</v>
      </c>
      <c r="CK33" s="417">
        <f>'Recycling - Case 3'!CC103</f>
        <v>0.23984085052055193</v>
      </c>
      <c r="CL33" s="417">
        <f>'Recycling - Case 3'!CD103</f>
        <v>0.17801789007344582</v>
      </c>
      <c r="CM33" s="525">
        <f>'Recycling - Case 3'!CE103</f>
        <v>0.23984085052055193</v>
      </c>
    </row>
    <row r="34" spans="1:91">
      <c r="A34" s="4">
        <f>'Input data'!A123</f>
        <v>2023</v>
      </c>
      <c r="B34" s="4"/>
      <c r="C34" s="769">
        <f>'4A SWD Case 1'!BG93</f>
        <v>717.17626112003961</v>
      </c>
      <c r="D34" s="3">
        <f>'4B Biological treatment '!T87</f>
        <v>0.59174669233743526</v>
      </c>
      <c r="E34" s="1157">
        <f>'4B Biological treatment '!U87</f>
        <v>26.628601155184583</v>
      </c>
      <c r="F34" s="1157">
        <f>'4B Biological treatment '!W87</f>
        <v>1.597716069311075</v>
      </c>
      <c r="G34" s="952">
        <f>'4C2 Open-burning '!R94</f>
        <v>28.84593417946968</v>
      </c>
      <c r="H34" s="952">
        <f>'4C2 Open-burning '!Z94</f>
        <v>9.70577372236915</v>
      </c>
      <c r="I34" s="952">
        <f>'4C2 Open-burning '!AH94</f>
        <v>0.13512075173961197</v>
      </c>
      <c r="J34" s="987">
        <f>'4D Wastewater treatment and dis'!AV131</f>
        <v>152.62659791862941</v>
      </c>
      <c r="K34" s="770">
        <f>'4D Wastewater treatment and dis'!AW131</f>
        <v>3.1028223203879186</v>
      </c>
      <c r="L34" s="771">
        <f t="shared" si="69"/>
        <v>15060.701483520832</v>
      </c>
      <c r="M34" s="772">
        <f t="shared" si="70"/>
        <v>12.42668053908614</v>
      </c>
      <c r="N34" s="771">
        <f t="shared" si="71"/>
        <v>1054.4926057453094</v>
      </c>
      <c r="O34" s="773">
        <f t="shared" si="72"/>
        <v>274.55461538850153</v>
      </c>
      <c r="P34" s="771">
        <f t="shared" si="73"/>
        <v>4167.0334756114726</v>
      </c>
      <c r="Q34" s="519">
        <f t="shared" si="74"/>
        <v>15060.701483520832</v>
      </c>
      <c r="R34" s="521">
        <f t="shared" si="75"/>
        <v>1066.9192862843956</v>
      </c>
      <c r="S34" s="518">
        <f t="shared" si="76"/>
        <v>274.55461538850153</v>
      </c>
      <c r="T34" s="519">
        <f t="shared" si="77"/>
        <v>4167.0334756114726</v>
      </c>
      <c r="U34" s="519">
        <f t="shared" si="78"/>
        <v>20569.2088608052</v>
      </c>
      <c r="V34" s="3"/>
      <c r="W34" s="596">
        <f t="shared" si="79"/>
        <v>2024</v>
      </c>
      <c r="X34" s="1101">
        <f t="shared" si="80"/>
        <v>14603.065162606079</v>
      </c>
      <c r="Y34" s="1102">
        <f t="shared" si="81"/>
        <v>1126.8796281696516</v>
      </c>
      <c r="Z34" s="1102">
        <f t="shared" si="82"/>
        <v>267.56397765553447</v>
      </c>
      <c r="AA34" s="1102">
        <f t="shared" si="83"/>
        <v>4248.1135693425285</v>
      </c>
      <c r="AB34" s="1142">
        <f t="shared" si="22"/>
        <v>20245.622337773795</v>
      </c>
      <c r="AC34" s="1423" t="str">
        <f>IF(OR('Recycling - Case 1'!AC104="No",'Recycling - Case 1'!T144="No"), "No", "Yes")</f>
        <v>Yes</v>
      </c>
      <c r="AD34" s="1101">
        <f t="shared" si="84"/>
        <v>14603.065162606079</v>
      </c>
      <c r="AE34" s="1102">
        <f t="shared" si="85"/>
        <v>1126.8796281696516</v>
      </c>
      <c r="AF34" s="1102">
        <f t="shared" si="86"/>
        <v>267.56397765553447</v>
      </c>
      <c r="AG34" s="1102">
        <f t="shared" si="87"/>
        <v>4248.1135693425285</v>
      </c>
      <c r="AH34" s="1142">
        <f t="shared" si="60"/>
        <v>20245.622337773795</v>
      </c>
      <c r="AI34" s="1423" t="str">
        <f>IF(OR('Recycling - Case 1'!AI15="No",'Recycling - Case 1'!Z144="No"), "No", "Yes")</f>
        <v>Yes</v>
      </c>
      <c r="AJ34" s="1101">
        <f t="shared" si="88"/>
        <v>14297.876159242265</v>
      </c>
      <c r="AK34" s="1102">
        <f t="shared" si="89"/>
        <v>1290.6815638645626</v>
      </c>
      <c r="AL34" s="1102">
        <f t="shared" si="90"/>
        <v>205.14518471133582</v>
      </c>
      <c r="AM34" s="1102">
        <f t="shared" si="91"/>
        <v>4622.7141959976798</v>
      </c>
      <c r="AN34" s="1142">
        <f t="shared" si="92"/>
        <v>20416.417103815846</v>
      </c>
      <c r="AO34" s="1416" t="str">
        <f>IF(OR('Recycling - Case 2'!AC104="No",'Recycling - Case 2'!T144="No"), "No", "Yes")</f>
        <v>No</v>
      </c>
      <c r="AP34" s="1101">
        <f t="shared" si="93"/>
        <v>14297.876159242265</v>
      </c>
      <c r="AQ34" s="1102">
        <f t="shared" si="94"/>
        <v>1290.6815638645626</v>
      </c>
      <c r="AR34" s="1102">
        <f t="shared" si="95"/>
        <v>205.14518471133582</v>
      </c>
      <c r="AS34" s="1102">
        <f t="shared" si="96"/>
        <v>4622.7141959976798</v>
      </c>
      <c r="AT34" s="1142">
        <f t="shared" si="37"/>
        <v>20416.417103815846</v>
      </c>
      <c r="AU34" s="1423" t="str">
        <f>IF(OR('Recycling - Case 2'!AC104="No",'Recycling - Case 2'!T184="No"), "No", "Yes")</f>
        <v>No</v>
      </c>
      <c r="AV34" s="1101">
        <f t="shared" si="63"/>
        <v>14298.028174729483</v>
      </c>
      <c r="AW34" s="1102">
        <f t="shared" si="64"/>
        <v>783.8581877047676</v>
      </c>
      <c r="AX34" s="1102">
        <f t="shared" si="65"/>
        <v>205.14518471133579</v>
      </c>
      <c r="AY34" s="1102">
        <f t="shared" si="66"/>
        <v>4622.7141959976798</v>
      </c>
      <c r="AZ34" s="1142">
        <f t="shared" si="67"/>
        <v>19909.745743143267</v>
      </c>
      <c r="BA34" s="1423" t="str">
        <f>IF(OR('Recycling - Case 3'!AC104="No",'Recycling - Case 3'!T144="No"), "No", "Yes")</f>
        <v>No</v>
      </c>
      <c r="BB34" s="1101">
        <f t="shared" si="97"/>
        <v>14298.028174729483</v>
      </c>
      <c r="BC34" s="1102">
        <f t="shared" si="98"/>
        <v>783.8581877047676</v>
      </c>
      <c r="BD34" s="1102">
        <f t="shared" si="99"/>
        <v>205.14518471133579</v>
      </c>
      <c r="BE34" s="1102">
        <f t="shared" si="100"/>
        <v>4622.7141959976798</v>
      </c>
      <c r="BF34" s="1142">
        <f t="shared" si="47"/>
        <v>19909.745743143267</v>
      </c>
      <c r="BG34" s="1423" t="str">
        <f>IF(OR('Recycling - Case 3'!AC104="No",'Recycling - Case 3'!T184="No"), "No", "Yes")</f>
        <v>No</v>
      </c>
      <c r="BH34" s="596">
        <f t="shared" si="48"/>
        <v>2024</v>
      </c>
      <c r="BI34" s="1102">
        <f>'Recycling - Case 1'!BV104</f>
        <v>92.919958920703763</v>
      </c>
      <c r="BJ34" s="417">
        <f>'Recycling - Case 1'!BW104</f>
        <v>0.41031204070897048</v>
      </c>
      <c r="BK34" s="1142">
        <f>'Recycling - Case 1'!BX104</f>
        <v>50.177221869345395</v>
      </c>
      <c r="BL34" s="1101">
        <f>'Recycling - Case 1'!BY104</f>
        <v>92.919958920703763</v>
      </c>
      <c r="BM34" s="417">
        <f>'Recycling - Case 1'!BZ104</f>
        <v>0.41031204070897048</v>
      </c>
      <c r="BN34" s="1142">
        <f>'Recycling - Case 1'!CA104</f>
        <v>50.177221869345395</v>
      </c>
      <c r="BO34" s="1102">
        <f>'Recycling - Case 2'!BV104</f>
        <v>88.730240084875817</v>
      </c>
      <c r="BP34" s="417">
        <f>'Recycling - Case 2'!BW104</f>
        <v>0.51710006263319785</v>
      </c>
      <c r="BQ34" s="1142">
        <f>'Recycling - Case 2'!BX104</f>
        <v>50.177221869345395</v>
      </c>
      <c r="BR34" s="1101">
        <f>'Recycling - Case 2'!BY104</f>
        <v>88.730240084875817</v>
      </c>
      <c r="BS34" s="417">
        <f>'Recycling - Case 2'!BZ104</f>
        <v>0.51710006263319785</v>
      </c>
      <c r="BT34" s="1142">
        <f>'Recycling - Case 2'!CA104</f>
        <v>50.177221869345395</v>
      </c>
      <c r="BU34" s="1102">
        <f>'Recycling - Case 3'!BV104</f>
        <v>88.730240084875817</v>
      </c>
      <c r="BV34" s="417">
        <f>'Recycling - Case 3'!BW104</f>
        <v>0.51710006263319785</v>
      </c>
      <c r="BW34" s="1142">
        <f>'Recycling - Case 3'!BX104</f>
        <v>50.177221869345395</v>
      </c>
      <c r="BX34" s="1101">
        <f>'Recycling - Case 3'!BY104</f>
        <v>88.730240084875817</v>
      </c>
      <c r="BY34" s="417">
        <f>'Recycling - Case 3'!BZ104</f>
        <v>0.51710006263319785</v>
      </c>
      <c r="BZ34" s="1142">
        <f>'Recycling - Case 3'!CA104</f>
        <v>50.177221869345395</v>
      </c>
      <c r="CA34" s="596">
        <v>2024</v>
      </c>
      <c r="CB34" s="649">
        <f>'Recycling - Case 1'!CB104</f>
        <v>0.13396732868584704</v>
      </c>
      <c r="CC34" s="417">
        <f>'Recycling - Case 1'!CC104</f>
        <v>0.21364941248748015</v>
      </c>
      <c r="CD34" s="417">
        <f>'Recycling - Case 1'!CD104</f>
        <v>0.13396732868584704</v>
      </c>
      <c r="CE34" s="525">
        <f>'Recycling - Case 1'!CE104</f>
        <v>0.21364941248748015</v>
      </c>
      <c r="CF34" s="649">
        <f>'Recycling - Case 2'!CB104</f>
        <v>0.19632835817910144</v>
      </c>
      <c r="CG34" s="417">
        <f>'Recycling - Case 2'!CC104</f>
        <v>0.24219823068215074</v>
      </c>
      <c r="CH34" s="417">
        <f>'Recycling - Case 2'!CD104</f>
        <v>0.19632835817910144</v>
      </c>
      <c r="CI34" s="525">
        <f>'Recycling - Case 2'!CE104</f>
        <v>0.24219823068215074</v>
      </c>
      <c r="CJ34" s="649">
        <f>'Recycling - Case 3'!CB104</f>
        <v>0.19632835817910144</v>
      </c>
      <c r="CK34" s="417">
        <f>'Recycling - Case 3'!CC104</f>
        <v>0.24219823068215074</v>
      </c>
      <c r="CL34" s="417">
        <f>'Recycling - Case 3'!CD104</f>
        <v>0.19632835817910144</v>
      </c>
      <c r="CM34" s="525">
        <f>'Recycling - Case 3'!CE104</f>
        <v>0.24219823068215074</v>
      </c>
    </row>
    <row r="35" spans="1:91">
      <c r="A35" s="4">
        <f>'Input data'!A124</f>
        <v>2024</v>
      </c>
      <c r="B35" s="4"/>
      <c r="C35" s="769">
        <f>'4A SWD Case 1'!BG94</f>
        <v>695.3840553621942</v>
      </c>
      <c r="D35" s="3">
        <f>'4B Biological treatment '!T88</f>
        <v>0.62500256692715017</v>
      </c>
      <c r="E35" s="1157">
        <f>'4B Biological treatment '!U88</f>
        <v>28.125115511721752</v>
      </c>
      <c r="F35" s="1157">
        <f>'4B Biological treatment '!W88</f>
        <v>1.687506930703305</v>
      </c>
      <c r="G35" s="952">
        <f>'4C2 Open-burning '!R95</f>
        <v>28.111466555851909</v>
      </c>
      <c r="H35" s="952">
        <f>'4C2 Open-burning '!Z95</f>
        <v>9.4586478530217164</v>
      </c>
      <c r="I35" s="952">
        <f>'4C2 Open-burning '!AH95</f>
        <v>0.13168034253621469</v>
      </c>
      <c r="J35" s="987">
        <f>'4D Wastewater treatment and dis'!AV132</f>
        <v>155.97867704009508</v>
      </c>
      <c r="K35" s="770">
        <f>'4D Wastewater treatment and dis'!AW132</f>
        <v>3.1372946822597805</v>
      </c>
      <c r="L35" s="771">
        <f t="shared" si="69"/>
        <v>14603.065162606079</v>
      </c>
      <c r="M35" s="772">
        <f t="shared" si="70"/>
        <v>13.125053905470153</v>
      </c>
      <c r="N35" s="771">
        <f t="shared" si="71"/>
        <v>1113.7545742641814</v>
      </c>
      <c r="O35" s="773">
        <f t="shared" si="72"/>
        <v>267.56397765553447</v>
      </c>
      <c r="P35" s="771">
        <f t="shared" si="73"/>
        <v>4248.1135693425285</v>
      </c>
      <c r="Q35" s="519">
        <f t="shared" si="74"/>
        <v>14603.065162606079</v>
      </c>
      <c r="R35" s="521">
        <f t="shared" si="75"/>
        <v>1126.8796281696516</v>
      </c>
      <c r="S35" s="518">
        <f t="shared" si="76"/>
        <v>267.56397765553447</v>
      </c>
      <c r="T35" s="519">
        <f t="shared" si="77"/>
        <v>4248.1135693425285</v>
      </c>
      <c r="U35" s="519">
        <f t="shared" si="78"/>
        <v>20245.622337773795</v>
      </c>
      <c r="V35" s="3"/>
      <c r="W35" s="596">
        <f t="shared" si="79"/>
        <v>2025</v>
      </c>
      <c r="X35" s="1101">
        <f t="shared" si="80"/>
        <v>14142.283351824355</v>
      </c>
      <c r="Y35" s="1102">
        <f t="shared" si="81"/>
        <v>1186.3131062798866</v>
      </c>
      <c r="Z35" s="1102">
        <f t="shared" si="82"/>
        <v>260.8051206160838</v>
      </c>
      <c r="AA35" s="1102">
        <f t="shared" si="83"/>
        <v>4329.0524787588065</v>
      </c>
      <c r="AB35" s="1142">
        <f t="shared" si="22"/>
        <v>19918.454057479132</v>
      </c>
      <c r="AC35" s="1423" t="str">
        <f>IF(OR('Recycling - Case 1'!AC105="No",'Recycling - Case 1'!T145="No"), "No", "Yes")</f>
        <v>Yes</v>
      </c>
      <c r="AD35" s="1101">
        <f t="shared" si="84"/>
        <v>14142.283351824355</v>
      </c>
      <c r="AE35" s="1102">
        <f t="shared" si="85"/>
        <v>1186.3131062798866</v>
      </c>
      <c r="AF35" s="1102">
        <f t="shared" si="86"/>
        <v>260.8051206160838</v>
      </c>
      <c r="AG35" s="1102">
        <f t="shared" si="87"/>
        <v>4329.0524787588065</v>
      </c>
      <c r="AH35" s="1142">
        <f t="shared" si="60"/>
        <v>19918.454057479132</v>
      </c>
      <c r="AI35" s="1423" t="str">
        <f>IF(OR('Recycling - Case 1'!AI16="No",'Recycling - Case 1'!Z145="No"), "No", "Yes")</f>
        <v>Yes</v>
      </c>
      <c r="AJ35" s="1101">
        <f t="shared" si="88"/>
        <v>13764.136089130836</v>
      </c>
      <c r="AK35" s="1102">
        <f t="shared" si="89"/>
        <v>1295.5143967431607</v>
      </c>
      <c r="AL35" s="1102">
        <f t="shared" si="90"/>
        <v>192.95911617366457</v>
      </c>
      <c r="AM35" s="1102">
        <f t="shared" si="91"/>
        <v>4761.7810535867638</v>
      </c>
      <c r="AN35" s="1142">
        <f t="shared" si="92"/>
        <v>20014.390655634426</v>
      </c>
      <c r="AO35" s="1416" t="str">
        <f>IF(OR('Recycling - Case 2'!AC105="No",'Recycling - Case 2'!T145="No"), "No", "Yes")</f>
        <v>No</v>
      </c>
      <c r="AP35" s="1101">
        <f t="shared" si="93"/>
        <v>13764.136089130836</v>
      </c>
      <c r="AQ35" s="1102">
        <f t="shared" si="94"/>
        <v>1295.5143967431607</v>
      </c>
      <c r="AR35" s="1102">
        <f t="shared" si="95"/>
        <v>192.95911617366457</v>
      </c>
      <c r="AS35" s="1102">
        <f t="shared" si="96"/>
        <v>4761.7810535867638</v>
      </c>
      <c r="AT35" s="1142">
        <f t="shared" si="37"/>
        <v>20014.390655634426</v>
      </c>
      <c r="AU35" s="1423" t="str">
        <f>IF(OR('Recycling - Case 2'!AC105="No",'Recycling - Case 2'!T185="No"), "No", "Yes")</f>
        <v>No</v>
      </c>
      <c r="AV35" s="1101">
        <f t="shared" si="63"/>
        <v>13764.336730445008</v>
      </c>
      <c r="AW35" s="1102">
        <f t="shared" si="64"/>
        <v>786.79326923669487</v>
      </c>
      <c r="AX35" s="1102">
        <f t="shared" si="65"/>
        <v>192.95911617366457</v>
      </c>
      <c r="AY35" s="1102">
        <f t="shared" si="66"/>
        <v>4761.7810535867638</v>
      </c>
      <c r="AZ35" s="1142">
        <f t="shared" si="67"/>
        <v>19505.870169442132</v>
      </c>
      <c r="BA35" s="1423" t="str">
        <f>IF(OR('Recycling - Case 3'!AC105="No",'Recycling - Case 3'!T145="No"), "No", "Yes")</f>
        <v>No</v>
      </c>
      <c r="BB35" s="1101">
        <f t="shared" si="97"/>
        <v>13764.336730445008</v>
      </c>
      <c r="BC35" s="1102">
        <f t="shared" si="98"/>
        <v>786.79326923669487</v>
      </c>
      <c r="BD35" s="1102">
        <f t="shared" si="99"/>
        <v>192.95911617366457</v>
      </c>
      <c r="BE35" s="1102">
        <f t="shared" si="100"/>
        <v>4761.7810535867638</v>
      </c>
      <c r="BF35" s="1142">
        <f t="shared" si="47"/>
        <v>19505.870169442132</v>
      </c>
      <c r="BG35" s="1423" t="str">
        <f>IF(OR('Recycling - Case 3'!AC105="No",'Recycling - Case 3'!T185="No"), "No", "Yes")</f>
        <v>No</v>
      </c>
      <c r="BH35" s="596">
        <f t="shared" si="48"/>
        <v>2025</v>
      </c>
      <c r="BI35" s="1102">
        <f>'Recycling - Case 1'!BV105</f>
        <v>91.393410229978926</v>
      </c>
      <c r="BJ35" s="417">
        <f>'Recycling - Case 1'!BW105</f>
        <v>0.43159193297655696</v>
      </c>
      <c r="BK35" s="1142">
        <f>'Recycling - Case 1'!BX105</f>
        <v>50.60574138776861</v>
      </c>
      <c r="BL35" s="1101">
        <f>'Recycling - Case 1'!BY105</f>
        <v>91.393410229978926</v>
      </c>
      <c r="BM35" s="417">
        <f>'Recycling - Case 1'!BZ105</f>
        <v>0.43159193297655696</v>
      </c>
      <c r="BN35" s="1142">
        <f>'Recycling - Case 1'!CA105</f>
        <v>50.60574138776861</v>
      </c>
      <c r="BO35" s="1102">
        <f>'Recycling - Case 2'!BV105</f>
        <v>89.228816584605397</v>
      </c>
      <c r="BP35" s="417">
        <f>'Recycling - Case 2'!BW105</f>
        <v>0.53467894777326108</v>
      </c>
      <c r="BQ35" s="1142">
        <f>'Recycling - Case 2'!BX105</f>
        <v>50.60574138776861</v>
      </c>
      <c r="BR35" s="1101">
        <f>'Recycling - Case 2'!BY105</f>
        <v>89.228816584605397</v>
      </c>
      <c r="BS35" s="417">
        <f>'Recycling - Case 2'!BZ105</f>
        <v>0.53467894777326108</v>
      </c>
      <c r="BT35" s="1142">
        <f>'Recycling - Case 2'!CA105</f>
        <v>50.60574138776861</v>
      </c>
      <c r="BU35" s="1102">
        <f>'Recycling - Case 3'!BV105</f>
        <v>89.228816584605397</v>
      </c>
      <c r="BV35" s="417">
        <f>'Recycling - Case 3'!BW105</f>
        <v>0.53467894777326108</v>
      </c>
      <c r="BW35" s="1142">
        <f>'Recycling - Case 3'!BX105</f>
        <v>50.60574138776861</v>
      </c>
      <c r="BX35" s="1101">
        <f>'Recycling - Case 3'!BY105</f>
        <v>89.228816584605397</v>
      </c>
      <c r="BY35" s="417">
        <f>'Recycling - Case 3'!BZ105</f>
        <v>0.53467894777326108</v>
      </c>
      <c r="BZ35" s="1142">
        <f>'Recycling - Case 3'!CA105</f>
        <v>50.60574138776861</v>
      </c>
      <c r="CA35" s="596">
        <v>2025</v>
      </c>
      <c r="CB35" s="649">
        <f>'Recycling - Case 1'!CB105</f>
        <v>0.14613592864028768</v>
      </c>
      <c r="CC35" s="417">
        <f>'Recycling - Case 1'!CC105</f>
        <v>0.2398864559148649</v>
      </c>
      <c r="CD35" s="417">
        <f>'Recycling - Case 1'!CD105</f>
        <v>0.14613592864028768</v>
      </c>
      <c r="CE35" s="525">
        <f>'Recycling - Case 1'!CE105</f>
        <v>0.2398864559148649</v>
      </c>
      <c r="CF35" s="649">
        <f>'Recycling - Case 2'!CB105</f>
        <v>0.21411400479319376</v>
      </c>
      <c r="CG35" s="417">
        <f>'Recycling - Case 2'!CC105</f>
        <v>0.24377233346132599</v>
      </c>
      <c r="CH35" s="417">
        <f>'Recycling - Case 2'!CD105</f>
        <v>0.21411400479319376</v>
      </c>
      <c r="CI35" s="525">
        <f>'Recycling - Case 2'!CE105</f>
        <v>0.24377233346132599</v>
      </c>
      <c r="CJ35" s="649">
        <f>'Recycling - Case 3'!CB105</f>
        <v>0.21411400479319376</v>
      </c>
      <c r="CK35" s="417">
        <f>'Recycling - Case 3'!CC105</f>
        <v>0.24377233346132599</v>
      </c>
      <c r="CL35" s="417">
        <f>'Recycling - Case 3'!CD105</f>
        <v>0.21411400479319376</v>
      </c>
      <c r="CM35" s="525">
        <f>'Recycling - Case 3'!CE105</f>
        <v>0.24377233346132599</v>
      </c>
    </row>
    <row r="36" spans="1:91">
      <c r="A36" s="4">
        <f>'Input data'!A125</f>
        <v>2025</v>
      </c>
      <c r="B36" s="4"/>
      <c r="C36" s="769">
        <f>'4A SWD Case 1'!BG95</f>
        <v>673.44206437258833</v>
      </c>
      <c r="D36" s="3">
        <f>'4B Biological treatment '!T89</f>
        <v>0.65796622644475145</v>
      </c>
      <c r="E36" s="1157">
        <f>'4B Biological treatment '!U89</f>
        <v>29.608480190013811</v>
      </c>
      <c r="F36" s="1157">
        <f>'4B Biological treatment '!W89</f>
        <v>1.7765088114008285</v>
      </c>
      <c r="G36" s="952">
        <f>'4C2 Open-burning '!R96</f>
        <v>27.401350847133774</v>
      </c>
      <c r="H36" s="952">
        <f>'4C2 Open-burning '!Z96</f>
        <v>9.2197156574950636</v>
      </c>
      <c r="I36" s="952">
        <f>'4C2 Open-burning '!AH96</f>
        <v>0.12835400310178607</v>
      </c>
      <c r="J36" s="987">
        <f>'4D Wastewater treatment and dis'!AV133</f>
        <v>159.3338256616378</v>
      </c>
      <c r="K36" s="770">
        <f>'4D Wastewater treatment and dis'!AW133</f>
        <v>3.1711036769819763</v>
      </c>
      <c r="L36" s="771">
        <f t="shared" si="69"/>
        <v>14142.283351824355</v>
      </c>
      <c r="M36" s="772">
        <f t="shared" si="70"/>
        <v>13.81729075533978</v>
      </c>
      <c r="N36" s="771">
        <f t="shared" si="71"/>
        <v>1172.4958155245467</v>
      </c>
      <c r="O36" s="773">
        <f t="shared" si="72"/>
        <v>260.8051206160838</v>
      </c>
      <c r="P36" s="771">
        <f t="shared" si="73"/>
        <v>4329.0524787588065</v>
      </c>
      <c r="Q36" s="519">
        <f t="shared" si="74"/>
        <v>14142.283351824355</v>
      </c>
      <c r="R36" s="521">
        <f t="shared" si="75"/>
        <v>1186.3131062798866</v>
      </c>
      <c r="S36" s="518">
        <f t="shared" si="76"/>
        <v>260.8051206160838</v>
      </c>
      <c r="T36" s="519">
        <f t="shared" si="77"/>
        <v>4329.0524787588065</v>
      </c>
      <c r="U36" s="519">
        <f t="shared" si="78"/>
        <v>19918.454057479132</v>
      </c>
      <c r="V36" s="3"/>
      <c r="W36" s="596">
        <f t="shared" si="79"/>
        <v>2026</v>
      </c>
      <c r="X36" s="1101">
        <f t="shared" si="80"/>
        <v>13680.530571086229</v>
      </c>
      <c r="Y36" s="1102">
        <f t="shared" si="81"/>
        <v>1246.4219144383717</v>
      </c>
      <c r="Z36" s="1102">
        <f t="shared" si="82"/>
        <v>254.27830058753318</v>
      </c>
      <c r="AA36" s="1102">
        <f t="shared" si="83"/>
        <v>4409.7869588197709</v>
      </c>
      <c r="AB36" s="1142">
        <f t="shared" si="22"/>
        <v>19591.017744931905</v>
      </c>
      <c r="AC36" s="1423" t="str">
        <f>IF(OR('Recycling - Case 1'!AC106="No",'Recycling - Case 1'!T146="No"), "No", "Yes")</f>
        <v>Yes</v>
      </c>
      <c r="AD36" s="1101">
        <f t="shared" si="84"/>
        <v>13680.530571086229</v>
      </c>
      <c r="AE36" s="1102">
        <f t="shared" si="85"/>
        <v>1246.4219144383717</v>
      </c>
      <c r="AF36" s="1102">
        <f t="shared" si="86"/>
        <v>254.27830058753318</v>
      </c>
      <c r="AG36" s="1102">
        <f t="shared" si="87"/>
        <v>4409.7869588197709</v>
      </c>
      <c r="AH36" s="1142">
        <f t="shared" si="60"/>
        <v>19591.017744931905</v>
      </c>
      <c r="AI36" s="1423" t="str">
        <f>IF(OR('Recycling - Case 1'!AI17="No",'Recycling - Case 1'!Z146="No"), "No", "Yes")</f>
        <v>Yes</v>
      </c>
      <c r="AJ36" s="1101">
        <f t="shared" si="88"/>
        <v>13250.626165561554</v>
      </c>
      <c r="AK36" s="1102">
        <f t="shared" si="89"/>
        <v>1301.0225596700088</v>
      </c>
      <c r="AL36" s="1102">
        <f t="shared" si="90"/>
        <v>180.57005873976388</v>
      </c>
      <c r="AM36" s="1102">
        <f t="shared" si="91"/>
        <v>4901.6904430853619</v>
      </c>
      <c r="AN36" s="1142">
        <f t="shared" si="92"/>
        <v>19633.909227056691</v>
      </c>
      <c r="AO36" s="1416" t="str">
        <f>IF(OR('Recycling - Case 2'!AC106="No",'Recycling - Case 2'!T146="No"), "No", "Yes")</f>
        <v>No</v>
      </c>
      <c r="AP36" s="1101">
        <f t="shared" si="93"/>
        <v>13250.626165561554</v>
      </c>
      <c r="AQ36" s="1102">
        <f t="shared" si="94"/>
        <v>1301.0225596700088</v>
      </c>
      <c r="AR36" s="1102">
        <f t="shared" si="95"/>
        <v>180.57005873976388</v>
      </c>
      <c r="AS36" s="1102">
        <f t="shared" si="96"/>
        <v>4901.6904430853619</v>
      </c>
      <c r="AT36" s="1142">
        <f t="shared" si="37"/>
        <v>19633.909227056691</v>
      </c>
      <c r="AU36" s="1423" t="str">
        <f>IF(OR('Recycling - Case 2'!AC106="No",'Recycling - Case 2'!T186="No"), "No", "Yes")</f>
        <v>No</v>
      </c>
      <c r="AV36" s="1101">
        <f t="shared" si="63"/>
        <v>13250.88152007624</v>
      </c>
      <c r="AW36" s="1102">
        <f t="shared" si="64"/>
        <v>790.13849297762579</v>
      </c>
      <c r="AX36" s="1102">
        <f t="shared" si="65"/>
        <v>180.57005873976388</v>
      </c>
      <c r="AY36" s="1102">
        <f t="shared" si="66"/>
        <v>4901.6904430853619</v>
      </c>
      <c r="AZ36" s="1142">
        <f t="shared" si="67"/>
        <v>19123.280514878992</v>
      </c>
      <c r="BA36" s="1423" t="str">
        <f>IF(OR('Recycling - Case 3'!AC106="No",'Recycling - Case 3'!T146="No"), "No", "Yes")</f>
        <v>No</v>
      </c>
      <c r="BB36" s="1101">
        <f t="shared" si="97"/>
        <v>13250.88152007624</v>
      </c>
      <c r="BC36" s="1102">
        <f t="shared" si="98"/>
        <v>790.13849297762579</v>
      </c>
      <c r="BD36" s="1102">
        <f t="shared" si="99"/>
        <v>180.57005873976388</v>
      </c>
      <c r="BE36" s="1102">
        <f t="shared" si="100"/>
        <v>4901.6904430853619</v>
      </c>
      <c r="BF36" s="1142">
        <f t="shared" si="47"/>
        <v>19123.280514878992</v>
      </c>
      <c r="BG36" s="1423" t="str">
        <f>IF(OR('Recycling - Case 3'!AC106="No",'Recycling - Case 3'!T186="No"), "No", "Yes")</f>
        <v>No</v>
      </c>
      <c r="BH36" s="596">
        <f t="shared" si="48"/>
        <v>2026</v>
      </c>
      <c r="BI36" s="1102">
        <f>'Recycling - Case 1'!BV106</f>
        <v>89.821753234370718</v>
      </c>
      <c r="BJ36" s="417">
        <f>'Recycling - Case 1'!BW106</f>
        <v>0.45167577383536117</v>
      </c>
      <c r="BK36" s="1142">
        <f>'Recycling - Case 1'!BX106</f>
        <v>48.876629543919627</v>
      </c>
      <c r="BL36" s="1101">
        <f>'Recycling - Case 1'!BY106</f>
        <v>89.821753234370718</v>
      </c>
      <c r="BM36" s="417">
        <f>'Recycling - Case 1'!BZ106</f>
        <v>0.45167577383536117</v>
      </c>
      <c r="BN36" s="1142">
        <f>'Recycling - Case 1'!CA106</f>
        <v>48.876629543919627</v>
      </c>
      <c r="BO36" s="1102">
        <f>'Recycling - Case 2'!BV106</f>
        <v>87.612656453276486</v>
      </c>
      <c r="BP36" s="417">
        <f>'Recycling - Case 2'!BW106</f>
        <v>0.55884592170559577</v>
      </c>
      <c r="BQ36" s="1142">
        <f>'Recycling - Case 2'!BX106</f>
        <v>48.876629543919627</v>
      </c>
      <c r="BR36" s="1101">
        <f>'Recycling - Case 2'!BY106</f>
        <v>87.612656453276486</v>
      </c>
      <c r="BS36" s="417">
        <f>'Recycling - Case 2'!BZ106</f>
        <v>0.55884592170559577</v>
      </c>
      <c r="BT36" s="1142">
        <f>'Recycling - Case 2'!CA106</f>
        <v>48.876629543919627</v>
      </c>
      <c r="BU36" s="1102">
        <f>'Recycling - Case 3'!BV106</f>
        <v>87.612656453276486</v>
      </c>
      <c r="BV36" s="417">
        <f>'Recycling - Case 3'!BW106</f>
        <v>0.55884592170559577</v>
      </c>
      <c r="BW36" s="1142">
        <f>'Recycling - Case 3'!BX106</f>
        <v>48.876629543919627</v>
      </c>
      <c r="BX36" s="1101">
        <f>'Recycling - Case 3'!BY106</f>
        <v>87.612656453276486</v>
      </c>
      <c r="BY36" s="417">
        <f>'Recycling - Case 3'!BZ106</f>
        <v>0.55884592170559577</v>
      </c>
      <c r="BZ36" s="1142">
        <f>'Recycling - Case 3'!CA106</f>
        <v>48.876629543919627</v>
      </c>
      <c r="CA36" s="596">
        <v>2026</v>
      </c>
      <c r="CB36" s="649">
        <f>'Recycling - Case 1'!CB106</f>
        <v>0.15707970519266701</v>
      </c>
      <c r="CC36" s="417">
        <f>'Recycling - Case 1'!CC106</f>
        <v>0.24931306736123282</v>
      </c>
      <c r="CD36" s="417">
        <f>'Recycling - Case 1'!CD106</f>
        <v>0.15707970519266701</v>
      </c>
      <c r="CE36" s="525">
        <f>'Recycling - Case 1'!CE106</f>
        <v>0.24931306736123282</v>
      </c>
      <c r="CF36" s="649">
        <f>'Recycling - Case 2'!CB106</f>
        <v>0.23140494815331936</v>
      </c>
      <c r="CG36" s="417">
        <f>'Recycling - Case 2'!CC106</f>
        <v>0.25160872219290298</v>
      </c>
      <c r="CH36" s="417">
        <f>'Recycling - Case 2'!CD106</f>
        <v>0.23140494815331936</v>
      </c>
      <c r="CI36" s="525">
        <f>'Recycling - Case 2'!CE106</f>
        <v>0.25160872219290298</v>
      </c>
      <c r="CJ36" s="649">
        <f>'Recycling - Case 3'!CB106</f>
        <v>0.23140494815331936</v>
      </c>
      <c r="CK36" s="417">
        <f>'Recycling - Case 3'!CC106</f>
        <v>0.25160872219290298</v>
      </c>
      <c r="CL36" s="417">
        <f>'Recycling - Case 3'!CD106</f>
        <v>0.23140494815331936</v>
      </c>
      <c r="CM36" s="525">
        <f>'Recycling - Case 3'!CE106</f>
        <v>0.25160872219290298</v>
      </c>
    </row>
    <row r="37" spans="1:91">
      <c r="A37" s="4">
        <f>'Input data'!A126</f>
        <v>2026</v>
      </c>
      <c r="B37" s="4"/>
      <c r="C37" s="769">
        <f>'4A SWD Case 1'!BG96</f>
        <v>651.45383671839181</v>
      </c>
      <c r="D37" s="3">
        <f>'4B Biological treatment '!T90</f>
        <v>0.69130444505733324</v>
      </c>
      <c r="E37" s="1157">
        <f>'4B Biological treatment '!U90</f>
        <v>31.108700027579992</v>
      </c>
      <c r="F37" s="1157">
        <f>'4B Biological treatment '!W90</f>
        <v>1.8665220016547992</v>
      </c>
      <c r="G37" s="952">
        <f>'4C2 Open-burning '!R97</f>
        <v>26.715613983164449</v>
      </c>
      <c r="H37" s="952">
        <f>'4C2 Open-burning '!Z97</f>
        <v>8.9889861968589706</v>
      </c>
      <c r="I37" s="952">
        <f>'4C2 Open-burning '!AH97</f>
        <v>0.12514185958171087</v>
      </c>
      <c r="J37" s="987">
        <f>'4D Wastewater treatment and dis'!AV134</f>
        <v>162.68947382129002</v>
      </c>
      <c r="K37" s="770">
        <f>'4D Wastewater treatment and dis'!AW134</f>
        <v>3.2042193824925169</v>
      </c>
      <c r="L37" s="771">
        <f t="shared" si="69"/>
        <v>13680.530571086229</v>
      </c>
      <c r="M37" s="772">
        <f t="shared" si="70"/>
        <v>14.517393346203997</v>
      </c>
      <c r="N37" s="771">
        <f t="shared" si="71"/>
        <v>1231.9045210921677</v>
      </c>
      <c r="O37" s="773">
        <f t="shared" si="72"/>
        <v>254.27830058753318</v>
      </c>
      <c r="P37" s="771">
        <f t="shared" si="73"/>
        <v>4409.7869588197709</v>
      </c>
      <c r="Q37" s="519">
        <f t="shared" si="74"/>
        <v>13680.530571086229</v>
      </c>
      <c r="R37" s="521">
        <f t="shared" si="75"/>
        <v>1246.4219144383717</v>
      </c>
      <c r="S37" s="518">
        <f t="shared" si="76"/>
        <v>254.27830058753318</v>
      </c>
      <c r="T37" s="519">
        <f t="shared" si="77"/>
        <v>4409.7869588197709</v>
      </c>
      <c r="U37" s="519">
        <f t="shared" si="78"/>
        <v>19591.017744931905</v>
      </c>
      <c r="V37" s="3"/>
      <c r="W37" s="596">
        <f t="shared" si="79"/>
        <v>2027</v>
      </c>
      <c r="X37" s="1101">
        <f t="shared" si="80"/>
        <v>13227.955203882462</v>
      </c>
      <c r="Y37" s="1102">
        <f t="shared" si="81"/>
        <v>1306.5096943132057</v>
      </c>
      <c r="Z37" s="1102">
        <f t="shared" si="82"/>
        <v>247.98384348286535</v>
      </c>
      <c r="AA37" s="1102">
        <f t="shared" si="83"/>
        <v>4490.2529386254319</v>
      </c>
      <c r="AB37" s="1142">
        <f t="shared" si="22"/>
        <v>19272.701680303966</v>
      </c>
      <c r="AC37" s="1423" t="str">
        <f>IF(OR('Recycling - Case 1'!AC107="No",'Recycling - Case 1'!T147="No"), "No", "Yes")</f>
        <v>No</v>
      </c>
      <c r="AD37" s="1101">
        <f t="shared" si="84"/>
        <v>13227.955203882462</v>
      </c>
      <c r="AE37" s="1102">
        <f t="shared" si="85"/>
        <v>1306.5096943132057</v>
      </c>
      <c r="AF37" s="1102">
        <f t="shared" si="86"/>
        <v>247.98384348286535</v>
      </c>
      <c r="AG37" s="1102">
        <f t="shared" si="87"/>
        <v>4490.2529386254319</v>
      </c>
      <c r="AH37" s="1142">
        <f t="shared" si="60"/>
        <v>19272.701680303966</v>
      </c>
      <c r="AI37" s="1423" t="str">
        <f>IF(OR('Recycling - Case 1'!AI18="No",'Recycling - Case 1'!Z147="No"), "No", "Yes")</f>
        <v>Yes</v>
      </c>
      <c r="AJ37" s="1101">
        <f t="shared" si="88"/>
        <v>12755.778740515572</v>
      </c>
      <c r="AK37" s="1102">
        <f t="shared" si="89"/>
        <v>1306.5096943132057</v>
      </c>
      <c r="AL37" s="1102">
        <f t="shared" si="90"/>
        <v>167.96537924386851</v>
      </c>
      <c r="AM37" s="1102">
        <f t="shared" si="91"/>
        <v>5042.3377739369917</v>
      </c>
      <c r="AN37" s="1142">
        <f t="shared" si="92"/>
        <v>19272.591588009636</v>
      </c>
      <c r="AO37" s="1416" t="str">
        <f>IF(OR('Recycling - Case 2'!AC107="No",'Recycling - Case 2'!T147="No"), "No", "Yes")</f>
        <v>No</v>
      </c>
      <c r="AP37" s="1101">
        <f t="shared" si="93"/>
        <v>12755.778740515572</v>
      </c>
      <c r="AQ37" s="1102">
        <f t="shared" si="94"/>
        <v>1306.5096943132057</v>
      </c>
      <c r="AR37" s="1102">
        <f t="shared" si="95"/>
        <v>167.96537924386851</v>
      </c>
      <c r="AS37" s="1102">
        <f t="shared" si="96"/>
        <v>5042.3377739369917</v>
      </c>
      <c r="AT37" s="1142">
        <f t="shared" si="37"/>
        <v>19272.591588009636</v>
      </c>
      <c r="AU37" s="1423" t="str">
        <f>IF(OR('Recycling - Case 2'!AC107="No",'Recycling - Case 2'!T187="No"), "No", "Yes")</f>
        <v>No</v>
      </c>
      <c r="AV37" s="1101">
        <f t="shared" si="63"/>
        <v>12756.094701748469</v>
      </c>
      <c r="AW37" s="1102">
        <f t="shared" si="64"/>
        <v>793.47094579753752</v>
      </c>
      <c r="AX37" s="1102">
        <f t="shared" si="65"/>
        <v>167.96537924386851</v>
      </c>
      <c r="AY37" s="1102">
        <f t="shared" si="66"/>
        <v>5042.3377739369917</v>
      </c>
      <c r="AZ37" s="1142">
        <f t="shared" si="67"/>
        <v>18759.868800726865</v>
      </c>
      <c r="BA37" s="1423" t="str">
        <f>IF(OR('Recycling - Case 3'!AC107="No",'Recycling - Case 3'!T147="No"), "No", "Yes")</f>
        <v>No</v>
      </c>
      <c r="BB37" s="1101">
        <f t="shared" si="97"/>
        <v>12756.094701748469</v>
      </c>
      <c r="BC37" s="1102">
        <f t="shared" si="98"/>
        <v>793.47094579753752</v>
      </c>
      <c r="BD37" s="1102">
        <f t="shared" si="99"/>
        <v>167.96537924386851</v>
      </c>
      <c r="BE37" s="1102">
        <f t="shared" si="100"/>
        <v>5042.3377739369917</v>
      </c>
      <c r="BF37" s="1142">
        <f t="shared" si="47"/>
        <v>18759.868800726865</v>
      </c>
      <c r="BG37" s="1423" t="str">
        <f>IF(OR('Recycling - Case 3'!AC107="No",'Recycling - Case 3'!T187="No"), "No", "Yes")</f>
        <v>No</v>
      </c>
      <c r="BH37" s="596">
        <f t="shared" si="48"/>
        <v>2027</v>
      </c>
      <c r="BI37" s="1102">
        <f>'Recycling - Case 1'!BV107</f>
        <v>89.625954753807719</v>
      </c>
      <c r="BJ37" s="417">
        <f>'Recycling - Case 1'!BW107</f>
        <v>0.46775693552690084</v>
      </c>
      <c r="BK37" s="1142">
        <f>'Recycling - Case 1'!BX107</f>
        <v>48.564316261510797</v>
      </c>
      <c r="BL37" s="1101">
        <f>'Recycling - Case 1'!BY107</f>
        <v>89.625954753807719</v>
      </c>
      <c r="BM37" s="417">
        <f>'Recycling - Case 1'!BZ107</f>
        <v>0.46775693552690084</v>
      </c>
      <c r="BN37" s="1142">
        <f>'Recycling - Case 1'!CA107</f>
        <v>48.564316261510797</v>
      </c>
      <c r="BO37" s="1102">
        <f>'Recycling - Case 2'!BV107</f>
        <v>87.410390776653131</v>
      </c>
      <c r="BP37" s="417">
        <f>'Recycling - Case 2'!BW107</f>
        <v>0.57863034728373319</v>
      </c>
      <c r="BQ37" s="1142">
        <f>'Recycling - Case 2'!BX107</f>
        <v>48.564316261510797</v>
      </c>
      <c r="BR37" s="1101">
        <f>'Recycling - Case 2'!BY107</f>
        <v>87.410390776653131</v>
      </c>
      <c r="BS37" s="417">
        <f>'Recycling - Case 2'!BZ107</f>
        <v>0.57863034728373319</v>
      </c>
      <c r="BT37" s="1142">
        <f>'Recycling - Case 2'!CA107</f>
        <v>48.564316261510797</v>
      </c>
      <c r="BU37" s="1102">
        <f>'Recycling - Case 3'!BV107</f>
        <v>87.410390776653131</v>
      </c>
      <c r="BV37" s="417">
        <f>'Recycling - Case 3'!BW107</f>
        <v>0.57863034728373319</v>
      </c>
      <c r="BW37" s="1142">
        <f>'Recycling - Case 3'!BX107</f>
        <v>48.564316261510797</v>
      </c>
      <c r="BX37" s="1101">
        <f>'Recycling - Case 3'!BY107</f>
        <v>87.410390776653131</v>
      </c>
      <c r="BY37" s="417">
        <f>'Recycling - Case 3'!BZ107</f>
        <v>0.57863034728373319</v>
      </c>
      <c r="BZ37" s="1142">
        <f>'Recycling - Case 3'!CA107</f>
        <v>48.564316261510797</v>
      </c>
      <c r="CA37" s="596">
        <v>2027</v>
      </c>
      <c r="CB37" s="649">
        <f>'Recycling - Case 1'!CB107</f>
        <v>0.16687750887158292</v>
      </c>
      <c r="CC37" s="417">
        <f>'Recycling - Case 1'!CC107</f>
        <v>0.25549953203324571</v>
      </c>
      <c r="CD37" s="417">
        <f>'Recycling - Case 1'!CD107</f>
        <v>0.16687750887158292</v>
      </c>
      <c r="CE37" s="525">
        <f>'Recycling - Case 1'!CE107</f>
        <v>0.25549953203324571</v>
      </c>
      <c r="CF37" s="649">
        <f>'Recycling - Case 2'!CB107</f>
        <v>0.24823041972031623</v>
      </c>
      <c r="CG37" s="417">
        <f>'Recycling - Case 2'!CC107</f>
        <v>0.25549953203324571</v>
      </c>
      <c r="CH37" s="417">
        <f>'Recycling - Case 2'!CD107</f>
        <v>0.24823041972031623</v>
      </c>
      <c r="CI37" s="525">
        <f>'Recycling - Case 2'!CE107</f>
        <v>0.25549953203324571</v>
      </c>
      <c r="CJ37" s="649">
        <f>'Recycling - Case 3'!CB107</f>
        <v>0.24823041972031623</v>
      </c>
      <c r="CK37" s="417">
        <f>'Recycling - Case 3'!CC107</f>
        <v>0.25549953203324571</v>
      </c>
      <c r="CL37" s="417">
        <f>'Recycling - Case 3'!CD107</f>
        <v>0.24823041972031623</v>
      </c>
      <c r="CM37" s="525">
        <f>'Recycling - Case 3'!CE107</f>
        <v>0.25549953203324571</v>
      </c>
    </row>
    <row r="38" spans="1:91">
      <c r="A38" s="4">
        <f>'Input data'!A127</f>
        <v>2027</v>
      </c>
      <c r="B38" s="4"/>
      <c r="C38" s="769">
        <f>'4A SWD Case 1'!BG97</f>
        <v>629.90262875630776</v>
      </c>
      <c r="D38" s="3">
        <f>'4B Biological treatment '!T91</f>
        <v>0.72463100072834497</v>
      </c>
      <c r="E38" s="1157">
        <f>'4B Biological treatment '!U91</f>
        <v>32.608395032775519</v>
      </c>
      <c r="F38" s="1157">
        <f>'4B Biological treatment '!W91</f>
        <v>1.956503701966531</v>
      </c>
      <c r="G38" s="952">
        <f>'4C2 Open-burning '!R98</f>
        <v>26.054290205817569</v>
      </c>
      <c r="H38" s="952">
        <f>'4C2 Open-burning '!Z98</f>
        <v>8.7664709924555861</v>
      </c>
      <c r="I38" s="952">
        <f>'4C2 Open-burning '!AH98</f>
        <v>0.12204407237251766</v>
      </c>
      <c r="J38" s="987">
        <f>'4D Wastewater treatment and dis'!AV135</f>
        <v>166.04300689775917</v>
      </c>
      <c r="K38" s="770">
        <f>'4D Wastewater treatment and dis'!AW135</f>
        <v>3.2366122379757729</v>
      </c>
      <c r="L38" s="771">
        <f t="shared" si="69"/>
        <v>13227.955203882462</v>
      </c>
      <c r="M38" s="772">
        <f t="shared" si="70"/>
        <v>15.217251015295243</v>
      </c>
      <c r="N38" s="771">
        <f t="shared" si="71"/>
        <v>1291.2924432979105</v>
      </c>
      <c r="O38" s="773">
        <f t="shared" si="72"/>
        <v>247.98384348286535</v>
      </c>
      <c r="P38" s="771">
        <f t="shared" si="73"/>
        <v>4490.2529386254319</v>
      </c>
      <c r="Q38" s="519">
        <f t="shared" si="74"/>
        <v>13227.955203882462</v>
      </c>
      <c r="R38" s="521">
        <f t="shared" si="75"/>
        <v>1306.5096943132057</v>
      </c>
      <c r="S38" s="518">
        <f t="shared" si="76"/>
        <v>247.98384348286535</v>
      </c>
      <c r="T38" s="519">
        <f t="shared" si="77"/>
        <v>4490.2529386254319</v>
      </c>
      <c r="U38" s="519">
        <f t="shared" si="78"/>
        <v>19272.701680303966</v>
      </c>
      <c r="V38" s="3"/>
      <c r="W38" s="596">
        <f t="shared" si="79"/>
        <v>2028</v>
      </c>
      <c r="X38" s="1101">
        <f t="shared" si="80"/>
        <v>12784.470985008304</v>
      </c>
      <c r="Y38" s="1102">
        <f t="shared" si="81"/>
        <v>1310.3365970855189</v>
      </c>
      <c r="Z38" s="1102">
        <f t="shared" si="82"/>
        <v>234.39254784689018</v>
      </c>
      <c r="AA38" s="1102">
        <f t="shared" si="83"/>
        <v>4570.3856022041573</v>
      </c>
      <c r="AB38" s="1142">
        <f t="shared" si="22"/>
        <v>18899.585732144871</v>
      </c>
      <c r="AC38" s="1423" t="str">
        <f>IF(OR('Recycling - Case 1'!AC108="No",'Recycling - Case 1'!T148="No"), "No", "Yes")</f>
        <v>No</v>
      </c>
      <c r="AD38" s="1101">
        <f t="shared" si="84"/>
        <v>12784.470985008304</v>
      </c>
      <c r="AE38" s="1102">
        <f t="shared" si="85"/>
        <v>1310.3365970855189</v>
      </c>
      <c r="AF38" s="1102">
        <f t="shared" si="86"/>
        <v>234.39254784689018</v>
      </c>
      <c r="AG38" s="1102">
        <f t="shared" si="87"/>
        <v>4570.3856022041573</v>
      </c>
      <c r="AH38" s="1142">
        <f t="shared" si="60"/>
        <v>18899.585732144871</v>
      </c>
      <c r="AI38" s="1423" t="str">
        <f>IF(OR('Recycling - Case 1'!AI19="No",'Recycling - Case 1'!Z148="No"), "No", "Yes")</f>
        <v>Yes</v>
      </c>
      <c r="AJ38" s="1101">
        <f t="shared" si="88"/>
        <v>12278.094163634238</v>
      </c>
      <c r="AK38" s="1102">
        <f t="shared" si="89"/>
        <v>1310.3365970855189</v>
      </c>
      <c r="AL38" s="1102">
        <f t="shared" si="90"/>
        <v>155.13197458331362</v>
      </c>
      <c r="AM38" s="1102">
        <f t="shared" si="91"/>
        <v>5183.6157695143229</v>
      </c>
      <c r="AN38" s="1142">
        <f t="shared" si="92"/>
        <v>18927.178504817392</v>
      </c>
      <c r="AO38" s="1416" t="str">
        <f>IF(OR('Recycling - Case 2'!AC108="No",'Recycling - Case 2'!T148="No"), "No", "Yes")</f>
        <v>No</v>
      </c>
      <c r="AP38" s="1101">
        <f t="shared" si="93"/>
        <v>12278.094163634238</v>
      </c>
      <c r="AQ38" s="1102">
        <f t="shared" si="94"/>
        <v>1310.3365970855189</v>
      </c>
      <c r="AR38" s="1102">
        <f t="shared" si="95"/>
        <v>155.13197458331362</v>
      </c>
      <c r="AS38" s="1102">
        <f t="shared" si="96"/>
        <v>5183.6157695143229</v>
      </c>
      <c r="AT38" s="1142">
        <f t="shared" si="37"/>
        <v>18927.178504817392</v>
      </c>
      <c r="AU38" s="1423" t="str">
        <f>IF(OR('Recycling - Case 2'!AC108="No",'Recycling - Case 2'!T188="No"), "No", "Yes")</f>
        <v>No</v>
      </c>
      <c r="AV38" s="1101">
        <f t="shared" si="63"/>
        <v>12278.47643631915</v>
      </c>
      <c r="AW38" s="1102">
        <f t="shared" si="64"/>
        <v>795.79510471915876</v>
      </c>
      <c r="AX38" s="1102">
        <f t="shared" si="65"/>
        <v>155.13197458331362</v>
      </c>
      <c r="AY38" s="1102">
        <f t="shared" si="66"/>
        <v>5183.6157695143229</v>
      </c>
      <c r="AZ38" s="1142">
        <f t="shared" si="67"/>
        <v>18413.019285135946</v>
      </c>
      <c r="BA38" s="1423" t="str">
        <f>IF(OR('Recycling - Case 3'!AC108="No",'Recycling - Case 3'!T148="No"), "No", "Yes")</f>
        <v>No</v>
      </c>
      <c r="BB38" s="1101">
        <f t="shared" si="97"/>
        <v>12278.47643631915</v>
      </c>
      <c r="BC38" s="1102">
        <f t="shared" si="98"/>
        <v>795.79510471915876</v>
      </c>
      <c r="BD38" s="1102">
        <f t="shared" si="99"/>
        <v>155.13197458331362</v>
      </c>
      <c r="BE38" s="1102">
        <f t="shared" si="100"/>
        <v>5183.6157695143229</v>
      </c>
      <c r="BF38" s="1142">
        <f t="shared" si="47"/>
        <v>18413.019285135946</v>
      </c>
      <c r="BG38" s="1423" t="str">
        <f>IF(OR('Recycling - Case 3'!AC108="No",'Recycling - Case 3'!T188="No"), "No", "Yes")</f>
        <v>No</v>
      </c>
      <c r="BH38" s="596">
        <f t="shared" si="48"/>
        <v>2028</v>
      </c>
      <c r="BI38" s="1102">
        <f>'Recycling - Case 1'!BV108</f>
        <v>89.118520234574603</v>
      </c>
      <c r="BJ38" s="417">
        <f>'Recycling - Case 1'!BW108</f>
        <v>0.4798551153599423</v>
      </c>
      <c r="BK38" s="1142">
        <f>'Recycling - Case 1'!BX108</f>
        <v>48.196370991930714</v>
      </c>
      <c r="BL38" s="1101">
        <f>'Recycling - Case 1'!BY108</f>
        <v>89.118520234574603</v>
      </c>
      <c r="BM38" s="417">
        <f>'Recycling - Case 1'!BZ108</f>
        <v>0.4798551153599423</v>
      </c>
      <c r="BN38" s="1142">
        <f>'Recycling - Case 1'!CA108</f>
        <v>48.196370991930714</v>
      </c>
      <c r="BO38" s="1102">
        <f>'Recycling - Case 2'!BV108</f>
        <v>87.042134181946935</v>
      </c>
      <c r="BP38" s="417">
        <f>'Recycling - Case 2'!BW108</f>
        <v>0.59797082493887088</v>
      </c>
      <c r="BQ38" s="1142">
        <f>'Recycling - Case 2'!BX108</f>
        <v>48.196370991930714</v>
      </c>
      <c r="BR38" s="1101">
        <f>'Recycling - Case 2'!BY108</f>
        <v>87.042134181946935</v>
      </c>
      <c r="BS38" s="417">
        <f>'Recycling - Case 2'!BZ108</f>
        <v>0.59797082493887088</v>
      </c>
      <c r="BT38" s="1142">
        <f>'Recycling - Case 2'!CA108</f>
        <v>48.196370991930714</v>
      </c>
      <c r="BU38" s="1102">
        <f>'Recycling - Case 3'!BV108</f>
        <v>87.042134181946935</v>
      </c>
      <c r="BV38" s="417">
        <f>'Recycling - Case 3'!BW108</f>
        <v>0.59797082493887088</v>
      </c>
      <c r="BW38" s="1142">
        <f>'Recycling - Case 3'!BX108</f>
        <v>48.196370991930714</v>
      </c>
      <c r="BX38" s="1101">
        <f>'Recycling - Case 3'!BY108</f>
        <v>87.042134181946935</v>
      </c>
      <c r="BY38" s="417">
        <f>'Recycling - Case 3'!BZ108</f>
        <v>0.59797082493887088</v>
      </c>
      <c r="BZ38" s="1142">
        <f>'Recycling - Case 3'!CA108</f>
        <v>48.196370991930714</v>
      </c>
      <c r="CA38" s="596">
        <v>2028</v>
      </c>
      <c r="CB38" s="649">
        <f>'Recycling - Case 1'!CB108</f>
        <v>0.18911450124282059</v>
      </c>
      <c r="CC38" s="417">
        <f>'Recycling - Case 1'!CC108</f>
        <v>0.25861615901728952</v>
      </c>
      <c r="CD38" s="417">
        <f>'Recycling - Case 1'!CD108</f>
        <v>0.18911450124282059</v>
      </c>
      <c r="CE38" s="525">
        <f>'Recycling - Case 1'!CE108</f>
        <v>0.25861615901728952</v>
      </c>
      <c r="CF38" s="649">
        <f>'Recycling - Case 2'!CB108</f>
        <v>0.2646188378775074</v>
      </c>
      <c r="CG38" s="417">
        <f>'Recycling - Case 2'!CC108</f>
        <v>0.25861615901728963</v>
      </c>
      <c r="CH38" s="417">
        <f>'Recycling - Case 2'!CD108</f>
        <v>0.2646188378775074</v>
      </c>
      <c r="CI38" s="525">
        <f>'Recycling - Case 2'!CE108</f>
        <v>0.25861615901728963</v>
      </c>
      <c r="CJ38" s="649">
        <f>'Recycling - Case 3'!CB108</f>
        <v>0.2646188378775074</v>
      </c>
      <c r="CK38" s="417">
        <f>'Recycling - Case 3'!CC108</f>
        <v>0.25861615901728963</v>
      </c>
      <c r="CL38" s="417">
        <f>'Recycling - Case 3'!CD108</f>
        <v>0.2646188378775074</v>
      </c>
      <c r="CM38" s="525">
        <f>'Recycling - Case 3'!CE108</f>
        <v>0.25861615901728963</v>
      </c>
    </row>
    <row r="39" spans="1:91">
      <c r="A39" s="4">
        <f>'Input data'!A128</f>
        <v>2028</v>
      </c>
      <c r="B39" s="4"/>
      <c r="C39" s="769">
        <f>'4A SWD Case 1'!BG98</f>
        <v>608.78433261944303</v>
      </c>
      <c r="D39" s="3">
        <f>'4B Biological treatment '!T92</f>
        <v>0.72675352029146922</v>
      </c>
      <c r="E39" s="1157">
        <f>'4B Biological treatment '!U92</f>
        <v>32.70390841311611</v>
      </c>
      <c r="F39" s="1157">
        <f>'4B Biological treatment '!W92</f>
        <v>1.9622345047869667</v>
      </c>
      <c r="G39" s="952">
        <f>'4C2 Open-burning '!R99</f>
        <v>24.626327981346179</v>
      </c>
      <c r="H39" s="952">
        <f>'4C2 Open-burning '!Z99</f>
        <v>8.2860054215164975</v>
      </c>
      <c r="I39" s="952">
        <f>'4C2 Open-burning '!AH99</f>
        <v>0.115355180689347</v>
      </c>
      <c r="J39" s="987">
        <f>'4D Wastewater treatment and dis'!AV136</f>
        <v>169.39176881605974</v>
      </c>
      <c r="K39" s="770">
        <f>'4D Wastewater treatment and dis'!AW136</f>
        <v>3.2682530873125892</v>
      </c>
      <c r="L39" s="771">
        <f t="shared" si="69"/>
        <v>12784.470985008304</v>
      </c>
      <c r="M39" s="772">
        <f t="shared" si="70"/>
        <v>15.261823926120854</v>
      </c>
      <c r="N39" s="771">
        <f t="shared" si="71"/>
        <v>1295.0747731593981</v>
      </c>
      <c r="O39" s="773">
        <f t="shared" si="72"/>
        <v>234.39254784689018</v>
      </c>
      <c r="P39" s="771">
        <f t="shared" si="73"/>
        <v>4570.3856022041573</v>
      </c>
      <c r="Q39" s="519">
        <f t="shared" si="74"/>
        <v>12784.470985008304</v>
      </c>
      <c r="R39" s="521">
        <f t="shared" si="75"/>
        <v>1310.3365970855189</v>
      </c>
      <c r="S39" s="518">
        <f t="shared" si="76"/>
        <v>234.39254784689018</v>
      </c>
      <c r="T39" s="519">
        <f t="shared" si="77"/>
        <v>4570.3856022041573</v>
      </c>
      <c r="U39" s="519">
        <f t="shared" si="78"/>
        <v>18899.585732144871</v>
      </c>
      <c r="V39" s="3"/>
      <c r="W39" s="596">
        <f t="shared" si="79"/>
        <v>2029</v>
      </c>
      <c r="X39" s="1101">
        <f t="shared" si="80"/>
        <v>12355.565213112624</v>
      </c>
      <c r="Y39" s="1102">
        <f t="shared" si="81"/>
        <v>1314.4591045707423</v>
      </c>
      <c r="Z39" s="1102">
        <f t="shared" si="82"/>
        <v>221.57241000046861</v>
      </c>
      <c r="AA39" s="1102">
        <f t="shared" si="83"/>
        <v>4650.4470236682446</v>
      </c>
      <c r="AB39" s="1142">
        <f t="shared" si="22"/>
        <v>18542.043751352081</v>
      </c>
      <c r="AC39" s="1423" t="str">
        <f>IF(OR('Recycling - Case 1'!AC109="No",'Recycling - Case 1'!T149="No"), "No", "Yes")</f>
        <v>No</v>
      </c>
      <c r="AD39" s="1101">
        <f t="shared" si="84"/>
        <v>12355.565213112624</v>
      </c>
      <c r="AE39" s="1102">
        <f t="shared" si="85"/>
        <v>1314.4591045707423</v>
      </c>
      <c r="AF39" s="1102">
        <f t="shared" si="86"/>
        <v>221.57241000046861</v>
      </c>
      <c r="AG39" s="1102">
        <f t="shared" si="87"/>
        <v>4650.4470236682446</v>
      </c>
      <c r="AH39" s="1142">
        <f t="shared" si="60"/>
        <v>18542.043751352081</v>
      </c>
      <c r="AI39" s="1423" t="str">
        <f>IF(OR('Recycling - Case 1'!AI20="No",'Recycling - Case 1'!Z149="No"), "No", "Yes")</f>
        <v>Yes</v>
      </c>
      <c r="AJ39" s="1101">
        <f t="shared" si="88"/>
        <v>11816.137253486339</v>
      </c>
      <c r="AK39" s="1102">
        <f t="shared" si="89"/>
        <v>1314.4591045707423</v>
      </c>
      <c r="AL39" s="1102">
        <f t="shared" si="90"/>
        <v>142.05263607984509</v>
      </c>
      <c r="AM39" s="1102">
        <f t="shared" si="91"/>
        <v>5325.7897130457868</v>
      </c>
      <c r="AN39" s="1142">
        <f t="shared" si="92"/>
        <v>18598.438707182711</v>
      </c>
      <c r="AO39" s="1416" t="str">
        <f>IF(OR('Recycling - Case 2'!AC109="No",'Recycling - Case 2'!T149="No"), "No", "Yes")</f>
        <v>No</v>
      </c>
      <c r="AP39" s="1101">
        <f t="shared" si="93"/>
        <v>11816.137253486339</v>
      </c>
      <c r="AQ39" s="1102">
        <f t="shared" si="94"/>
        <v>1314.4591045707423</v>
      </c>
      <c r="AR39" s="1102">
        <f t="shared" si="95"/>
        <v>142.05263607984509</v>
      </c>
      <c r="AS39" s="1102">
        <f t="shared" si="96"/>
        <v>5325.7897130457868</v>
      </c>
      <c r="AT39" s="1142">
        <f t="shared" si="37"/>
        <v>18598.438707182711</v>
      </c>
      <c r="AU39" s="1423" t="str">
        <f>IF(OR('Recycling - Case 2'!AC109="No",'Recycling - Case 2'!T189="No"), "No", "Yes")</f>
        <v>No</v>
      </c>
      <c r="AV39" s="1101">
        <f t="shared" si="63"/>
        <v>11816.591358051961</v>
      </c>
      <c r="AW39" s="1102">
        <f t="shared" si="64"/>
        <v>798.29879062948589</v>
      </c>
      <c r="AX39" s="1102">
        <f t="shared" si="65"/>
        <v>142.05263607984506</v>
      </c>
      <c r="AY39" s="1102">
        <f t="shared" si="66"/>
        <v>5325.7897130457868</v>
      </c>
      <c r="AZ39" s="1142">
        <f t="shared" si="67"/>
        <v>18082.732497807079</v>
      </c>
      <c r="BA39" s="1423" t="str">
        <f>IF(OR('Recycling - Case 3'!AC109="No",'Recycling - Case 3'!T149="No"), "No", "Yes")</f>
        <v>No</v>
      </c>
      <c r="BB39" s="1101">
        <f t="shared" si="97"/>
        <v>11816.591358051961</v>
      </c>
      <c r="BC39" s="1102">
        <f t="shared" si="98"/>
        <v>798.29879062948589</v>
      </c>
      <c r="BD39" s="1102">
        <f t="shared" si="99"/>
        <v>142.05263607984506</v>
      </c>
      <c r="BE39" s="1102">
        <f t="shared" si="100"/>
        <v>5325.7897130457868</v>
      </c>
      <c r="BF39" s="1142">
        <f t="shared" si="47"/>
        <v>18082.732497807079</v>
      </c>
      <c r="BG39" s="1423" t="str">
        <f>IF(OR('Recycling - Case 3'!AC109="No",'Recycling - Case 3'!T189="No"), "No", "Yes")</f>
        <v>No</v>
      </c>
      <c r="BH39" s="596">
        <f t="shared" si="48"/>
        <v>2029</v>
      </c>
      <c r="BI39" s="1102">
        <f>'Recycling - Case 1'!BV109</f>
        <v>87.330222143140816</v>
      </c>
      <c r="BJ39" s="417">
        <f>'Recycling - Case 1'!BW109</f>
        <v>0.49745735428899246</v>
      </c>
      <c r="BK39" s="1142">
        <f>'Recycling - Case 1'!BX109</f>
        <v>46.50488094573749</v>
      </c>
      <c r="BL39" s="1101">
        <f>'Recycling - Case 1'!BY109</f>
        <v>87.330222143140816</v>
      </c>
      <c r="BM39" s="417">
        <f>'Recycling - Case 1'!BZ109</f>
        <v>0.49745735428899246</v>
      </c>
      <c r="BN39" s="1142">
        <f>'Recycling - Case 1'!CA109</f>
        <v>46.50488094573749</v>
      </c>
      <c r="BO39" s="1102">
        <f>'Recycling - Case 2'!BV109</f>
        <v>85.368178153064562</v>
      </c>
      <c r="BP39" s="417">
        <f>'Recycling - Case 2'!BW109</f>
        <v>0.62110656247266083</v>
      </c>
      <c r="BQ39" s="1142">
        <f>'Recycling - Case 2'!BX109</f>
        <v>46.50488094573749</v>
      </c>
      <c r="BR39" s="1101">
        <f>'Recycling - Case 2'!BY109</f>
        <v>85.368178153064562</v>
      </c>
      <c r="BS39" s="417">
        <f>'Recycling - Case 2'!BZ109</f>
        <v>0.62110656247266083</v>
      </c>
      <c r="BT39" s="1142">
        <f>'Recycling - Case 2'!CA109</f>
        <v>46.50488094573749</v>
      </c>
      <c r="BU39" s="1102">
        <f>'Recycling - Case 3'!BV109</f>
        <v>85.368178153064562</v>
      </c>
      <c r="BV39" s="417">
        <f>'Recycling - Case 3'!BW109</f>
        <v>0.62110656247266083</v>
      </c>
      <c r="BW39" s="1142">
        <f>'Recycling - Case 3'!BX109</f>
        <v>46.50488094573749</v>
      </c>
      <c r="BX39" s="1101">
        <f>'Recycling - Case 3'!BY109</f>
        <v>85.368178153064562</v>
      </c>
      <c r="BY39" s="417">
        <f>'Recycling - Case 3'!BZ109</f>
        <v>0.62110656247266083</v>
      </c>
      <c r="BZ39" s="1142">
        <f>'Recycling - Case 3'!CA109</f>
        <v>46.50488094573749</v>
      </c>
      <c r="CA39" s="596">
        <v>2029</v>
      </c>
      <c r="CB39" s="649">
        <f>'Recycling - Case 1'!CB109</f>
        <v>0.20995273295223627</v>
      </c>
      <c r="CC39" s="417">
        <f>'Recycling - Case 1'!CC109</f>
        <v>0.26576566386252065</v>
      </c>
      <c r="CD39" s="417">
        <f>'Recycling - Case 1'!CD109</f>
        <v>0.20995273295223627</v>
      </c>
      <c r="CE39" s="525">
        <f>'Recycling - Case 1'!CE109</f>
        <v>0.26576566386252065</v>
      </c>
      <c r="CF39" s="649">
        <f>'Recycling - Case 2'!CB109</f>
        <v>0.28062685187122149</v>
      </c>
      <c r="CG39" s="417">
        <f>'Recycling - Case 2'!CC109</f>
        <v>0.26576566386252065</v>
      </c>
      <c r="CH39" s="417">
        <f>'Recycling - Case 2'!CD109</f>
        <v>0.28062685187122149</v>
      </c>
      <c r="CI39" s="525">
        <f>'Recycling - Case 2'!CE109</f>
        <v>0.26576566386252065</v>
      </c>
      <c r="CJ39" s="649">
        <f>'Recycling - Case 3'!CB109</f>
        <v>0.28062685187122149</v>
      </c>
      <c r="CK39" s="417">
        <f>'Recycling - Case 3'!CC109</f>
        <v>0.26576566386252065</v>
      </c>
      <c r="CL39" s="417">
        <f>'Recycling - Case 3'!CD109</f>
        <v>0.28062685187122149</v>
      </c>
      <c r="CM39" s="525">
        <f>'Recycling - Case 3'!CE109</f>
        <v>0.26576566386252065</v>
      </c>
    </row>
    <row r="40" spans="1:91">
      <c r="A40" s="4">
        <f>'Input data'!A129</f>
        <v>2029</v>
      </c>
      <c r="B40" s="4"/>
      <c r="C40" s="769">
        <f>'4A SWD Case 1'!BG99</f>
        <v>588.36024824345827</v>
      </c>
      <c r="D40" s="3">
        <f>'4B Biological treatment '!T93</f>
        <v>0.72903999144245279</v>
      </c>
      <c r="E40" s="1157">
        <f>'4B Biological treatment '!U93</f>
        <v>32.806799614910375</v>
      </c>
      <c r="F40" s="1157">
        <f>'4B Biological treatment '!W93</f>
        <v>1.9684079768946225</v>
      </c>
      <c r="G40" s="952">
        <f>'4C2 Open-burning '!R100</f>
        <v>23.279387038589427</v>
      </c>
      <c r="H40" s="952">
        <f>'4C2 Open-burning '!Z100</f>
        <v>7.8328010313776613</v>
      </c>
      <c r="I40" s="952">
        <f>'4C2 Open-burning '!AH100</f>
        <v>0.109045810654672</v>
      </c>
      <c r="J40" s="987">
        <f>'4D Wastewater treatment and dis'!AV137</f>
        <v>172.74523259876619</v>
      </c>
      <c r="K40" s="770">
        <f>'4D Wastewater treatment and dis'!AW137</f>
        <v>3.2993456099811418</v>
      </c>
      <c r="L40" s="771">
        <f t="shared" si="69"/>
        <v>12355.565213112624</v>
      </c>
      <c r="M40" s="772">
        <f t="shared" si="70"/>
        <v>15.309839820291508</v>
      </c>
      <c r="N40" s="771">
        <f t="shared" si="71"/>
        <v>1299.1492647504508</v>
      </c>
      <c r="O40" s="773">
        <f t="shared" si="72"/>
        <v>221.57241000046861</v>
      </c>
      <c r="P40" s="771">
        <f t="shared" si="73"/>
        <v>4650.4470236682446</v>
      </c>
      <c r="Q40" s="519">
        <f t="shared" si="74"/>
        <v>12355.565213112624</v>
      </c>
      <c r="R40" s="521">
        <f t="shared" si="75"/>
        <v>1314.4591045707423</v>
      </c>
      <c r="S40" s="518">
        <f t="shared" si="76"/>
        <v>221.57241000046861</v>
      </c>
      <c r="T40" s="519">
        <f t="shared" si="77"/>
        <v>4650.4470236682446</v>
      </c>
      <c r="U40" s="519">
        <f t="shared" si="78"/>
        <v>18542.043751352081</v>
      </c>
      <c r="V40" s="3"/>
      <c r="W40" s="596">
        <f t="shared" si="79"/>
        <v>2030</v>
      </c>
      <c r="X40" s="1101">
        <f t="shared" si="80"/>
        <v>11940.757099467888</v>
      </c>
      <c r="Y40" s="1102">
        <f t="shared" si="81"/>
        <v>1319.4291027065085</v>
      </c>
      <c r="Z40" s="1102">
        <f t="shared" si="82"/>
        <v>209.47755678987514</v>
      </c>
      <c r="AA40" s="1102">
        <f t="shared" si="83"/>
        <v>4730.388167754305</v>
      </c>
      <c r="AB40" s="1142">
        <f t="shared" si="22"/>
        <v>18200.051926718577</v>
      </c>
      <c r="AC40" s="1423" t="str">
        <f>IF(OR('Recycling - Case 1'!AC110="No",'Recycling - Case 1'!T150="No"), "No", "Yes")</f>
        <v>No</v>
      </c>
      <c r="AD40" s="1101">
        <f t="shared" si="84"/>
        <v>11940.757099467888</v>
      </c>
      <c r="AE40" s="1102">
        <f t="shared" si="85"/>
        <v>1319.4291027065085</v>
      </c>
      <c r="AF40" s="1102">
        <f t="shared" si="86"/>
        <v>209.47755678987514</v>
      </c>
      <c r="AG40" s="1102">
        <f t="shared" si="87"/>
        <v>4730.388167754305</v>
      </c>
      <c r="AH40" s="1142">
        <f t="shared" si="60"/>
        <v>18200.051926718577</v>
      </c>
      <c r="AI40" s="1423" t="str">
        <f>IF(OR('Recycling - Case 1'!AI21="No",'Recycling - Case 1'!Z150="No"), "No", "Yes")</f>
        <v>Yes</v>
      </c>
      <c r="AJ40" s="1101">
        <f t="shared" si="88"/>
        <v>11368.536891380179</v>
      </c>
      <c r="AK40" s="1102">
        <f t="shared" si="89"/>
        <v>1319.4291027065085</v>
      </c>
      <c r="AL40" s="1102">
        <f t="shared" si="90"/>
        <v>128.71416320847482</v>
      </c>
      <c r="AM40" s="1102">
        <f t="shared" si="91"/>
        <v>5468.7777028185865</v>
      </c>
      <c r="AN40" s="1142">
        <f t="shared" si="92"/>
        <v>18285.457860113747</v>
      </c>
      <c r="AO40" s="1416" t="str">
        <f>IF(OR('Recycling - Case 2'!AC110="No",'Recycling - Case 2'!T150="No"), "No", "Yes")</f>
        <v>No</v>
      </c>
      <c r="AP40" s="1101">
        <f t="shared" si="93"/>
        <v>11368.536891380179</v>
      </c>
      <c r="AQ40" s="1102">
        <f t="shared" si="94"/>
        <v>1319.4291027065085</v>
      </c>
      <c r="AR40" s="1102">
        <f t="shared" si="95"/>
        <v>128.71416320847482</v>
      </c>
      <c r="AS40" s="1102">
        <f t="shared" si="96"/>
        <v>5468.7777028185865</v>
      </c>
      <c r="AT40" s="1142">
        <f t="shared" si="37"/>
        <v>18285.457860113747</v>
      </c>
      <c r="AU40" s="1423" t="str">
        <f>IF(OR('Recycling - Case 2'!AC110="No",'Recycling - Case 2'!T190="No"), "No", "Yes")</f>
        <v>No</v>
      </c>
      <c r="AV40" s="1101">
        <f t="shared" si="63"/>
        <v>11369.068175175595</v>
      </c>
      <c r="AW40" s="1102">
        <f t="shared" si="64"/>
        <v>801.3171755205916</v>
      </c>
      <c r="AX40" s="1102">
        <f t="shared" si="65"/>
        <v>128.71416320847479</v>
      </c>
      <c r="AY40" s="1102">
        <f t="shared" si="66"/>
        <v>5468.7777028185865</v>
      </c>
      <c r="AZ40" s="1142">
        <f t="shared" si="67"/>
        <v>17767.877216723246</v>
      </c>
      <c r="BA40" s="1423" t="str">
        <f>IF(OR('Recycling - Case 3'!AC110="No",'Recycling - Case 3'!T150="No"), "No", "Yes")</f>
        <v>No</v>
      </c>
      <c r="BB40" s="1101">
        <f t="shared" si="97"/>
        <v>11369.068175175595</v>
      </c>
      <c r="BC40" s="1102">
        <f t="shared" si="98"/>
        <v>801.3171755205916</v>
      </c>
      <c r="BD40" s="1102">
        <f t="shared" si="99"/>
        <v>128.71416320847479</v>
      </c>
      <c r="BE40" s="1102">
        <f t="shared" si="100"/>
        <v>5468.7777028185865</v>
      </c>
      <c r="BF40" s="1142">
        <f t="shared" si="47"/>
        <v>17767.877216723246</v>
      </c>
      <c r="BG40" s="1423" t="str">
        <f>IF(OR('Recycling - Case 3'!AC110="No",'Recycling - Case 3'!T190="No"), "No", "Yes")</f>
        <v>No</v>
      </c>
      <c r="BH40" s="596">
        <f t="shared" si="48"/>
        <v>2030</v>
      </c>
      <c r="BI40" s="1102">
        <f>'Recycling - Case 1'!BV110</f>
        <v>85.433574984839993</v>
      </c>
      <c r="BJ40" s="417">
        <f>'Recycling - Case 1'!BW110</f>
        <v>0.51688618037949141</v>
      </c>
      <c r="BK40" s="1142">
        <f>'Recycling - Case 1'!BX110</f>
        <v>44.627656242225981</v>
      </c>
      <c r="BL40" s="1101">
        <f>'Recycling - Case 1'!BY110</f>
        <v>85.433574984839993</v>
      </c>
      <c r="BM40" s="417">
        <f>'Recycling - Case 1'!BZ110</f>
        <v>0.51688618037949141</v>
      </c>
      <c r="BN40" s="1142">
        <f>'Recycling - Case 1'!CA110</f>
        <v>44.627656242225981</v>
      </c>
      <c r="BO40" s="1102">
        <f>'Recycling - Case 2'!BV110</f>
        <v>83.562180282260599</v>
      </c>
      <c r="BP40" s="417">
        <f>'Recycling - Case 2'!BW110</f>
        <v>0.64488669598602022</v>
      </c>
      <c r="BQ40" s="1142">
        <f>'Recycling - Case 2'!BX110</f>
        <v>44.627656242225981</v>
      </c>
      <c r="BR40" s="1101">
        <f>'Recycling - Case 2'!BY110</f>
        <v>83.562180282260599</v>
      </c>
      <c r="BS40" s="417">
        <f>'Recycling - Case 2'!BZ110</f>
        <v>0.64488669598602022</v>
      </c>
      <c r="BT40" s="1142">
        <f>'Recycling - Case 2'!CA110</f>
        <v>44.627656242225981</v>
      </c>
      <c r="BU40" s="1102">
        <f>'Recycling - Case 3'!BV110</f>
        <v>83.562180282260599</v>
      </c>
      <c r="BV40" s="417">
        <f>'Recycling - Case 3'!BW110</f>
        <v>0.64488669598602022</v>
      </c>
      <c r="BW40" s="1142">
        <f>'Recycling - Case 3'!BX110</f>
        <v>44.627656242225981</v>
      </c>
      <c r="BX40" s="1101">
        <f>'Recycling - Case 3'!BY110</f>
        <v>83.562180282260599</v>
      </c>
      <c r="BY40" s="417">
        <f>'Recycling - Case 3'!BZ110</f>
        <v>0.64488669598602022</v>
      </c>
      <c r="BZ40" s="1142">
        <f>'Recycling - Case 3'!CA110</f>
        <v>44.627656242225981</v>
      </c>
      <c r="CA40" s="596">
        <v>2030</v>
      </c>
      <c r="CB40" s="649">
        <f>'Recycling - Case 1'!CB110</f>
        <v>0.22948595525497573</v>
      </c>
      <c r="CC40" s="417">
        <f>'Recycling - Case 1'!CC110</f>
        <v>0.27410846670370259</v>
      </c>
      <c r="CD40" s="417">
        <f>'Recycling - Case 1'!CD110</f>
        <v>0.22948595525497573</v>
      </c>
      <c r="CE40" s="525">
        <f>'Recycling - Case 1'!CE110</f>
        <v>0.27410846670370259</v>
      </c>
      <c r="CF40" s="649">
        <f>'Recycling - Case 2'!CB110</f>
        <v>0.29627693816720957</v>
      </c>
      <c r="CG40" s="417">
        <f>'Recycling - Case 2'!CC110</f>
        <v>0.27410846670370259</v>
      </c>
      <c r="CH40" s="417">
        <f>'Recycling - Case 2'!CD110</f>
        <v>0.29627693816720957</v>
      </c>
      <c r="CI40" s="525">
        <f>'Recycling - Case 2'!CE110</f>
        <v>0.27410846670370259</v>
      </c>
      <c r="CJ40" s="649">
        <f>'Recycling - Case 3'!CB110</f>
        <v>0.29627693816720957</v>
      </c>
      <c r="CK40" s="417">
        <f>'Recycling - Case 3'!CC110</f>
        <v>0.27410846670370259</v>
      </c>
      <c r="CL40" s="417">
        <f>'Recycling - Case 3'!CD110</f>
        <v>0.29627693816720957</v>
      </c>
      <c r="CM40" s="525">
        <f>'Recycling - Case 3'!CE110</f>
        <v>0.27410846670370259</v>
      </c>
    </row>
    <row r="41" spans="1:91">
      <c r="A41" s="4">
        <f>'Input data'!A130</f>
        <v>2030</v>
      </c>
      <c r="B41" s="4"/>
      <c r="C41" s="769">
        <f>'4A SWD Case 1'!BG100</f>
        <v>568.60748092704227</v>
      </c>
      <c r="D41" s="3">
        <f>'4B Biological treatment '!T94</f>
        <v>0.73179650732474122</v>
      </c>
      <c r="E41" s="1157">
        <f>'4B Biological treatment '!U94</f>
        <v>32.930842829613354</v>
      </c>
      <c r="F41" s="1157">
        <f>'4B Biological treatment '!W94</f>
        <v>1.9758505697768012</v>
      </c>
      <c r="G41" s="952">
        <f>'4C2 Open-burning '!R101</f>
        <v>22.008647739126392</v>
      </c>
      <c r="H41" s="952">
        <f>'4C2 Open-burning '!Z101</f>
        <v>7.4052361612654583</v>
      </c>
      <c r="I41" s="952">
        <f>'4C2 Open-burning '!AH101</f>
        <v>0.1030933860134649</v>
      </c>
      <c r="J41" s="987">
        <f>'4D Wastewater treatment and dis'!AV138</f>
        <v>176.10138325378151</v>
      </c>
      <c r="K41" s="770">
        <f>'4D Wastewater treatment and dis'!AW138</f>
        <v>3.3298681271770771</v>
      </c>
      <c r="L41" s="771">
        <f t="shared" si="69"/>
        <v>11940.757099467888</v>
      </c>
      <c r="M41" s="772">
        <f t="shared" si="70"/>
        <v>15.367726653819565</v>
      </c>
      <c r="N41" s="771">
        <f t="shared" si="71"/>
        <v>1304.061376052689</v>
      </c>
      <c r="O41" s="773">
        <f t="shared" si="72"/>
        <v>209.47755678987514</v>
      </c>
      <c r="P41" s="771">
        <f t="shared" si="73"/>
        <v>4730.388167754305</v>
      </c>
      <c r="Q41" s="519">
        <f t="shared" si="74"/>
        <v>11940.757099467888</v>
      </c>
      <c r="R41" s="521">
        <f t="shared" si="75"/>
        <v>1319.4291027065085</v>
      </c>
      <c r="S41" s="518">
        <f t="shared" si="76"/>
        <v>209.47755678987514</v>
      </c>
      <c r="T41" s="519">
        <f t="shared" si="77"/>
        <v>4730.388167754305</v>
      </c>
      <c r="U41" s="519">
        <f t="shared" si="78"/>
        <v>18200.051926718577</v>
      </c>
      <c r="V41" s="3"/>
      <c r="W41" s="596">
        <f t="shared" si="79"/>
        <v>2031</v>
      </c>
      <c r="X41" s="1101">
        <f t="shared" si="80"/>
        <v>11539.58508868792</v>
      </c>
      <c r="Y41" s="1102">
        <f t="shared" si="81"/>
        <v>1326.3452261709829</v>
      </c>
      <c r="Z41" s="1102">
        <f t="shared" si="82"/>
        <v>199.02110317976945</v>
      </c>
      <c r="AA41" s="1102">
        <f t="shared" si="83"/>
        <v>4810.159376787461</v>
      </c>
      <c r="AB41" s="1142">
        <f t="shared" si="22"/>
        <v>17875.110794826134</v>
      </c>
      <c r="AC41" s="1423" t="str">
        <f>IF(OR('Recycling - Case 1'!AC111="No",'Recycling - Case 1'!T151="No"), "No", "Yes")</f>
        <v>No</v>
      </c>
      <c r="AD41" s="1101">
        <f t="shared" si="84"/>
        <v>11539.58508868792</v>
      </c>
      <c r="AE41" s="1102">
        <f t="shared" si="85"/>
        <v>1326.3452261709829</v>
      </c>
      <c r="AF41" s="1102">
        <f t="shared" si="86"/>
        <v>199.02110317976945</v>
      </c>
      <c r="AG41" s="1102">
        <f t="shared" si="87"/>
        <v>4810.159376787461</v>
      </c>
      <c r="AH41" s="1142">
        <f t="shared" si="60"/>
        <v>17875.110794826134</v>
      </c>
      <c r="AI41" s="1423" t="str">
        <f>IF(OR('Recycling - Case 1'!AI22="No",'Recycling - Case 1'!Z151="No"), "No", "Yes")</f>
        <v>Yes</v>
      </c>
      <c r="AJ41" s="1101">
        <f t="shared" si="88"/>
        <v>10933.979195458431</v>
      </c>
      <c r="AK41" s="1102">
        <f t="shared" si="89"/>
        <v>1326.3452261709829</v>
      </c>
      <c r="AL41" s="1102">
        <f t="shared" si="90"/>
        <v>113.4996328826917</v>
      </c>
      <c r="AM41" s="1102">
        <f t="shared" si="91"/>
        <v>5517.9347145943393</v>
      </c>
      <c r="AN41" s="1142">
        <f t="shared" si="92"/>
        <v>17891.758769106444</v>
      </c>
      <c r="AO41" s="1416" t="str">
        <f>IF(OR('Recycling - Case 2'!AC111="No",'Recycling - Case 2'!T151="No"), "No", "Yes")</f>
        <v>No</v>
      </c>
      <c r="AP41" s="1101">
        <f t="shared" si="93"/>
        <v>10933.979195458431</v>
      </c>
      <c r="AQ41" s="1102">
        <f t="shared" si="94"/>
        <v>1326.3452261709829</v>
      </c>
      <c r="AR41" s="1102">
        <f t="shared" si="95"/>
        <v>113.4996328826917</v>
      </c>
      <c r="AS41" s="1102">
        <f t="shared" si="96"/>
        <v>5517.9347145943393</v>
      </c>
      <c r="AT41" s="1142">
        <f t="shared" si="37"/>
        <v>17891.758769106444</v>
      </c>
      <c r="AU41" s="1423" t="str">
        <f>IF(OR('Recycling - Case 2'!AC111="No",'Recycling - Case 2'!T191="No"), "No", "Yes")</f>
        <v>No</v>
      </c>
      <c r="AV41" s="1101">
        <f t="shared" si="63"/>
        <v>10934.592837789467</v>
      </c>
      <c r="AW41" s="1102">
        <f t="shared" si="64"/>
        <v>805.51748344826751</v>
      </c>
      <c r="AX41" s="1102">
        <f t="shared" si="65"/>
        <v>113.49963288269169</v>
      </c>
      <c r="AY41" s="1102">
        <f t="shared" si="66"/>
        <v>5517.9347145943393</v>
      </c>
      <c r="AZ41" s="1142">
        <f t="shared" si="67"/>
        <v>17371.544668714763</v>
      </c>
      <c r="BA41" s="1423" t="str">
        <f>IF(OR('Recycling - Case 3'!AC111="No",'Recycling - Case 3'!T151="No"), "No", "Yes")</f>
        <v>No</v>
      </c>
      <c r="BB41" s="1101">
        <f t="shared" si="97"/>
        <v>10934.592837789467</v>
      </c>
      <c r="BC41" s="1102">
        <f t="shared" si="98"/>
        <v>805.51748344826751</v>
      </c>
      <c r="BD41" s="1102">
        <f t="shared" si="99"/>
        <v>113.49963288269169</v>
      </c>
      <c r="BE41" s="1102">
        <f t="shared" si="100"/>
        <v>5517.9347145943393</v>
      </c>
      <c r="BF41" s="1142">
        <f t="shared" si="47"/>
        <v>17371.544668714763</v>
      </c>
      <c r="BG41" s="1423" t="str">
        <f>IF(OR('Recycling - Case 3'!AC111="No",'Recycling - Case 3'!T191="No"), "No", "Yes")</f>
        <v>No</v>
      </c>
      <c r="BH41" s="596">
        <f t="shared" si="48"/>
        <v>2031</v>
      </c>
      <c r="BI41" s="1102">
        <f>'Recycling - Case 1'!BV111</f>
        <v>84.798741739445063</v>
      </c>
      <c r="BJ41" s="417">
        <f>'Recycling - Case 1'!BW111</f>
        <v>0.52390407933327598</v>
      </c>
      <c r="BK41" s="1142">
        <f>'Recycling - Case 1'!BX111</f>
        <v>43.830165240535273</v>
      </c>
      <c r="BL41" s="1101">
        <f>'Recycling - Case 1'!BY111</f>
        <v>84.798741739445063</v>
      </c>
      <c r="BM41" s="417">
        <f>'Recycling - Case 1'!BZ111</f>
        <v>0.52390407933327598</v>
      </c>
      <c r="BN41" s="1142">
        <f>'Recycling - Case 1'!CA111</f>
        <v>43.830165240535273</v>
      </c>
      <c r="BO41" s="1102">
        <f>'Recycling - Case 2'!BV111</f>
        <v>82.827509884575605</v>
      </c>
      <c r="BP41" s="417">
        <f>'Recycling - Case 2'!BW111</f>
        <v>0.65155023463349604</v>
      </c>
      <c r="BQ41" s="1142">
        <f>'Recycling - Case 2'!BX111</f>
        <v>43.830165240535273</v>
      </c>
      <c r="BR41" s="1101">
        <f>'Recycling - Case 2'!BY111</f>
        <v>82.827509884575605</v>
      </c>
      <c r="BS41" s="417">
        <f>'Recycling - Case 2'!BZ111</f>
        <v>0.65155023463349604</v>
      </c>
      <c r="BT41" s="1142">
        <f>'Recycling - Case 2'!CA111</f>
        <v>43.830165240535273</v>
      </c>
      <c r="BU41" s="1102">
        <f>'Recycling - Case 3'!BV111</f>
        <v>82.827509884575605</v>
      </c>
      <c r="BV41" s="417">
        <f>'Recycling - Case 3'!BW111</f>
        <v>0.65155023463349604</v>
      </c>
      <c r="BW41" s="1142">
        <f>'Recycling - Case 3'!BX111</f>
        <v>43.830165240535273</v>
      </c>
      <c r="BX41" s="1101">
        <f>'Recycling - Case 3'!BY111</f>
        <v>82.827509884575605</v>
      </c>
      <c r="BY41" s="417">
        <f>'Recycling - Case 3'!BZ111</f>
        <v>0.65155023463349604</v>
      </c>
      <c r="BZ41" s="1142">
        <f>'Recycling - Case 3'!CA111</f>
        <v>43.830165240535273</v>
      </c>
      <c r="CA41" s="596">
        <v>2031</v>
      </c>
      <c r="CB41" s="649">
        <f>'Recycling - Case 1'!CB111</f>
        <v>0.24659254843090828</v>
      </c>
      <c r="CC41" s="417">
        <f>'Recycling - Case 1'!CC111</f>
        <v>0.28019114672951217</v>
      </c>
      <c r="CD41" s="417">
        <f>'Recycling - Case 1'!CD111</f>
        <v>0.24659254843090828</v>
      </c>
      <c r="CE41" s="525">
        <f>'Recycling - Case 1'!CE111</f>
        <v>0.28019114672951217</v>
      </c>
      <c r="CF41" s="649">
        <f>'Recycling - Case 2'!CB111</f>
        <v>0.31632001082729411</v>
      </c>
      <c r="CG41" s="417">
        <f>'Recycling - Case 2'!CC111</f>
        <v>0.28019114672951217</v>
      </c>
      <c r="CH41" s="417">
        <f>'Recycling - Case 2'!CD111</f>
        <v>0.31632001082729411</v>
      </c>
      <c r="CI41" s="525">
        <f>'Recycling - Case 2'!CE111</f>
        <v>0.28019114672951217</v>
      </c>
      <c r="CJ41" s="649">
        <f>'Recycling - Case 3'!CB111</f>
        <v>0.31632001082729411</v>
      </c>
      <c r="CK41" s="417">
        <f>'Recycling - Case 3'!CC111</f>
        <v>0.28019114672951217</v>
      </c>
      <c r="CL41" s="417">
        <f>'Recycling - Case 3'!CD111</f>
        <v>0.31632001082729411</v>
      </c>
      <c r="CM41" s="525">
        <f>'Recycling - Case 3'!CE111</f>
        <v>0.28019114672951217</v>
      </c>
    </row>
    <row r="42" spans="1:91">
      <c r="A42" s="4">
        <f>'Input data'!A131</f>
        <v>2031</v>
      </c>
      <c r="B42" s="4"/>
      <c r="C42" s="769">
        <f>'4A SWD Case 1'!BG101</f>
        <v>549.50405184228191</v>
      </c>
      <c r="D42" s="3">
        <f>'4B Biological treatment '!T95</f>
        <v>0.73563240497558691</v>
      </c>
      <c r="E42" s="1157">
        <f>'4B Biological treatment '!U95</f>
        <v>33.103458223901406</v>
      </c>
      <c r="F42" s="1157">
        <f>'4B Biological treatment '!W95</f>
        <v>1.9862074934340841</v>
      </c>
      <c r="G42" s="952">
        <f>'4C2 Open-burning '!R102</f>
        <v>20.910046019534178</v>
      </c>
      <c r="H42" s="952">
        <f>'4C2 Open-burning '!Z102</f>
        <v>7.0355903167236438</v>
      </c>
      <c r="I42" s="952">
        <f>'4C2 Open-burning '!AH102</f>
        <v>9.7947291964641164E-2</v>
      </c>
      <c r="J42" s="987">
        <f>'4D Wastewater treatment and dis'!AV139</f>
        <v>179.4581726546424</v>
      </c>
      <c r="K42" s="770">
        <f>'4D Wastewater treatment and dis'!AW139</f>
        <v>3.3597991969031304</v>
      </c>
      <c r="L42" s="771">
        <f t="shared" si="69"/>
        <v>11539.58508868792</v>
      </c>
      <c r="M42" s="772">
        <f t="shared" si="70"/>
        <v>15.448280504487325</v>
      </c>
      <c r="N42" s="771">
        <f t="shared" si="71"/>
        <v>1310.8969456664956</v>
      </c>
      <c r="O42" s="773">
        <f t="shared" si="72"/>
        <v>199.02110317976945</v>
      </c>
      <c r="P42" s="771">
        <f t="shared" si="73"/>
        <v>4810.159376787461</v>
      </c>
      <c r="Q42" s="519">
        <f t="shared" si="74"/>
        <v>11539.58508868792</v>
      </c>
      <c r="R42" s="521">
        <f t="shared" si="75"/>
        <v>1326.3452261709829</v>
      </c>
      <c r="S42" s="518">
        <f t="shared" si="76"/>
        <v>199.02110317976945</v>
      </c>
      <c r="T42" s="519">
        <f t="shared" si="77"/>
        <v>4810.159376787461</v>
      </c>
      <c r="U42" s="519">
        <f t="shared" si="78"/>
        <v>17875.110794826134</v>
      </c>
      <c r="V42" s="3"/>
      <c r="W42" s="596">
        <f t="shared" si="79"/>
        <v>2032</v>
      </c>
      <c r="X42" s="1101">
        <f t="shared" si="80"/>
        <v>11151.712444697685</v>
      </c>
      <c r="Y42" s="1102">
        <f t="shared" si="81"/>
        <v>1332.7424198561157</v>
      </c>
      <c r="Z42" s="1102">
        <f t="shared" si="82"/>
        <v>188.64001701316582</v>
      </c>
      <c r="AA42" s="1102">
        <f t="shared" si="83"/>
        <v>4889.7104196215369</v>
      </c>
      <c r="AB42" s="1142">
        <f t="shared" si="22"/>
        <v>17562.805301188506</v>
      </c>
      <c r="AC42" s="1423" t="str">
        <f>IF(OR('Recycling - Case 1'!AC112="No",'Recycling - Case 1'!T152="No"), "No", "Yes")</f>
        <v>No</v>
      </c>
      <c r="AD42" s="1101">
        <f t="shared" si="84"/>
        <v>11151.712444697685</v>
      </c>
      <c r="AE42" s="1102">
        <f t="shared" si="85"/>
        <v>1332.7424198561157</v>
      </c>
      <c r="AF42" s="1102">
        <f t="shared" si="86"/>
        <v>188.64001701316582</v>
      </c>
      <c r="AG42" s="1102">
        <f t="shared" si="87"/>
        <v>4889.7104196215369</v>
      </c>
      <c r="AH42" s="1142">
        <f t="shared" si="60"/>
        <v>17562.805301188506</v>
      </c>
      <c r="AI42" s="1423" t="str">
        <f>IF(OR('Recycling - Case 1'!AI23="No",'Recycling - Case 1'!Z152="No"), "No", "Yes")</f>
        <v>Yes</v>
      </c>
      <c r="AJ42" s="1101">
        <f t="shared" si="88"/>
        <v>10508.624190509272</v>
      </c>
      <c r="AK42" s="1102">
        <f t="shared" si="89"/>
        <v>1332.7424198561157</v>
      </c>
      <c r="AL42" s="1102">
        <f t="shared" si="90"/>
        <v>98.393527507064306</v>
      </c>
      <c r="AM42" s="1102">
        <f t="shared" si="91"/>
        <v>5566.0855827833184</v>
      </c>
      <c r="AN42" s="1142">
        <f t="shared" si="92"/>
        <v>17505.845720655772</v>
      </c>
      <c r="AO42" s="1416" t="str">
        <f>IF(OR('Recycling - Case 2'!AC112="No",'Recycling - Case 2'!T152="No"), "No", "Yes")</f>
        <v>No</v>
      </c>
      <c r="AP42" s="1101">
        <f t="shared" si="93"/>
        <v>10508.624190509272</v>
      </c>
      <c r="AQ42" s="1102">
        <f t="shared" si="94"/>
        <v>1332.7424198561157</v>
      </c>
      <c r="AR42" s="1102">
        <f t="shared" si="95"/>
        <v>98.393527507064306</v>
      </c>
      <c r="AS42" s="1102">
        <f t="shared" si="96"/>
        <v>5566.0855827833184</v>
      </c>
      <c r="AT42" s="1142">
        <f t="shared" si="37"/>
        <v>17505.845720655772</v>
      </c>
      <c r="AU42" s="1423" t="str">
        <f>IF(OR('Recycling - Case 2'!AC112="No",'Recycling - Case 2'!T192="No"), "No", "Yes")</f>
        <v>No</v>
      </c>
      <c r="AV42" s="1101">
        <f t="shared" si="63"/>
        <v>10509.316413586839</v>
      </c>
      <c r="AW42" s="1102">
        <f t="shared" si="64"/>
        <v>809.40263435521172</v>
      </c>
      <c r="AX42" s="1102">
        <f t="shared" si="65"/>
        <v>98.393527507064306</v>
      </c>
      <c r="AY42" s="1102">
        <f t="shared" si="66"/>
        <v>5566.0855827833184</v>
      </c>
      <c r="AZ42" s="1142">
        <f t="shared" si="67"/>
        <v>16983.198158232433</v>
      </c>
      <c r="BA42" s="1423" t="str">
        <f>IF(OR('Recycling - Case 3'!AC112="No",'Recycling - Case 3'!T152="No"), "No", "Yes")</f>
        <v>No</v>
      </c>
      <c r="BB42" s="1101">
        <f t="shared" si="97"/>
        <v>10509.316413586839</v>
      </c>
      <c r="BC42" s="1102">
        <f t="shared" si="98"/>
        <v>809.40263435521172</v>
      </c>
      <c r="BD42" s="1102">
        <f t="shared" si="99"/>
        <v>98.393527507064306</v>
      </c>
      <c r="BE42" s="1102">
        <f t="shared" si="100"/>
        <v>5566.0855827833184</v>
      </c>
      <c r="BF42" s="1142">
        <f t="shared" si="47"/>
        <v>16983.198158232433</v>
      </c>
      <c r="BG42" s="1423" t="str">
        <f>IF(OR('Recycling - Case 3'!AC112="No",'Recycling - Case 3'!T192="No"), "No", "Yes")</f>
        <v>No</v>
      </c>
      <c r="BH42" s="596">
        <f t="shared" si="48"/>
        <v>2032</v>
      </c>
      <c r="BI42" s="1102">
        <f>'Recycling - Case 1'!BV112</f>
        <v>83.696722046022018</v>
      </c>
      <c r="BJ42" s="417">
        <f>'Recycling - Case 1'!BW112</f>
        <v>0.53254431518213041</v>
      </c>
      <c r="BK42" s="1142">
        <f>'Recycling - Case 1'!BX112</f>
        <v>42.600148259036544</v>
      </c>
      <c r="BL42" s="1101">
        <f>'Recycling - Case 1'!BY112</f>
        <v>83.696722046022018</v>
      </c>
      <c r="BM42" s="417">
        <f>'Recycling - Case 1'!BZ112</f>
        <v>0.53254431518213041</v>
      </c>
      <c r="BN42" s="1142">
        <f>'Recycling - Case 1'!CA112</f>
        <v>42.600148259036544</v>
      </c>
      <c r="BO42" s="1102">
        <f>'Recycling - Case 2'!BV112</f>
        <v>81.625670230774517</v>
      </c>
      <c r="BP42" s="417">
        <f>'Recycling - Case 2'!BW112</f>
        <v>0.65955691177483156</v>
      </c>
      <c r="BQ42" s="1142">
        <f>'Recycling - Case 2'!BX112</f>
        <v>42.600148259036544</v>
      </c>
      <c r="BR42" s="1101">
        <f>'Recycling - Case 2'!BY112</f>
        <v>81.625670230774517</v>
      </c>
      <c r="BS42" s="417">
        <f>'Recycling - Case 2'!BZ112</f>
        <v>0.65955691177483156</v>
      </c>
      <c r="BT42" s="1142">
        <f>'Recycling - Case 2'!CA112</f>
        <v>42.600148259036544</v>
      </c>
      <c r="BU42" s="1102">
        <f>'Recycling - Case 3'!BV112</f>
        <v>81.625670230774517</v>
      </c>
      <c r="BV42" s="417">
        <f>'Recycling - Case 3'!BW112</f>
        <v>0.65955691177483156</v>
      </c>
      <c r="BW42" s="1142">
        <f>'Recycling - Case 3'!BX112</f>
        <v>42.600148259036544</v>
      </c>
      <c r="BX42" s="1101">
        <f>'Recycling - Case 3'!BY112</f>
        <v>81.625670230774517</v>
      </c>
      <c r="BY42" s="417">
        <f>'Recycling - Case 3'!BZ112</f>
        <v>0.65955691177483156</v>
      </c>
      <c r="BZ42" s="1142">
        <f>'Recycling - Case 3'!CA112</f>
        <v>42.600148259036544</v>
      </c>
      <c r="CA42" s="596">
        <v>2032</v>
      </c>
      <c r="CB42" s="649">
        <f>'Recycling - Case 1'!CB112</f>
        <v>0.26328948483417403</v>
      </c>
      <c r="CC42" s="417">
        <f>'Recycling - Case 1'!CC112</f>
        <v>0.28738471154494827</v>
      </c>
      <c r="CD42" s="417">
        <f>'Recycling - Case 1'!CD112</f>
        <v>0.26328948483417403</v>
      </c>
      <c r="CE42" s="525">
        <f>'Recycling - Case 1'!CE112</f>
        <v>0.28738471154494827</v>
      </c>
      <c r="CF42" s="649">
        <f>'Recycling - Case 2'!CB112</f>
        <v>0.33591409165143815</v>
      </c>
      <c r="CG42" s="417">
        <f>'Recycling - Case 2'!CC112</f>
        <v>0.28738471154494827</v>
      </c>
      <c r="CH42" s="417">
        <f>'Recycling - Case 2'!CD112</f>
        <v>0.33591409165143815</v>
      </c>
      <c r="CI42" s="525">
        <f>'Recycling - Case 2'!CE112</f>
        <v>0.28738471154494827</v>
      </c>
      <c r="CJ42" s="649">
        <f>'Recycling - Case 3'!CB112</f>
        <v>0.33591409165143815</v>
      </c>
      <c r="CK42" s="417">
        <f>'Recycling - Case 3'!CC112</f>
        <v>0.28738471154494827</v>
      </c>
      <c r="CL42" s="417">
        <f>'Recycling - Case 3'!CD112</f>
        <v>0.33591409165143815</v>
      </c>
      <c r="CM42" s="525">
        <f>'Recycling - Case 3'!CE112</f>
        <v>0.28738471154494827</v>
      </c>
    </row>
    <row r="43" spans="1:91">
      <c r="A43" s="4">
        <f>'Input data'!A132</f>
        <v>2032</v>
      </c>
      <c r="B43" s="4"/>
      <c r="C43" s="769">
        <f>'4A SWD Case 1'!BG102</f>
        <v>531.03392593798503</v>
      </c>
      <c r="D43" s="3">
        <f>'4B Biological treatment '!T96</f>
        <v>0.73918048799562719</v>
      </c>
      <c r="E43" s="1157">
        <f>'4B Biological treatment '!U96</f>
        <v>33.263121959803222</v>
      </c>
      <c r="F43" s="1157">
        <f>'4B Biological treatment '!W96</f>
        <v>1.9957873175881933</v>
      </c>
      <c r="G43" s="952">
        <f>'4C2 Open-burning '!R103</f>
        <v>19.81936274018183</v>
      </c>
      <c r="H43" s="952">
        <f>'4C2 Open-burning '!Z103</f>
        <v>6.6686087848965467</v>
      </c>
      <c r="I43" s="952">
        <f>'4C2 Open-burning '!AH103</f>
        <v>9.2838289645666039E-2</v>
      </c>
      <c r="J43" s="987">
        <f>'4D Wastewater treatment and dis'!AV140</f>
        <v>182.81352150458534</v>
      </c>
      <c r="K43" s="770">
        <f>'4D Wastewater treatment and dis'!AW140</f>
        <v>3.3891176387911139</v>
      </c>
      <c r="L43" s="771">
        <f t="shared" si="69"/>
        <v>11151.712444697685</v>
      </c>
      <c r="M43" s="772">
        <f t="shared" si="70"/>
        <v>15.522790247908171</v>
      </c>
      <c r="N43" s="771">
        <f t="shared" si="71"/>
        <v>1317.2196296082075</v>
      </c>
      <c r="O43" s="773">
        <f t="shared" si="72"/>
        <v>188.64001701316582</v>
      </c>
      <c r="P43" s="771">
        <f t="shared" si="73"/>
        <v>4889.7104196215369</v>
      </c>
      <c r="Q43" s="519">
        <f t="shared" si="74"/>
        <v>11151.712444697685</v>
      </c>
      <c r="R43" s="521">
        <f t="shared" si="75"/>
        <v>1332.7424198561157</v>
      </c>
      <c r="S43" s="518">
        <f t="shared" si="76"/>
        <v>188.64001701316582</v>
      </c>
      <c r="T43" s="519">
        <f t="shared" si="77"/>
        <v>4889.7104196215369</v>
      </c>
      <c r="U43" s="519">
        <f t="shared" si="78"/>
        <v>17562.805301188506</v>
      </c>
      <c r="V43" s="3"/>
      <c r="W43" s="596">
        <f t="shared" si="79"/>
        <v>2033</v>
      </c>
      <c r="X43" s="1101">
        <f t="shared" si="80"/>
        <v>10776.32450324162</v>
      </c>
      <c r="Y43" s="1102">
        <f t="shared" si="81"/>
        <v>1340.3145078024404</v>
      </c>
      <c r="Z43" s="1102">
        <f t="shared" si="82"/>
        <v>178.33017987610003</v>
      </c>
      <c r="AA43" s="1102">
        <f t="shared" si="83"/>
        <v>4968.9905420842369</v>
      </c>
      <c r="AB43" s="1142">
        <f t="shared" si="22"/>
        <v>17263.959733004398</v>
      </c>
      <c r="AC43" s="1423" t="str">
        <f>IF(OR('Recycling - Case 1'!AC113="No",'Recycling - Case 1'!T153="No"), "No", "Yes")</f>
        <v>No</v>
      </c>
      <c r="AD43" s="1101">
        <f t="shared" si="84"/>
        <v>10776.32450324162</v>
      </c>
      <c r="AE43" s="1102">
        <f t="shared" si="85"/>
        <v>1340.3145078024404</v>
      </c>
      <c r="AF43" s="1102">
        <f t="shared" si="86"/>
        <v>178.33017987610003</v>
      </c>
      <c r="AG43" s="1102">
        <f t="shared" si="87"/>
        <v>4968.9905420842369</v>
      </c>
      <c r="AH43" s="1142">
        <f t="shared" si="60"/>
        <v>17263.959733004398</v>
      </c>
      <c r="AI43" s="1423" t="str">
        <f>IF(OR('Recycling - Case 1'!AI24="No",'Recycling - Case 1'!Z153="No"), "No", "Yes")</f>
        <v>Yes</v>
      </c>
      <c r="AJ43" s="1101">
        <f t="shared" si="88"/>
        <v>10091.963178636255</v>
      </c>
      <c r="AK43" s="1102">
        <f t="shared" si="89"/>
        <v>1340.3145078024404</v>
      </c>
      <c r="AL43" s="1102">
        <f t="shared" si="90"/>
        <v>98.104991079531615</v>
      </c>
      <c r="AM43" s="1102">
        <f t="shared" si="91"/>
        <v>5613.1959922913338</v>
      </c>
      <c r="AN43" s="1142">
        <f t="shared" si="92"/>
        <v>17143.578669809562</v>
      </c>
      <c r="AO43" s="1416" t="str">
        <f>IF(OR('Recycling - Case 2'!AC113="No",'Recycling - Case 2'!T153="No"), "No", "Yes")</f>
        <v>No</v>
      </c>
      <c r="AP43" s="1101">
        <f t="shared" si="93"/>
        <v>10091.963178636255</v>
      </c>
      <c r="AQ43" s="1102">
        <f t="shared" si="94"/>
        <v>1340.3145078024404</v>
      </c>
      <c r="AR43" s="1102">
        <f t="shared" si="95"/>
        <v>98.104991079531615</v>
      </c>
      <c r="AS43" s="1102">
        <f t="shared" si="96"/>
        <v>5613.1959922913338</v>
      </c>
      <c r="AT43" s="1142">
        <f t="shared" si="37"/>
        <v>17143.578669809562</v>
      </c>
      <c r="AU43" s="1423" t="str">
        <f>IF(OR('Recycling - Case 2'!AC113="No",'Recycling - Case 2'!T193="No"), "No", "Yes")</f>
        <v>No</v>
      </c>
      <c r="AV43" s="1101">
        <f t="shared" si="63"/>
        <v>10092.730403828034</v>
      </c>
      <c r="AW43" s="1102">
        <f t="shared" si="64"/>
        <v>814.00132337419416</v>
      </c>
      <c r="AX43" s="1102">
        <f t="shared" si="65"/>
        <v>98.104991079531644</v>
      </c>
      <c r="AY43" s="1102">
        <f t="shared" si="66"/>
        <v>5613.1959922913338</v>
      </c>
      <c r="AZ43" s="1142">
        <f t="shared" si="67"/>
        <v>16618.032710573094</v>
      </c>
      <c r="BA43" s="1423" t="str">
        <f>IF(OR('Recycling - Case 3'!AC113="No",'Recycling - Case 3'!T153="No"), "No", "Yes")</f>
        <v>No</v>
      </c>
      <c r="BB43" s="1101">
        <f t="shared" si="97"/>
        <v>10092.730403828034</v>
      </c>
      <c r="BC43" s="1102">
        <f t="shared" si="98"/>
        <v>814.00132337419416</v>
      </c>
      <c r="BD43" s="1102">
        <f t="shared" si="99"/>
        <v>98.104991079531644</v>
      </c>
      <c r="BE43" s="1102">
        <f t="shared" si="100"/>
        <v>5613.1959922913338</v>
      </c>
      <c r="BF43" s="1142">
        <f t="shared" si="47"/>
        <v>16618.032710573094</v>
      </c>
      <c r="BG43" s="1423" t="str">
        <f>IF(OR('Recycling - Case 3'!AC113="No",'Recycling - Case 3'!T193="No"), "No", "Yes")</f>
        <v>No</v>
      </c>
      <c r="BH43" s="596">
        <f t="shared" si="48"/>
        <v>2033</v>
      </c>
      <c r="BI43" s="1102">
        <f>'Recycling - Case 1'!BV113</f>
        <v>83.021097541546737</v>
      </c>
      <c r="BJ43" s="417">
        <f>'Recycling - Case 1'!BW113</f>
        <v>0.540394013565345</v>
      </c>
      <c r="BK43" s="1142">
        <f>'Recycling - Case 1'!BX113</f>
        <v>41.720520537816469</v>
      </c>
      <c r="BL43" s="1101">
        <f>'Recycling - Case 1'!BY113</f>
        <v>83.021097541546737</v>
      </c>
      <c r="BM43" s="417">
        <f>'Recycling - Case 1'!BZ113</f>
        <v>0.540394013565345</v>
      </c>
      <c r="BN43" s="1142">
        <f>'Recycling - Case 1'!CA113</f>
        <v>41.720520537816469</v>
      </c>
      <c r="BO43" s="1102">
        <f>'Recycling - Case 2'!BV113</f>
        <v>81.317920472132201</v>
      </c>
      <c r="BP43" s="417">
        <f>'Recycling - Case 2'!BW113</f>
        <v>0.66475878304801861</v>
      </c>
      <c r="BQ43" s="1142">
        <f>'Recycling - Case 2'!BX113</f>
        <v>41.720520537816469</v>
      </c>
      <c r="BR43" s="1101">
        <f>'Recycling - Case 2'!BY113</f>
        <v>81.317920472132201</v>
      </c>
      <c r="BS43" s="417">
        <f>'Recycling - Case 2'!BZ113</f>
        <v>0.66475878304801861</v>
      </c>
      <c r="BT43" s="1142">
        <f>'Recycling - Case 2'!CA113</f>
        <v>41.720520537816469</v>
      </c>
      <c r="BU43" s="1102">
        <f>'Recycling - Case 3'!BV113</f>
        <v>81.317920472132201</v>
      </c>
      <c r="BV43" s="417">
        <f>'Recycling - Case 3'!BW113</f>
        <v>0.66475878304801861</v>
      </c>
      <c r="BW43" s="1142">
        <f>'Recycling - Case 3'!BX113</f>
        <v>41.720520537816469</v>
      </c>
      <c r="BX43" s="1101">
        <f>'Recycling - Case 3'!BY113</f>
        <v>81.317920472132201</v>
      </c>
      <c r="BY43" s="417">
        <f>'Recycling - Case 3'!BZ113</f>
        <v>0.66475878304801861</v>
      </c>
      <c r="BZ43" s="1142">
        <f>'Recycling - Case 3'!CA113</f>
        <v>41.720520537816469</v>
      </c>
      <c r="CA43" s="596">
        <v>2033</v>
      </c>
      <c r="CB43" s="649">
        <f>'Recycling - Case 1'!CB113</f>
        <v>0.27959485500563153</v>
      </c>
      <c r="CC43" s="417">
        <f>'Recycling - Case 1'!CC113</f>
        <v>0.29401952941936627</v>
      </c>
      <c r="CD43" s="417">
        <f>'Recycling - Case 1'!CD113</f>
        <v>0.27959485500563153</v>
      </c>
      <c r="CE43" s="525">
        <f>'Recycling - Case 1'!CE113</f>
        <v>0.29401952941936627</v>
      </c>
      <c r="CF43" s="649">
        <f>'Recycling - Case 2'!CB113</f>
        <v>0.33881811423292751</v>
      </c>
      <c r="CG43" s="417">
        <f>'Recycling - Case 2'!CC113</f>
        <v>0.29401952941936627</v>
      </c>
      <c r="CH43" s="417">
        <f>'Recycling - Case 2'!CD113</f>
        <v>0.33881811423292751</v>
      </c>
      <c r="CI43" s="525">
        <f>'Recycling - Case 2'!CE113</f>
        <v>0.29401952941936627</v>
      </c>
      <c r="CJ43" s="649">
        <f>'Recycling - Case 3'!CB113</f>
        <v>0.33881811423292751</v>
      </c>
      <c r="CK43" s="417">
        <f>'Recycling - Case 3'!CC113</f>
        <v>0.29401952941936627</v>
      </c>
      <c r="CL43" s="417">
        <f>'Recycling - Case 3'!CD113</f>
        <v>0.33881811423292751</v>
      </c>
      <c r="CM43" s="525">
        <f>'Recycling - Case 3'!CE113</f>
        <v>0.29401952941936627</v>
      </c>
    </row>
    <row r="44" spans="1:91">
      <c r="A44" s="4">
        <f>'Input data'!A133</f>
        <v>2033</v>
      </c>
      <c r="B44" s="4"/>
      <c r="C44" s="769">
        <f>'4A SWD Case 1'!BG103</f>
        <v>513.15830967817237</v>
      </c>
      <c r="D44" s="3">
        <f>'4B Biological treatment '!T97</f>
        <v>0.74338020399469795</v>
      </c>
      <c r="E44" s="1157">
        <f>'4B Biological treatment '!U97</f>
        <v>33.452109179761408</v>
      </c>
      <c r="F44" s="1157">
        <f>'4B Biological treatment '!W97</f>
        <v>2.0071265507856841</v>
      </c>
      <c r="G44" s="952">
        <f>'4C2 Open-burning '!R104</f>
        <v>18.736165202103567</v>
      </c>
      <c r="H44" s="952">
        <f>'4C2 Open-burning '!Z104</f>
        <v>6.3041459758294183</v>
      </c>
      <c r="I44" s="952">
        <f>'4C2 Open-burning '!AH104</f>
        <v>8.7764352198640955E-2</v>
      </c>
      <c r="J44" s="987">
        <f>'4D Wastewater treatment and dis'!AV141</f>
        <v>186.16532137376296</v>
      </c>
      <c r="K44" s="770">
        <f>'4D Wastewater treatment and dis'!AW141</f>
        <v>3.4178025588232726</v>
      </c>
      <c r="L44" s="771">
        <f t="shared" si="69"/>
        <v>10776.32450324162</v>
      </c>
      <c r="M44" s="772">
        <f t="shared" si="70"/>
        <v>15.610984283888657</v>
      </c>
      <c r="N44" s="771">
        <f t="shared" si="71"/>
        <v>1324.7035235185517</v>
      </c>
      <c r="O44" s="773">
        <f t="shared" si="72"/>
        <v>178.33017987610003</v>
      </c>
      <c r="P44" s="771">
        <f t="shared" si="73"/>
        <v>4968.9905420842369</v>
      </c>
      <c r="Q44" s="519">
        <f t="shared" si="74"/>
        <v>10776.32450324162</v>
      </c>
      <c r="R44" s="521">
        <f t="shared" si="75"/>
        <v>1340.3145078024404</v>
      </c>
      <c r="S44" s="518">
        <f t="shared" si="76"/>
        <v>178.33017987610003</v>
      </c>
      <c r="T44" s="519">
        <f t="shared" si="77"/>
        <v>4968.9905420842369</v>
      </c>
      <c r="U44" s="519">
        <f t="shared" si="78"/>
        <v>17263.959733004398</v>
      </c>
      <c r="V44" s="3"/>
      <c r="W44" s="596">
        <f t="shared" si="79"/>
        <v>2034</v>
      </c>
      <c r="X44" s="1101">
        <f t="shared" si="80"/>
        <v>10412.647640204028</v>
      </c>
      <c r="Y44" s="1102">
        <f t="shared" si="81"/>
        <v>1349.8193382151721</v>
      </c>
      <c r="Z44" s="1102">
        <f t="shared" si="82"/>
        <v>168.08670394204978</v>
      </c>
      <c r="AA44" s="1102">
        <f t="shared" si="83"/>
        <v>5048.0477094207636</v>
      </c>
      <c r="AB44" s="1142">
        <f t="shared" si="22"/>
        <v>16978.601391782016</v>
      </c>
      <c r="AC44" s="1423" t="str">
        <f>IF(OR('Recycling - Case 1'!AC114="No",'Recycling - Case 1'!T154="No"), "No", "Yes")</f>
        <v>No</v>
      </c>
      <c r="AD44" s="1101">
        <f t="shared" si="84"/>
        <v>10412.647640204028</v>
      </c>
      <c r="AE44" s="1102">
        <f t="shared" si="85"/>
        <v>1349.8193382151721</v>
      </c>
      <c r="AF44" s="1102">
        <f t="shared" si="86"/>
        <v>168.08670394204978</v>
      </c>
      <c r="AG44" s="1102">
        <f t="shared" si="87"/>
        <v>5048.0477094207636</v>
      </c>
      <c r="AH44" s="1142">
        <f t="shared" si="60"/>
        <v>16978.601391782016</v>
      </c>
      <c r="AI44" s="1423" t="str">
        <f>IF(OR('Recycling - Case 1'!AI25="No",'Recycling - Case 1'!Z154="No"), "No", "Yes")</f>
        <v>Yes</v>
      </c>
      <c r="AJ44" s="1101">
        <f t="shared" si="88"/>
        <v>9695.8632881903195</v>
      </c>
      <c r="AK44" s="1102">
        <f t="shared" si="89"/>
        <v>1349.8193382151721</v>
      </c>
      <c r="AL44" s="1102">
        <f t="shared" si="90"/>
        <v>97.828606570665116</v>
      </c>
      <c r="AM44" s="1102">
        <f t="shared" si="91"/>
        <v>5659.343340764899</v>
      </c>
      <c r="AN44" s="1142">
        <f t="shared" si="92"/>
        <v>16802.854573741053</v>
      </c>
      <c r="AO44" s="1416" t="str">
        <f>IF(OR('Recycling - Case 2'!AC114="No",'Recycling - Case 2'!T154="No"), "No", "Yes")</f>
        <v>No</v>
      </c>
      <c r="AP44" s="1101">
        <f t="shared" si="93"/>
        <v>9695.8632881903195</v>
      </c>
      <c r="AQ44" s="1102">
        <f t="shared" si="94"/>
        <v>1349.8193382151721</v>
      </c>
      <c r="AR44" s="1102">
        <f t="shared" si="95"/>
        <v>97.828606570665116</v>
      </c>
      <c r="AS44" s="1102">
        <f t="shared" si="96"/>
        <v>5659.343340764899</v>
      </c>
      <c r="AT44" s="1142">
        <f t="shared" si="37"/>
        <v>16802.854573741053</v>
      </c>
      <c r="AU44" s="1423" t="str">
        <f>IF(OR('Recycling - Case 2'!AC114="No",'Recycling - Case 2'!T194="No"), "No", "Yes")</f>
        <v>No</v>
      </c>
      <c r="AV44" s="1101">
        <f t="shared" si="63"/>
        <v>9696.702123711857</v>
      </c>
      <c r="AW44" s="1102">
        <f t="shared" si="64"/>
        <v>819.77380773467212</v>
      </c>
      <c r="AX44" s="1102">
        <f t="shared" si="65"/>
        <v>97.828606570665116</v>
      </c>
      <c r="AY44" s="1102">
        <f t="shared" si="66"/>
        <v>5659.343340764899</v>
      </c>
      <c r="AZ44" s="1142">
        <f t="shared" si="67"/>
        <v>16273.647878782094</v>
      </c>
      <c r="BA44" s="1423" t="str">
        <f>IF(OR('Recycling - Case 3'!AC114="No",'Recycling - Case 3'!T154="No"), "No", "Yes")</f>
        <v>No</v>
      </c>
      <c r="BB44" s="1101">
        <f t="shared" si="97"/>
        <v>9696.702123711857</v>
      </c>
      <c r="BC44" s="1102">
        <f t="shared" si="98"/>
        <v>819.77380773467212</v>
      </c>
      <c r="BD44" s="1102">
        <f t="shared" si="99"/>
        <v>97.828606570665116</v>
      </c>
      <c r="BE44" s="1102">
        <f t="shared" si="100"/>
        <v>5659.343340764899</v>
      </c>
      <c r="BF44" s="1142">
        <f t="shared" si="47"/>
        <v>16273.647878782094</v>
      </c>
      <c r="BG44" s="1423" t="str">
        <f>IF(OR('Recycling - Case 3'!AC114="No",'Recycling - Case 3'!T194="No"), "No", "Yes")</f>
        <v>No</v>
      </c>
      <c r="BH44" s="596">
        <f t="shared" si="48"/>
        <v>2034</v>
      </c>
      <c r="BI44" s="1102">
        <f>'Recycling - Case 1'!BV114</f>
        <v>82.799692629387508</v>
      </c>
      <c r="BJ44" s="417">
        <f>'Recycling - Case 1'!BW114</f>
        <v>0.54767518329973663</v>
      </c>
      <c r="BK44" s="1142">
        <f>'Recycling - Case 1'!BX114</f>
        <v>41.169489630995621</v>
      </c>
      <c r="BL44" s="1101">
        <f>'Recycling - Case 1'!BY114</f>
        <v>82.799692629387508</v>
      </c>
      <c r="BM44" s="417">
        <f>'Recycling - Case 1'!BZ114</f>
        <v>0.54767518329973663</v>
      </c>
      <c r="BN44" s="1142">
        <f>'Recycling - Case 1'!CA114</f>
        <v>41.169489630995621</v>
      </c>
      <c r="BO44" s="1102">
        <f>'Recycling - Case 2'!BV114</f>
        <v>81.463628575218806</v>
      </c>
      <c r="BP44" s="417">
        <f>'Recycling - Case 2'!BW114</f>
        <v>0.66941688522843712</v>
      </c>
      <c r="BQ44" s="1142">
        <f>'Recycling - Case 2'!BX114</f>
        <v>41.169489630995621</v>
      </c>
      <c r="BR44" s="1101">
        <f>'Recycling - Case 2'!BY114</f>
        <v>81.463628575218806</v>
      </c>
      <c r="BS44" s="417">
        <f>'Recycling - Case 2'!BZ114</f>
        <v>0.66941688522843712</v>
      </c>
      <c r="BT44" s="1142">
        <f>'Recycling - Case 2'!CA114</f>
        <v>41.169489630995621</v>
      </c>
      <c r="BU44" s="1102">
        <f>'Recycling - Case 3'!BV114</f>
        <v>81.463628575218806</v>
      </c>
      <c r="BV44" s="417">
        <f>'Recycling - Case 3'!BW114</f>
        <v>0.66941688522843712</v>
      </c>
      <c r="BW44" s="1142">
        <f>'Recycling - Case 3'!BX114</f>
        <v>41.169489630995621</v>
      </c>
      <c r="BX44" s="1101">
        <f>'Recycling - Case 3'!BY114</f>
        <v>81.463628575218806</v>
      </c>
      <c r="BY44" s="417">
        <f>'Recycling - Case 3'!BZ114</f>
        <v>0.66941688522843712</v>
      </c>
      <c r="BZ44" s="1142">
        <f>'Recycling - Case 3'!CA114</f>
        <v>41.169489630995621</v>
      </c>
      <c r="CA44" s="596">
        <v>2034</v>
      </c>
      <c r="CB44" s="649">
        <f>'Recycling - Case 1'!CB114</f>
        <v>0.29553484457555457</v>
      </c>
      <c r="CC44" s="417">
        <f>'Recycling - Case 1'!CC114</f>
        <v>0.3004127271051904</v>
      </c>
      <c r="CD44" s="417">
        <f>'Recycling - Case 1'!CD114</f>
        <v>0.29553484457555457</v>
      </c>
      <c r="CE44" s="525">
        <f>'Recycling - Case 1'!CE114</f>
        <v>0.3004127271051904</v>
      </c>
      <c r="CF44" s="649">
        <f>'Recycling - Case 2'!CB114</f>
        <v>0.34161394017639757</v>
      </c>
      <c r="CG44" s="417">
        <f>'Recycling - Case 2'!CC114</f>
        <v>0.3004127271051904</v>
      </c>
      <c r="CH44" s="417">
        <f>'Recycling - Case 2'!CD114</f>
        <v>0.34161394017639757</v>
      </c>
      <c r="CI44" s="525">
        <f>'Recycling - Case 2'!CE114</f>
        <v>0.3004127271051904</v>
      </c>
      <c r="CJ44" s="649">
        <f>'Recycling - Case 3'!CB114</f>
        <v>0.34161394017639757</v>
      </c>
      <c r="CK44" s="417">
        <f>'Recycling - Case 3'!CC114</f>
        <v>0.3004127271051904</v>
      </c>
      <c r="CL44" s="417">
        <f>'Recycling - Case 3'!CD114</f>
        <v>0.34161394017639757</v>
      </c>
      <c r="CM44" s="525">
        <f>'Recycling - Case 3'!CE114</f>
        <v>0.3004127271051904</v>
      </c>
    </row>
    <row r="45" spans="1:91">
      <c r="A45" s="4">
        <f>'Input data'!A134</f>
        <v>2034</v>
      </c>
      <c r="B45" s="4"/>
      <c r="C45" s="769">
        <f>'4A SWD Case 1'!BG104</f>
        <v>495.84036381923943</v>
      </c>
      <c r="D45" s="3">
        <f>'4B Biological treatment '!T98</f>
        <v>0.7486518792097463</v>
      </c>
      <c r="E45" s="1157">
        <f>'4B Biological treatment '!U98</f>
        <v>33.689334564438575</v>
      </c>
      <c r="F45" s="1157">
        <f>'4B Biological treatment '!W98</f>
        <v>2.0213600738663144</v>
      </c>
      <c r="G45" s="952">
        <f>'4C2 Open-burning '!R105</f>
        <v>17.659939868413652</v>
      </c>
      <c r="H45" s="952">
        <f>'4C2 Open-burning '!Z105</f>
        <v>5.942029100082336</v>
      </c>
      <c r="I45" s="952">
        <f>'4C2 Open-burning '!AH105</f>
        <v>8.2723074102926009E-2</v>
      </c>
      <c r="J45" s="987">
        <f>'4D Wastewater treatment and dis'!AV142</f>
        <v>189.51516064563538</v>
      </c>
      <c r="K45" s="770">
        <f>'4D Wastewater treatment and dis'!AW142</f>
        <v>3.4459010834271635</v>
      </c>
      <c r="L45" s="771">
        <f t="shared" si="69"/>
        <v>10412.647640204028</v>
      </c>
      <c r="M45" s="772">
        <f t="shared" si="70"/>
        <v>15.721689463404672</v>
      </c>
      <c r="N45" s="771">
        <f t="shared" si="71"/>
        <v>1334.0976487517676</v>
      </c>
      <c r="O45" s="773">
        <f t="shared" si="72"/>
        <v>168.08670394204978</v>
      </c>
      <c r="P45" s="771">
        <f t="shared" si="73"/>
        <v>5048.0477094207636</v>
      </c>
      <c r="Q45" s="519">
        <f t="shared" si="74"/>
        <v>10412.647640204028</v>
      </c>
      <c r="R45" s="521">
        <f t="shared" si="75"/>
        <v>1349.8193382151721</v>
      </c>
      <c r="S45" s="518">
        <f t="shared" si="76"/>
        <v>168.08670394204978</v>
      </c>
      <c r="T45" s="519">
        <f t="shared" si="77"/>
        <v>5048.0477094207636</v>
      </c>
      <c r="U45" s="519">
        <f t="shared" si="78"/>
        <v>16978.601391782016</v>
      </c>
      <c r="V45" s="3"/>
      <c r="W45" s="596">
        <f t="shared" si="79"/>
        <v>2035</v>
      </c>
      <c r="X45" s="1101">
        <f t="shared" si="80"/>
        <v>10059.948088746385</v>
      </c>
      <c r="Y45" s="1102">
        <f t="shared" si="81"/>
        <v>1357.6083373733229</v>
      </c>
      <c r="Z45" s="1102">
        <f t="shared" si="82"/>
        <v>157.90603961229394</v>
      </c>
      <c r="AA45" s="1102">
        <f t="shared" si="83"/>
        <v>5126.8349673010889</v>
      </c>
      <c r="AB45" s="1142">
        <f t="shared" si="22"/>
        <v>16702.297433033091</v>
      </c>
      <c r="AC45" s="1423" t="str">
        <f>IF(OR('Recycling - Case 1'!AC115="No",'Recycling - Case 1'!T155="No"), "No", "Yes")</f>
        <v>Yes</v>
      </c>
      <c r="AD45" s="1101">
        <f t="shared" si="84"/>
        <v>10059.948088746385</v>
      </c>
      <c r="AE45" s="1102">
        <f t="shared" si="85"/>
        <v>1357.6083373733229</v>
      </c>
      <c r="AF45" s="1102">
        <f t="shared" si="86"/>
        <v>157.90603961229394</v>
      </c>
      <c r="AG45" s="1102">
        <f t="shared" si="87"/>
        <v>5126.8349673010889</v>
      </c>
      <c r="AH45" s="1142">
        <f t="shared" si="60"/>
        <v>16702.297433033091</v>
      </c>
      <c r="AI45" s="1423" t="str">
        <f>IF(OR('Recycling - Case 1'!AI26="No",'Recycling - Case 1'!Z155="No"), "No", "Yes")</f>
        <v>Yes</v>
      </c>
      <c r="AJ45" s="1101">
        <f t="shared" si="88"/>
        <v>9319.3139553218389</v>
      </c>
      <c r="AK45" s="1102">
        <f t="shared" si="89"/>
        <v>1357.6083373733229</v>
      </c>
      <c r="AL45" s="1102">
        <f t="shared" si="90"/>
        <v>97.563968744338396</v>
      </c>
      <c r="AM45" s="1102">
        <f t="shared" si="91"/>
        <v>5704.4970857612952</v>
      </c>
      <c r="AN45" s="1142">
        <f t="shared" si="92"/>
        <v>16478.983347200796</v>
      </c>
      <c r="AO45" s="1416" t="str">
        <f>IF(OR('Recycling - Case 2'!AC115="No",'Recycling - Case 2'!T155="No"), "No", "Yes")</f>
        <v>No</v>
      </c>
      <c r="AP45" s="1101">
        <f t="shared" si="93"/>
        <v>9319.3139553218389</v>
      </c>
      <c r="AQ45" s="1102">
        <f t="shared" si="94"/>
        <v>1357.6083373733229</v>
      </c>
      <c r="AR45" s="1102">
        <f t="shared" si="95"/>
        <v>97.563968744338396</v>
      </c>
      <c r="AS45" s="1102">
        <f t="shared" si="96"/>
        <v>5704.4970857612952</v>
      </c>
      <c r="AT45" s="1142">
        <f t="shared" si="37"/>
        <v>16478.983347200796</v>
      </c>
      <c r="AU45" s="1423" t="str">
        <f>IF(OR('Recycling - Case 2'!AC115="No",'Recycling - Case 2'!T195="No"), "No", "Yes")</f>
        <v>No</v>
      </c>
      <c r="AV45" s="1101">
        <f t="shared" si="63"/>
        <v>9320.2211869588482</v>
      </c>
      <c r="AW45" s="1102">
        <f t="shared" si="64"/>
        <v>824.50423151624432</v>
      </c>
      <c r="AX45" s="1102">
        <f t="shared" si="65"/>
        <v>97.56396874433841</v>
      </c>
      <c r="AY45" s="1102">
        <f t="shared" si="66"/>
        <v>5704.4970857612952</v>
      </c>
      <c r="AZ45" s="1142">
        <f t="shared" si="67"/>
        <v>15946.786472980726</v>
      </c>
      <c r="BA45" s="1423" t="str">
        <f>IF(OR('Recycling - Case 3'!AC115="No",'Recycling - Case 3'!T155="No"), "No", "Yes")</f>
        <v>No</v>
      </c>
      <c r="BB45" s="1101">
        <f t="shared" si="97"/>
        <v>9320.2211869588482</v>
      </c>
      <c r="BC45" s="1102">
        <f t="shared" si="98"/>
        <v>824.50423151624432</v>
      </c>
      <c r="BD45" s="1102">
        <f t="shared" si="99"/>
        <v>97.56396874433841</v>
      </c>
      <c r="BE45" s="1102">
        <f t="shared" si="100"/>
        <v>5704.4970857612952</v>
      </c>
      <c r="BF45" s="1142">
        <f t="shared" si="47"/>
        <v>15946.786472980726</v>
      </c>
      <c r="BG45" s="1423" t="str">
        <f>IF(OR('Recycling - Case 3'!AC115="No",'Recycling - Case 3'!T195="No"), "No", "Yes")</f>
        <v>No</v>
      </c>
      <c r="BH45" s="596">
        <f t="shared" si="48"/>
        <v>2035</v>
      </c>
      <c r="BI45" s="1102">
        <f>'Recycling - Case 1'!BV115</f>
        <v>77.078995247419613</v>
      </c>
      <c r="BJ45" s="417">
        <f>'Recycling - Case 1'!BW115</f>
        <v>0.57338137103969855</v>
      </c>
      <c r="BK45" s="1142">
        <f>'Recycling - Case 1'!BX115</f>
        <v>33.008995481321321</v>
      </c>
      <c r="BL45" s="1101">
        <f>'Recycling - Case 1'!BY115</f>
        <v>77.078995247419613</v>
      </c>
      <c r="BM45" s="417">
        <f>'Recycling - Case 1'!BZ115</f>
        <v>0.57338137103969855</v>
      </c>
      <c r="BN45" s="1142">
        <f>'Recycling - Case 1'!CA115</f>
        <v>33.008995481321321</v>
      </c>
      <c r="BO45" s="1102">
        <f>'Recycling - Case 2'!BV115</f>
        <v>73.88611468940023</v>
      </c>
      <c r="BP45" s="417">
        <f>'Recycling - Case 2'!BW115</f>
        <v>0.70178153665527632</v>
      </c>
      <c r="BQ45" s="1142">
        <f>'Recycling - Case 2'!BX115</f>
        <v>33.008995481321321</v>
      </c>
      <c r="BR45" s="1101">
        <f>'Recycling - Case 2'!BY115</f>
        <v>73.88611468940023</v>
      </c>
      <c r="BS45" s="417">
        <f>'Recycling - Case 2'!BZ115</f>
        <v>0.70178153665527632</v>
      </c>
      <c r="BT45" s="1142">
        <f>'Recycling - Case 2'!CA115</f>
        <v>33.008995481321321</v>
      </c>
      <c r="BU45" s="1102">
        <f>'Recycling - Case 3'!BV115</f>
        <v>73.88611468940023</v>
      </c>
      <c r="BV45" s="417">
        <f>'Recycling - Case 3'!BW115</f>
        <v>0.70178153665527632</v>
      </c>
      <c r="BW45" s="1142">
        <f>'Recycling - Case 3'!BX115</f>
        <v>33.008995481321321</v>
      </c>
      <c r="BX45" s="1101">
        <f>'Recycling - Case 3'!BY115</f>
        <v>73.88611468940023</v>
      </c>
      <c r="BY45" s="417">
        <f>'Recycling - Case 3'!BZ115</f>
        <v>0.70178153665527632</v>
      </c>
      <c r="BZ45" s="1142">
        <f>'Recycling - Case 3'!CA115</f>
        <v>33.008995481321321</v>
      </c>
      <c r="CA45" s="596">
        <v>2035</v>
      </c>
      <c r="CB45" s="649">
        <f>'Recycling - Case 1'!CB115</f>
        <v>0.3111252742728734</v>
      </c>
      <c r="CC45" s="417">
        <f>'Recycling - Case 1'!CC115</f>
        <v>0.30716551766607769</v>
      </c>
      <c r="CD45" s="417">
        <f>'Recycling - Case 1'!CD115</f>
        <v>0.3111252742728734</v>
      </c>
      <c r="CE45" s="525">
        <f>'Recycling - Case 1'!CE115</f>
        <v>0.30716551766607769</v>
      </c>
      <c r="CF45" s="649">
        <f>'Recycling - Case 2'!CB115</f>
        <v>0.34430398732661904</v>
      </c>
      <c r="CG45" s="417">
        <f>'Recycling - Case 2'!CC115</f>
        <v>0.3342141124349175</v>
      </c>
      <c r="CH45" s="417">
        <f>'Recycling - Case 2'!CD115</f>
        <v>0.34430398732661904</v>
      </c>
      <c r="CI45" s="525">
        <f>'Recycling - Case 2'!CE115</f>
        <v>0.3342141124349175</v>
      </c>
      <c r="CJ45" s="649">
        <f>'Recycling - Case 3'!CB115</f>
        <v>0.34430398732661904</v>
      </c>
      <c r="CK45" s="417">
        <f>'Recycling - Case 3'!CC115</f>
        <v>0.3342141124349175</v>
      </c>
      <c r="CL45" s="417">
        <f>'Recycling - Case 3'!CD115</f>
        <v>0.34430398732661904</v>
      </c>
      <c r="CM45" s="525">
        <f>'Recycling - Case 3'!CE115</f>
        <v>0.3342141124349175</v>
      </c>
    </row>
    <row r="46" spans="1:91">
      <c r="A46" s="4">
        <f>'Input data'!A135</f>
        <v>2035</v>
      </c>
      <c r="B46" s="4"/>
      <c r="C46" s="769">
        <f>'4A SWD Case 1'!BG105</f>
        <v>479.04514708316117</v>
      </c>
      <c r="D46" s="3">
        <f>'4B Biological treatment '!T99</f>
        <v>0.75297190092807709</v>
      </c>
      <c r="E46" s="1157">
        <f>'4B Biological treatment '!U99</f>
        <v>33.883735541763464</v>
      </c>
      <c r="F46" s="1157">
        <f>'4B Biological treatment '!W99</f>
        <v>2.0330241325058078</v>
      </c>
      <c r="G46" s="952">
        <f>'4C2 Open-burning '!R106</f>
        <v>16.590313802416329</v>
      </c>
      <c r="H46" s="952">
        <f>'4C2 Open-burning '!Z106</f>
        <v>5.5821326758747709</v>
      </c>
      <c r="I46" s="952">
        <f>'4C2 Open-burning '!AH106</f>
        <v>7.7712708440346528E-2</v>
      </c>
      <c r="J46" s="987">
        <f>'4D Wastewater treatment and dis'!AV143</f>
        <v>192.86107792537675</v>
      </c>
      <c r="K46" s="770">
        <f>'4D Wastewater treatment and dis'!AW143</f>
        <v>3.4733946157037967</v>
      </c>
      <c r="L46" s="771">
        <f t="shared" si="69"/>
        <v>10059.948088746385</v>
      </c>
      <c r="M46" s="772">
        <f t="shared" si="70"/>
        <v>15.812409919489619</v>
      </c>
      <c r="N46" s="771">
        <f t="shared" si="71"/>
        <v>1341.7959274538332</v>
      </c>
      <c r="O46" s="773">
        <f t="shared" si="72"/>
        <v>157.90603961229394</v>
      </c>
      <c r="P46" s="771">
        <f t="shared" si="73"/>
        <v>5126.8349673010889</v>
      </c>
      <c r="Q46" s="519">
        <f t="shared" si="74"/>
        <v>10059.948088746385</v>
      </c>
      <c r="R46" s="521">
        <f t="shared" si="75"/>
        <v>1357.6083373733229</v>
      </c>
      <c r="S46" s="518">
        <f t="shared" si="76"/>
        <v>157.90603961229394</v>
      </c>
      <c r="T46" s="519">
        <f t="shared" si="77"/>
        <v>5126.8349673010889</v>
      </c>
      <c r="U46" s="519">
        <f t="shared" si="78"/>
        <v>16702.297433033091</v>
      </c>
      <c r="V46" s="3"/>
      <c r="W46" s="596">
        <f t="shared" si="79"/>
        <v>2036</v>
      </c>
      <c r="X46" s="1101">
        <f t="shared" si="80"/>
        <v>9727.1701950897732</v>
      </c>
      <c r="Y46" s="1102">
        <f t="shared" si="81"/>
        <v>1365.4610409418001</v>
      </c>
      <c r="Z46" s="1102">
        <f t="shared" si="82"/>
        <v>147.784791262574</v>
      </c>
      <c r="AA46" s="1102">
        <f t="shared" si="83"/>
        <v>5205.3049573728886</v>
      </c>
      <c r="AB46" s="1142">
        <f t="shared" si="22"/>
        <v>16445.720984667038</v>
      </c>
      <c r="AC46" s="1423" t="str">
        <f>IF(OR('Recycling - Case 1'!AC116="No",'Recycling - Case 1'!T156="No"), "No", "Yes")</f>
        <v>Yes</v>
      </c>
      <c r="AD46" s="1101">
        <f t="shared" si="84"/>
        <v>9727.1701950897732</v>
      </c>
      <c r="AE46" s="1102">
        <f t="shared" si="85"/>
        <v>1365.4610409418001</v>
      </c>
      <c r="AF46" s="1102">
        <f t="shared" si="86"/>
        <v>147.784791262574</v>
      </c>
      <c r="AG46" s="1102">
        <f t="shared" si="87"/>
        <v>5205.3049573728886</v>
      </c>
      <c r="AH46" s="1142">
        <f t="shared" si="60"/>
        <v>16445.720984667038</v>
      </c>
      <c r="AI46" s="1423" t="str">
        <f>IF(OR('Recycling - Case 1'!AI27="No",'Recycling - Case 1'!Z156="No"), "No", "Yes")</f>
        <v>Yes</v>
      </c>
      <c r="AJ46" s="1101">
        <f t="shared" si="88"/>
        <v>8961.3539772741005</v>
      </c>
      <c r="AK46" s="1102">
        <f t="shared" si="89"/>
        <v>1365.4610409418001</v>
      </c>
      <c r="AL46" s="1102">
        <f t="shared" si="90"/>
        <v>97.310695502582462</v>
      </c>
      <c r="AM46" s="1102">
        <f t="shared" si="91"/>
        <v>5748.6271494945031</v>
      </c>
      <c r="AN46" s="1142">
        <f t="shared" si="92"/>
        <v>16172.752863212987</v>
      </c>
      <c r="AO46" s="1416" t="str">
        <f>IF(OR('Recycling - Case 2'!AC116="No",'Recycling - Case 2'!T156="No"), "No", "Yes")</f>
        <v>No</v>
      </c>
      <c r="AP46" s="1101">
        <f t="shared" si="93"/>
        <v>8961.3539772741005</v>
      </c>
      <c r="AQ46" s="1102">
        <f t="shared" si="94"/>
        <v>1365.4610409418001</v>
      </c>
      <c r="AR46" s="1102">
        <f t="shared" si="95"/>
        <v>97.310695502582462</v>
      </c>
      <c r="AS46" s="1102">
        <f t="shared" si="96"/>
        <v>5748.6271494945031</v>
      </c>
      <c r="AT46" s="1142">
        <f t="shared" si="37"/>
        <v>16172.752863212987</v>
      </c>
      <c r="AU46" s="1423" t="str">
        <f>IF(OR('Recycling - Case 2'!AC116="No",'Recycling - Case 2'!T196="No"), "No", "Yes")</f>
        <v>No</v>
      </c>
      <c r="AV46" s="1101">
        <f t="shared" si="63"/>
        <v>8962.3265574088164</v>
      </c>
      <c r="AW46" s="1102">
        <f t="shared" si="64"/>
        <v>829.27334433237445</v>
      </c>
      <c r="AX46" s="1102">
        <f t="shared" si="65"/>
        <v>97.310695502582462</v>
      </c>
      <c r="AY46" s="1102">
        <f t="shared" si="66"/>
        <v>5748.6271494945031</v>
      </c>
      <c r="AZ46" s="1142">
        <f t="shared" si="67"/>
        <v>15637.537746738277</v>
      </c>
      <c r="BA46" s="1423" t="str">
        <f>IF(OR('Recycling - Case 3'!AC116="No",'Recycling - Case 3'!T156="No"), "No", "Yes")</f>
        <v>No</v>
      </c>
      <c r="BB46" s="1101">
        <f t="shared" si="97"/>
        <v>8962.3265574088164</v>
      </c>
      <c r="BC46" s="1102">
        <f t="shared" si="98"/>
        <v>829.27334433237445</v>
      </c>
      <c r="BD46" s="1102">
        <f t="shared" si="99"/>
        <v>97.310695502582462</v>
      </c>
      <c r="BE46" s="1102">
        <f t="shared" si="100"/>
        <v>5748.6271494945031</v>
      </c>
      <c r="BF46" s="1142">
        <f t="shared" si="47"/>
        <v>15637.537746738277</v>
      </c>
      <c r="BG46" s="1423" t="str">
        <f>IF(OR('Recycling - Case 3'!AC116="No",'Recycling - Case 3'!T196="No"), "No", "Yes")</f>
        <v>No</v>
      </c>
      <c r="BH46" s="596">
        <f t="shared" si="48"/>
        <v>2036</v>
      </c>
      <c r="BI46" s="1102">
        <f>'Recycling - Case 1'!BV116</f>
        <v>74.491631104006146</v>
      </c>
      <c r="BJ46" s="417">
        <f>'Recycling - Case 1'!BW116</f>
        <v>0.57557185167336355</v>
      </c>
      <c r="BK46" s="1142">
        <f>'Recycling - Case 1'!BX116</f>
        <v>23.988684664399056</v>
      </c>
      <c r="BL46" s="1101">
        <f>'Recycling - Case 1'!BY116</f>
        <v>74.491631104006146</v>
      </c>
      <c r="BM46" s="417">
        <f>'Recycling - Case 1'!BZ116</f>
        <v>0.57557185167336355</v>
      </c>
      <c r="BN46" s="1142">
        <f>'Recycling - Case 1'!CA116</f>
        <v>23.988684664399056</v>
      </c>
      <c r="BO46" s="1102">
        <f>'Recycling - Case 2'!BV116</f>
        <v>65.451327478667324</v>
      </c>
      <c r="BP46" s="417">
        <f>'Recycling - Case 2'!BW116</f>
        <v>0.74604003103757921</v>
      </c>
      <c r="BQ46" s="1142">
        <f>'Recycling - Case 2'!BX116</f>
        <v>23.988684664399056</v>
      </c>
      <c r="BR46" s="1101">
        <f>'Recycling - Case 2'!BY116</f>
        <v>65.451327478667324</v>
      </c>
      <c r="BS46" s="417">
        <f>'Recycling - Case 2'!BZ116</f>
        <v>0.74604003103757921</v>
      </c>
      <c r="BT46" s="1142">
        <f>'Recycling - Case 2'!CA116</f>
        <v>23.988684664399056</v>
      </c>
      <c r="BU46" s="1102">
        <f>'Recycling - Case 3'!BV116</f>
        <v>65.451327478667324</v>
      </c>
      <c r="BV46" s="417">
        <f>'Recycling - Case 3'!BW116</f>
        <v>0.74604003103757921</v>
      </c>
      <c r="BW46" s="1142">
        <f>'Recycling - Case 3'!BX116</f>
        <v>23.988684664399056</v>
      </c>
      <c r="BX46" s="1101">
        <f>'Recycling - Case 3'!BY116</f>
        <v>65.451327478667324</v>
      </c>
      <c r="BY46" s="417">
        <f>'Recycling - Case 3'!BZ116</f>
        <v>0.74604003103757921</v>
      </c>
      <c r="BZ46" s="1142">
        <f>'Recycling - Case 3'!CA116</f>
        <v>23.988684664399056</v>
      </c>
      <c r="CA46" s="596">
        <v>2036</v>
      </c>
      <c r="CB46" s="649">
        <f>'Recycling - Case 1'!CB116</f>
        <v>0.3263814198918995</v>
      </c>
      <c r="CC46" s="417">
        <f>'Recycling - Case 1'!CC116</f>
        <v>0.2652020629830415</v>
      </c>
      <c r="CD46" s="417">
        <f>'Recycling - Case 1'!CD116</f>
        <v>0.3263814198918995</v>
      </c>
      <c r="CE46" s="525">
        <f>'Recycling - Case 1'!CE116</f>
        <v>0.2652020629830415</v>
      </c>
      <c r="CF46" s="649">
        <f>'Recycling - Case 2'!CB116</f>
        <v>0.34689056443115873</v>
      </c>
      <c r="CG46" s="417">
        <f>'Recycling - Case 2'!CC116</f>
        <v>0.37862802337948709</v>
      </c>
      <c r="CH46" s="417">
        <f>'Recycling - Case 2'!CD116</f>
        <v>0.34689056443115873</v>
      </c>
      <c r="CI46" s="525">
        <f>'Recycling - Case 2'!CE116</f>
        <v>0.37862802337948709</v>
      </c>
      <c r="CJ46" s="649">
        <f>'Recycling - Case 3'!CB116</f>
        <v>0.34689056443115873</v>
      </c>
      <c r="CK46" s="417">
        <f>'Recycling - Case 3'!CC116</f>
        <v>0.37862802337948709</v>
      </c>
      <c r="CL46" s="417">
        <f>'Recycling - Case 3'!CD116</f>
        <v>0.34689056443115873</v>
      </c>
      <c r="CM46" s="525">
        <f>'Recycling - Case 3'!CE116</f>
        <v>0.37862802337948709</v>
      </c>
    </row>
    <row r="47" spans="1:91">
      <c r="A47" s="4">
        <f>'Input data'!A136</f>
        <v>2036</v>
      </c>
      <c r="B47" s="4"/>
      <c r="C47" s="769">
        <f>'4A SWD Case 1'!BG106</f>
        <v>463.19858071856066</v>
      </c>
      <c r="D47" s="3">
        <f>'4B Biological treatment '!T100</f>
        <v>0.75732725509805898</v>
      </c>
      <c r="E47" s="1157">
        <f>'4B Biological treatment '!U100</f>
        <v>34.079726479412649</v>
      </c>
      <c r="F47" s="1157">
        <f>'4B Biological treatment '!W100</f>
        <v>2.044783588764759</v>
      </c>
      <c r="G47" s="952">
        <f>'4C2 Open-burning '!R107</f>
        <v>15.526930244660576</v>
      </c>
      <c r="H47" s="952">
        <f>'4C2 Open-burning '!Z107</f>
        <v>5.2243366645737792</v>
      </c>
      <c r="I47" s="952">
        <f>'4C2 Open-burning '!AH107</f>
        <v>7.2731584070529293E-2</v>
      </c>
      <c r="J47" s="987">
        <f>'4D Wastewater treatment and dis'!AV144</f>
        <v>196.2010884025151</v>
      </c>
      <c r="K47" s="770">
        <f>'4D Wastewater treatment and dis'!AW144</f>
        <v>3.5002648416776503</v>
      </c>
      <c r="L47" s="771">
        <f t="shared" si="69"/>
        <v>9727.1701950897732</v>
      </c>
      <c r="M47" s="772">
        <f t="shared" si="70"/>
        <v>15.903872357059239</v>
      </c>
      <c r="N47" s="771">
        <f t="shared" si="71"/>
        <v>1349.5571685847408</v>
      </c>
      <c r="O47" s="773">
        <f t="shared" si="72"/>
        <v>147.784791262574</v>
      </c>
      <c r="P47" s="771">
        <f t="shared" si="73"/>
        <v>5205.3049573728886</v>
      </c>
      <c r="Q47" s="519">
        <f t="shared" si="74"/>
        <v>9727.1701950897732</v>
      </c>
      <c r="R47" s="521">
        <f t="shared" si="75"/>
        <v>1365.4610409418001</v>
      </c>
      <c r="S47" s="518">
        <f t="shared" si="76"/>
        <v>147.784791262574</v>
      </c>
      <c r="T47" s="519">
        <f t="shared" si="77"/>
        <v>5205.3049573728886</v>
      </c>
      <c r="U47" s="519">
        <f t="shared" si="78"/>
        <v>16445.720984667038</v>
      </c>
      <c r="V47" s="3"/>
      <c r="W47" s="596">
        <f t="shared" si="79"/>
        <v>2037</v>
      </c>
      <c r="X47" s="1101">
        <f t="shared" si="80"/>
        <v>9430.9995350466907</v>
      </c>
      <c r="Y47" s="1102">
        <f t="shared" si="81"/>
        <v>1374.8998096705436</v>
      </c>
      <c r="Z47" s="1102">
        <f t="shared" si="82"/>
        <v>144.19236264300267</v>
      </c>
      <c r="AA47" s="1102">
        <f t="shared" si="83"/>
        <v>5283.4099631601484</v>
      </c>
      <c r="AB47" s="1142">
        <f t="shared" si="22"/>
        <v>16233.501670520385</v>
      </c>
      <c r="AC47" s="1423" t="str">
        <f>IF(OR('Recycling - Case 1'!AC117="No",'Recycling - Case 1'!T157="No"), "No", "Yes")</f>
        <v>Yes</v>
      </c>
      <c r="AD47" s="1101">
        <f t="shared" si="84"/>
        <v>9430.9995350466907</v>
      </c>
      <c r="AE47" s="1102">
        <f t="shared" si="85"/>
        <v>1374.8998096705436</v>
      </c>
      <c r="AF47" s="1102">
        <f t="shared" si="86"/>
        <v>144.19236264300267</v>
      </c>
      <c r="AG47" s="1102">
        <f t="shared" si="87"/>
        <v>5283.4099631601484</v>
      </c>
      <c r="AH47" s="1142">
        <f t="shared" si="60"/>
        <v>16233.501670520385</v>
      </c>
      <c r="AI47" s="1423" t="str">
        <f>IF(OR('Recycling - Case 1'!AI28="No",'Recycling - Case 1'!Z157="No"), "No", "Yes")</f>
        <v>Yes</v>
      </c>
      <c r="AJ47" s="1101">
        <f t="shared" si="88"/>
        <v>8621.069098042346</v>
      </c>
      <c r="AK47" s="1102">
        <f t="shared" si="89"/>
        <v>1374.8998096705436</v>
      </c>
      <c r="AL47" s="1102">
        <f t="shared" si="90"/>
        <v>97.068426554933581</v>
      </c>
      <c r="AM47" s="1102">
        <f t="shared" si="91"/>
        <v>5791.703951956224</v>
      </c>
      <c r="AN47" s="1142">
        <f t="shared" si="92"/>
        <v>15884.741286224047</v>
      </c>
      <c r="AO47" s="1416" t="str">
        <f>IF(OR('Recycling - Case 2'!AC117="No",'Recycling - Case 2'!T157="No"), "No", "Yes")</f>
        <v>Yes</v>
      </c>
      <c r="AP47" s="1101">
        <f t="shared" si="93"/>
        <v>8621.069098042346</v>
      </c>
      <c r="AQ47" s="1102">
        <f t="shared" si="94"/>
        <v>1374.8998096705436</v>
      </c>
      <c r="AR47" s="1102">
        <f t="shared" si="95"/>
        <v>97.068426554933581</v>
      </c>
      <c r="AS47" s="1102">
        <f t="shared" si="96"/>
        <v>5791.703951956224</v>
      </c>
      <c r="AT47" s="1142">
        <f t="shared" si="37"/>
        <v>15884.741286224047</v>
      </c>
      <c r="AU47" s="1423" t="str">
        <f>IF(OR('Recycling - Case 2'!AC117="No",'Recycling - Case 2'!T197="No"), "No", "Yes")</f>
        <v>Yes</v>
      </c>
      <c r="AV47" s="1101">
        <f t="shared" si="63"/>
        <v>8622.1041353285764</v>
      </c>
      <c r="AW47" s="1102">
        <f t="shared" si="64"/>
        <v>835.005708036187</v>
      </c>
      <c r="AX47" s="1102">
        <f t="shared" si="65"/>
        <v>97.068426554933581</v>
      </c>
      <c r="AY47" s="1102">
        <f t="shared" si="66"/>
        <v>5791.703951956224</v>
      </c>
      <c r="AZ47" s="1142">
        <f t="shared" si="67"/>
        <v>15345.882221875921</v>
      </c>
      <c r="BA47" s="1423" t="str">
        <f>IF(OR('Recycling - Case 3'!AC117="No",'Recycling - Case 3'!T157="No"), "No", "Yes")</f>
        <v>Yes</v>
      </c>
      <c r="BB47" s="1101">
        <f t="shared" si="97"/>
        <v>8622.1041353285764</v>
      </c>
      <c r="BC47" s="1102">
        <f t="shared" si="98"/>
        <v>835.005708036187</v>
      </c>
      <c r="BD47" s="1102">
        <f t="shared" si="99"/>
        <v>97.068426554933581</v>
      </c>
      <c r="BE47" s="1102">
        <f t="shared" si="100"/>
        <v>5791.703951956224</v>
      </c>
      <c r="BF47" s="1142">
        <f t="shared" si="47"/>
        <v>15345.882221875921</v>
      </c>
      <c r="BG47" s="1423" t="str">
        <f>IF(OR('Recycling - Case 3'!AC117="No",'Recycling - Case 3'!T197="No"), "No", "Yes")</f>
        <v>Yes</v>
      </c>
      <c r="BH47" s="596">
        <f t="shared" si="48"/>
        <v>2037</v>
      </c>
      <c r="BI47" s="1102">
        <f>'Recycling - Case 1'!BV117</f>
        <v>73.269594915501798</v>
      </c>
      <c r="BJ47" s="417">
        <f>'Recycling - Case 1'!BW117</f>
        <v>0.58291579503401669</v>
      </c>
      <c r="BK47" s="1142">
        <f>'Recycling - Case 1'!BX117</f>
        <v>19.936802299321226</v>
      </c>
      <c r="BL47" s="1101">
        <f>'Recycling - Case 1'!BY117</f>
        <v>73.269594915501798</v>
      </c>
      <c r="BM47" s="417">
        <f>'Recycling - Case 1'!BZ117</f>
        <v>0.58291579503401669</v>
      </c>
      <c r="BN47" s="1142">
        <f>'Recycling - Case 1'!CA117</f>
        <v>19.936802299321226</v>
      </c>
      <c r="BO47" s="1102">
        <f>'Recycling - Case 2'!BV117</f>
        <v>63.812859907632571</v>
      </c>
      <c r="BP47" s="417">
        <f>'Recycling - Case 2'!BW117</f>
        <v>0.75057146805590114</v>
      </c>
      <c r="BQ47" s="1142">
        <f>'Recycling - Case 2'!BX117</f>
        <v>19.936802299321226</v>
      </c>
      <c r="BR47" s="1101">
        <f>'Recycling - Case 2'!BY117</f>
        <v>63.812859907632571</v>
      </c>
      <c r="BS47" s="417">
        <f>'Recycling - Case 2'!BZ117</f>
        <v>0.75057146805590114</v>
      </c>
      <c r="BT47" s="1142">
        <f>'Recycling - Case 2'!CA117</f>
        <v>19.936802299321226</v>
      </c>
      <c r="BU47" s="1102">
        <f>'Recycling - Case 3'!BV117</f>
        <v>63.812859907632571</v>
      </c>
      <c r="BV47" s="417">
        <f>'Recycling - Case 3'!BW117</f>
        <v>0.75057146805590114</v>
      </c>
      <c r="BW47" s="1142">
        <f>'Recycling - Case 3'!BX117</f>
        <v>19.936802299321226</v>
      </c>
      <c r="BX47" s="1101">
        <f>'Recycling - Case 3'!BY117</f>
        <v>63.812859907632571</v>
      </c>
      <c r="BY47" s="417">
        <f>'Recycling - Case 3'!BZ117</f>
        <v>0.75057146805590114</v>
      </c>
      <c r="BZ47" s="1142">
        <f>'Recycling - Case 3'!CA117</f>
        <v>19.936802299321226</v>
      </c>
      <c r="CA47" s="596">
        <v>2037</v>
      </c>
      <c r="CB47" s="649">
        <f>'Recycling - Case 1'!CB117</f>
        <v>0.33344034353106078</v>
      </c>
      <c r="CC47" s="417">
        <f>'Recycling - Case 1'!CC117</f>
        <v>0.25472420898162451</v>
      </c>
      <c r="CD47" s="417">
        <f>'Recycling - Case 1'!CD117</f>
        <v>0.33344034353106078</v>
      </c>
      <c r="CE47" s="525">
        <f>'Recycling - Case 1'!CE117</f>
        <v>0.25472420898162451</v>
      </c>
      <c r="CF47" s="649">
        <f>'Recycling - Case 2'!CB117</f>
        <v>0.34937587514391233</v>
      </c>
      <c r="CG47" s="417">
        <f>'Recycling - Case 2'!CC117</f>
        <v>0.37989494271290059</v>
      </c>
      <c r="CH47" s="417">
        <f>'Recycling - Case 2'!CD117</f>
        <v>0.34937587514391233</v>
      </c>
      <c r="CI47" s="525">
        <f>'Recycling - Case 2'!CE117</f>
        <v>0.37989494271290059</v>
      </c>
      <c r="CJ47" s="649">
        <f>'Recycling - Case 3'!CB117</f>
        <v>0.34937587514391233</v>
      </c>
      <c r="CK47" s="417">
        <f>'Recycling - Case 3'!CC117</f>
        <v>0.37989494271290059</v>
      </c>
      <c r="CL47" s="417">
        <f>'Recycling - Case 3'!CD117</f>
        <v>0.34937587514391233</v>
      </c>
      <c r="CM47" s="525">
        <f>'Recycling - Case 3'!CE117</f>
        <v>0.37989494271290059</v>
      </c>
    </row>
    <row r="48" spans="1:91">
      <c r="A48" s="4">
        <f>'Input data'!A137</f>
        <v>2037</v>
      </c>
      <c r="B48" s="4"/>
      <c r="C48" s="769">
        <f>'4A SWD Case 1'!BG107</f>
        <v>449.09521595460433</v>
      </c>
      <c r="D48" s="3">
        <f>'4B Biological treatment '!T101</f>
        <v>0.76256229044400659</v>
      </c>
      <c r="E48" s="1157">
        <f>'4B Biological treatment '!U101</f>
        <v>34.315303069980288</v>
      </c>
      <c r="F48" s="1157">
        <f>'4B Biological treatment '!W101</f>
        <v>2.0589181841988173</v>
      </c>
      <c r="G48" s="952">
        <f>'4C2 Open-burning '!R108</f>
        <v>15.149493648455612</v>
      </c>
      <c r="H48" s="952">
        <f>'4C2 Open-burning '!Z108</f>
        <v>5.0973408053128288</v>
      </c>
      <c r="I48" s="952">
        <f>'4C2 Open-burning '!AH108</f>
        <v>7.0963587364444025E-2</v>
      </c>
      <c r="J48" s="987">
        <f>'4D Wastewater treatment and dis'!AV145</f>
        <v>199.53318573887742</v>
      </c>
      <c r="K48" s="770">
        <f>'4D Wastewater treatment and dis'!AW145</f>
        <v>3.5264937504636227</v>
      </c>
      <c r="L48" s="771">
        <f t="shared" si="69"/>
        <v>9430.9995350466907</v>
      </c>
      <c r="M48" s="772">
        <f t="shared" si="70"/>
        <v>16.013808099324137</v>
      </c>
      <c r="N48" s="771">
        <f t="shared" si="71"/>
        <v>1358.8860015712194</v>
      </c>
      <c r="O48" s="773">
        <f t="shared" si="72"/>
        <v>144.19236264300267</v>
      </c>
      <c r="P48" s="771">
        <f t="shared" si="73"/>
        <v>5283.4099631601484</v>
      </c>
      <c r="Q48" s="519">
        <f t="shared" si="74"/>
        <v>9430.9995350466907</v>
      </c>
      <c r="R48" s="521">
        <f t="shared" si="75"/>
        <v>1374.8998096705436</v>
      </c>
      <c r="S48" s="518">
        <f t="shared" si="76"/>
        <v>144.19236264300267</v>
      </c>
      <c r="T48" s="519">
        <f t="shared" si="77"/>
        <v>5283.4099631601484</v>
      </c>
      <c r="U48" s="519">
        <f t="shared" si="78"/>
        <v>16233.501670520385</v>
      </c>
      <c r="V48" s="3"/>
      <c r="W48" s="596">
        <f t="shared" si="79"/>
        <v>2038</v>
      </c>
      <c r="X48" s="1101">
        <f t="shared" si="80"/>
        <v>9158.4607922857031</v>
      </c>
      <c r="Y48" s="1102">
        <f t="shared" si="81"/>
        <v>1384.9484087096478</v>
      </c>
      <c r="Z48" s="1102">
        <f t="shared" si="82"/>
        <v>137.73306839778371</v>
      </c>
      <c r="AA48" s="1102">
        <f t="shared" si="83"/>
        <v>5361.1019570060716</v>
      </c>
      <c r="AB48" s="1142">
        <f t="shared" si="22"/>
        <v>16042.244226399205</v>
      </c>
      <c r="AC48" s="1423" t="str">
        <f>IF(OR('Recycling - Case 1'!AC118="No",'Recycling - Case 1'!T158="No"), "No", "Yes")</f>
        <v>Yes</v>
      </c>
      <c r="AD48" s="1101">
        <f t="shared" si="84"/>
        <v>9158.4607922857031</v>
      </c>
      <c r="AE48" s="1102">
        <f t="shared" si="85"/>
        <v>1384.9484087096478</v>
      </c>
      <c r="AF48" s="1102">
        <f t="shared" si="86"/>
        <v>137.73306839778371</v>
      </c>
      <c r="AG48" s="1102">
        <f t="shared" si="87"/>
        <v>5361.1019570060716</v>
      </c>
      <c r="AH48" s="1142">
        <f t="shared" si="60"/>
        <v>16042.244226399205</v>
      </c>
      <c r="AI48" s="1423" t="str">
        <f>IF(OR('Recycling - Case 1'!AI29="No",'Recycling - Case 1'!Z158="No"), "No", "Yes")</f>
        <v>Yes</v>
      </c>
      <c r="AJ48" s="1101">
        <f t="shared" si="88"/>
        <v>8305.2994269871124</v>
      </c>
      <c r="AK48" s="1102">
        <f t="shared" si="89"/>
        <v>1384.9484087096478</v>
      </c>
      <c r="AL48" s="1102">
        <f t="shared" si="90"/>
        <v>96.836822188893308</v>
      </c>
      <c r="AM48" s="1102">
        <f t="shared" si="91"/>
        <v>5833.6984437133642</v>
      </c>
      <c r="AN48" s="1142">
        <f t="shared" si="92"/>
        <v>15620.78310159902</v>
      </c>
      <c r="AO48" s="1416" t="str">
        <f>IF(OR('Recycling - Case 2'!AC118="No",'Recycling - Case 2'!T158="No"), "No", "Yes")</f>
        <v>Yes</v>
      </c>
      <c r="AP48" s="1101">
        <f t="shared" si="93"/>
        <v>8305.2994269871124</v>
      </c>
      <c r="AQ48" s="1102">
        <f t="shared" si="94"/>
        <v>1384.9484087096478</v>
      </c>
      <c r="AR48" s="1102">
        <f t="shared" si="95"/>
        <v>96.836822188893308</v>
      </c>
      <c r="AS48" s="1102">
        <f t="shared" si="96"/>
        <v>5833.6984437133642</v>
      </c>
      <c r="AT48" s="1142">
        <f t="shared" si="37"/>
        <v>15620.78310159902</v>
      </c>
      <c r="AU48" s="1423" t="str">
        <f>IF(OR('Recycling - Case 2'!AC118="No",'Recycling - Case 2'!T198="No"), "No", "Yes")</f>
        <v>Yes</v>
      </c>
      <c r="AV48" s="1101">
        <f t="shared" si="63"/>
        <v>8306.3941766368698</v>
      </c>
      <c r="AW48" s="1102">
        <f t="shared" si="64"/>
        <v>841.10843457407907</v>
      </c>
      <c r="AX48" s="1102">
        <f t="shared" si="65"/>
        <v>96.836822188893308</v>
      </c>
      <c r="AY48" s="1102">
        <f t="shared" si="66"/>
        <v>5833.6984437133642</v>
      </c>
      <c r="AZ48" s="1142">
        <f t="shared" si="67"/>
        <v>15078.037877113205</v>
      </c>
      <c r="BA48" s="1423" t="str">
        <f>IF(OR('Recycling - Case 3'!AC118="No",'Recycling - Case 3'!T158="No"), "No", "Yes")</f>
        <v>Yes</v>
      </c>
      <c r="BB48" s="1101">
        <f t="shared" si="97"/>
        <v>8306.3941766368698</v>
      </c>
      <c r="BC48" s="1102">
        <f t="shared" si="98"/>
        <v>841.10843457407907</v>
      </c>
      <c r="BD48" s="1102">
        <f t="shared" si="99"/>
        <v>96.836822188893308</v>
      </c>
      <c r="BE48" s="1102">
        <f t="shared" si="100"/>
        <v>5833.6984437133642</v>
      </c>
      <c r="BF48" s="1142">
        <f t="shared" si="47"/>
        <v>15078.037877113205</v>
      </c>
      <c r="BG48" s="1423" t="str">
        <f>IF(OR('Recycling - Case 3'!AC118="No",'Recycling - Case 3'!T198="No"), "No", "Yes")</f>
        <v>Yes</v>
      </c>
      <c r="BH48" s="596">
        <f t="shared" si="48"/>
        <v>2038</v>
      </c>
      <c r="BI48" s="1102">
        <f>'Recycling - Case 1'!BV118</f>
        <v>72.073256676196024</v>
      </c>
      <c r="BJ48" s="417">
        <f>'Recycling - Case 1'!BW118</f>
        <v>0.59127250290536937</v>
      </c>
      <c r="BK48" s="1142">
        <f>'Recycling - Case 1'!BX118</f>
        <v>16.174143168204505</v>
      </c>
      <c r="BL48" s="1101">
        <f>'Recycling - Case 1'!BY118</f>
        <v>72.073256676196024</v>
      </c>
      <c r="BM48" s="417">
        <f>'Recycling - Case 1'!BZ118</f>
        <v>0.59127250290536937</v>
      </c>
      <c r="BN48" s="1142">
        <f>'Recycling - Case 1'!CA118</f>
        <v>16.174143168204505</v>
      </c>
      <c r="BO48" s="1102">
        <f>'Recycling - Case 2'!BV118</f>
        <v>63.033497798769481</v>
      </c>
      <c r="BP48" s="417">
        <f>'Recycling - Case 2'!BW118</f>
        <v>0.74748747060287746</v>
      </c>
      <c r="BQ48" s="1142">
        <f>'Recycling - Case 2'!BX118</f>
        <v>16.174143168204505</v>
      </c>
      <c r="BR48" s="1101">
        <f>'Recycling - Case 2'!BY118</f>
        <v>63.033497798769481</v>
      </c>
      <c r="BS48" s="417">
        <f>'Recycling - Case 2'!BZ118</f>
        <v>0.74748747060287746</v>
      </c>
      <c r="BT48" s="1142">
        <f>'Recycling - Case 2'!CA118</f>
        <v>16.174143168204505</v>
      </c>
      <c r="BU48" s="1102">
        <f>'Recycling - Case 3'!BV118</f>
        <v>63.033497798769481</v>
      </c>
      <c r="BV48" s="417">
        <f>'Recycling - Case 3'!BW118</f>
        <v>0.74748747060287746</v>
      </c>
      <c r="BW48" s="1142">
        <f>'Recycling - Case 3'!BX118</f>
        <v>16.174143168204505</v>
      </c>
      <c r="BX48" s="1101">
        <f>'Recycling - Case 3'!BY118</f>
        <v>63.033497798769481</v>
      </c>
      <c r="BY48" s="417">
        <f>'Recycling - Case 3'!BZ118</f>
        <v>0.74748747060287746</v>
      </c>
      <c r="BZ48" s="1142">
        <f>'Recycling - Case 3'!CA118</f>
        <v>16.174143168204505</v>
      </c>
      <c r="CA48" s="596">
        <v>2038</v>
      </c>
      <c r="CB48" s="649">
        <f>'Recycling - Case 1'!CB118</f>
        <v>0.3438171775067399</v>
      </c>
      <c r="CC48" s="417">
        <f>'Recycling - Case 1'!CC118</f>
        <v>0.24572851431527698</v>
      </c>
      <c r="CD48" s="417">
        <f>'Recycling - Case 1'!CD118</f>
        <v>0.3438171775067399</v>
      </c>
      <c r="CE48" s="525">
        <f>'Recycling - Case 1'!CE118</f>
        <v>0.24572851431527698</v>
      </c>
      <c r="CF48" s="649">
        <f>'Recycling - Case 2'!CB118</f>
        <v>0.35176202179330474</v>
      </c>
      <c r="CG48" s="417">
        <f>'Recycling - Case 2'!CC118</f>
        <v>0.37228569708247661</v>
      </c>
      <c r="CH48" s="417">
        <f>'Recycling - Case 2'!CD118</f>
        <v>0.35176202179330474</v>
      </c>
      <c r="CI48" s="525">
        <f>'Recycling - Case 2'!CE118</f>
        <v>0.37228569708247661</v>
      </c>
      <c r="CJ48" s="649">
        <f>'Recycling - Case 3'!CB118</f>
        <v>0.35176202179330474</v>
      </c>
      <c r="CK48" s="417">
        <f>'Recycling - Case 3'!CC118</f>
        <v>0.37228569708247661</v>
      </c>
      <c r="CL48" s="417">
        <f>'Recycling - Case 3'!CD118</f>
        <v>0.35176202179330474</v>
      </c>
      <c r="CM48" s="525">
        <f>'Recycling - Case 3'!CE118</f>
        <v>0.37228569708247661</v>
      </c>
    </row>
    <row r="49" spans="1:91">
      <c r="A49" s="4">
        <f>'Input data'!A138</f>
        <v>2038</v>
      </c>
      <c r="B49" s="4"/>
      <c r="C49" s="769">
        <f>'4A SWD Case 1'!BG108</f>
        <v>436.11718058503351</v>
      </c>
      <c r="D49" s="3">
        <f>'4B Biological treatment '!T102</f>
        <v>0.76813555668865674</v>
      </c>
      <c r="E49" s="1157">
        <f>'4B Biological treatment '!U102</f>
        <v>34.566100050989547</v>
      </c>
      <c r="F49" s="1157">
        <f>'4B Biological treatment '!W102</f>
        <v>2.0739660030593727</v>
      </c>
      <c r="G49" s="952">
        <f>'4C2 Open-burning '!R109</f>
        <v>14.470851344884212</v>
      </c>
      <c r="H49" s="952">
        <f>'4C2 Open-burning '!Z109</f>
        <v>4.8689984470480265</v>
      </c>
      <c r="I49" s="952">
        <f>'4C2 Open-burning '!AH109</f>
        <v>6.7784676338357941E-2</v>
      </c>
      <c r="J49" s="987">
        <f>'4D Wastewater treatment and dis'!AV146</f>
        <v>202.85534400917143</v>
      </c>
      <c r="K49" s="770">
        <f>'4D Wastewater treatment and dis'!AW146</f>
        <v>3.5520636542370059</v>
      </c>
      <c r="L49" s="771">
        <f t="shared" si="69"/>
        <v>9158.4607922857031</v>
      </c>
      <c r="M49" s="772">
        <f t="shared" si="70"/>
        <v>16.130846690461791</v>
      </c>
      <c r="N49" s="771">
        <f t="shared" si="71"/>
        <v>1368.817562019186</v>
      </c>
      <c r="O49" s="773">
        <f t="shared" si="72"/>
        <v>137.73306839778371</v>
      </c>
      <c r="P49" s="771">
        <f t="shared" si="73"/>
        <v>5361.1019570060716</v>
      </c>
      <c r="Q49" s="519">
        <f t="shared" si="74"/>
        <v>9158.4607922857031</v>
      </c>
      <c r="R49" s="521">
        <f t="shared" si="75"/>
        <v>1384.9484087096478</v>
      </c>
      <c r="S49" s="518">
        <f t="shared" si="76"/>
        <v>137.73306839778371</v>
      </c>
      <c r="T49" s="519">
        <f t="shared" si="77"/>
        <v>5361.1019570060716</v>
      </c>
      <c r="U49" s="519">
        <f t="shared" si="78"/>
        <v>16042.244226399205</v>
      </c>
      <c r="V49" s="3"/>
      <c r="W49" s="596">
        <f t="shared" si="79"/>
        <v>2039</v>
      </c>
      <c r="X49" s="1101">
        <f t="shared" si="80"/>
        <v>8905.1974219444892</v>
      </c>
      <c r="Y49" s="1102">
        <f t="shared" si="81"/>
        <v>1395.6185629929073</v>
      </c>
      <c r="Z49" s="1102">
        <f t="shared" si="82"/>
        <v>131.30982150432391</v>
      </c>
      <c r="AA49" s="1102">
        <f t="shared" si="83"/>
        <v>5438.4437695941551</v>
      </c>
      <c r="AB49" s="1142">
        <f t="shared" si="22"/>
        <v>15870.569576035876</v>
      </c>
      <c r="AC49" s="1423" t="str">
        <f>IF(OR('Recycling - Case 1'!AC119="No",'Recycling - Case 1'!T159="No"), "No", "Yes")</f>
        <v>Yes</v>
      </c>
      <c r="AD49" s="1101">
        <f t="shared" si="84"/>
        <v>8905.1974219444892</v>
      </c>
      <c r="AE49" s="1102">
        <f t="shared" si="85"/>
        <v>1395.6185629929073</v>
      </c>
      <c r="AF49" s="1102">
        <f t="shared" si="86"/>
        <v>131.30982150432391</v>
      </c>
      <c r="AG49" s="1102">
        <f t="shared" si="87"/>
        <v>5438.4437695941551</v>
      </c>
      <c r="AH49" s="1142">
        <f t="shared" si="60"/>
        <v>15870.569576035876</v>
      </c>
      <c r="AI49" s="1423" t="str">
        <f>IF(OR('Recycling - Case 1'!AI30="No",'Recycling - Case 1'!Z159="No"), "No", "Yes")</f>
        <v>Yes</v>
      </c>
      <c r="AJ49" s="1101">
        <f t="shared" si="88"/>
        <v>8015.4949700403431</v>
      </c>
      <c r="AK49" s="1102">
        <f t="shared" si="89"/>
        <v>1395.6185629929073</v>
      </c>
      <c r="AL49" s="1102">
        <f t="shared" si="90"/>
        <v>96.614918520904467</v>
      </c>
      <c r="AM49" s="1102">
        <f t="shared" si="91"/>
        <v>5874.7021738249223</v>
      </c>
      <c r="AN49" s="1142">
        <f t="shared" si="92"/>
        <v>15382.430625379078</v>
      </c>
      <c r="AO49" s="1416" t="str">
        <f>IF(OR('Recycling - Case 2'!AC119="No",'Recycling - Case 2'!T159="No"), "No", "Yes")</f>
        <v>Yes</v>
      </c>
      <c r="AP49" s="1101">
        <f t="shared" si="93"/>
        <v>8015.4949700403431</v>
      </c>
      <c r="AQ49" s="1102">
        <f t="shared" si="94"/>
        <v>1395.6185629929073</v>
      </c>
      <c r="AR49" s="1102">
        <f t="shared" si="95"/>
        <v>96.614918520904467</v>
      </c>
      <c r="AS49" s="1102">
        <f t="shared" si="96"/>
        <v>5874.7021738249223</v>
      </c>
      <c r="AT49" s="1142">
        <f t="shared" si="37"/>
        <v>15382.430625379078</v>
      </c>
      <c r="AU49" s="1423" t="str">
        <f>IF(OR('Recycling - Case 2'!AC119="No",'Recycling - Case 2'!T199="No"), "No", "Yes")</f>
        <v>Yes</v>
      </c>
      <c r="AV49" s="1101">
        <f t="shared" si="63"/>
        <v>8016.6468246871309</v>
      </c>
      <c r="AW49" s="1102">
        <f t="shared" si="64"/>
        <v>847.58864474610846</v>
      </c>
      <c r="AX49" s="1102">
        <f t="shared" si="65"/>
        <v>96.614918520904467</v>
      </c>
      <c r="AY49" s="1102">
        <f t="shared" si="66"/>
        <v>5874.7021738249223</v>
      </c>
      <c r="AZ49" s="1142">
        <f t="shared" si="67"/>
        <v>14835.552561779066</v>
      </c>
      <c r="BA49" s="1423" t="str">
        <f>IF(OR('Recycling - Case 3'!AC119="No",'Recycling - Case 3'!T159="No"), "No", "Yes")</f>
        <v>Yes</v>
      </c>
      <c r="BB49" s="1101">
        <f t="shared" si="97"/>
        <v>8016.6468246871309</v>
      </c>
      <c r="BC49" s="1102">
        <f t="shared" si="98"/>
        <v>847.58864474610846</v>
      </c>
      <c r="BD49" s="1102">
        <f t="shared" si="99"/>
        <v>96.614918520904467</v>
      </c>
      <c r="BE49" s="1102">
        <f t="shared" si="100"/>
        <v>5874.7021738249223</v>
      </c>
      <c r="BF49" s="1142">
        <f t="shared" si="47"/>
        <v>14835.552561779066</v>
      </c>
      <c r="BG49" s="1423" t="str">
        <f>IF(OR('Recycling - Case 3'!AC119="No",'Recycling - Case 3'!T199="No"), "No", "Yes")</f>
        <v>Yes</v>
      </c>
      <c r="BH49" s="596">
        <f t="shared" si="48"/>
        <v>2039</v>
      </c>
      <c r="BI49" s="1102">
        <f>'Recycling - Case 1'!BV119</f>
        <v>70.949224741997497</v>
      </c>
      <c r="BJ49" s="417">
        <f>'Recycling - Case 1'!BW119</f>
        <v>0.59985774171973827</v>
      </c>
      <c r="BK49" s="1142">
        <f>'Recycling - Case 1'!BX119</f>
        <v>12.411484037087778</v>
      </c>
      <c r="BL49" s="1101">
        <f>'Recycling - Case 1'!BY119</f>
        <v>70.949224741997497</v>
      </c>
      <c r="BM49" s="417">
        <f>'Recycling - Case 1'!BZ119</f>
        <v>0.59985774171973827</v>
      </c>
      <c r="BN49" s="1142">
        <f>'Recycling - Case 1'!CA119</f>
        <v>12.411484037087778</v>
      </c>
      <c r="BO49" s="1102">
        <f>'Recycling - Case 2'!BV119</f>
        <v>62.293194907230429</v>
      </c>
      <c r="BP49" s="417">
        <f>'Recycling - Case 2'!BW119</f>
        <v>0.74448656888414377</v>
      </c>
      <c r="BQ49" s="1142">
        <f>'Recycling - Case 2'!BX119</f>
        <v>12.411484037087778</v>
      </c>
      <c r="BR49" s="1101">
        <f>'Recycling - Case 2'!BY119</f>
        <v>62.293194907230429</v>
      </c>
      <c r="BS49" s="417">
        <f>'Recycling - Case 2'!BZ119</f>
        <v>0.74448656888414377</v>
      </c>
      <c r="BT49" s="1142">
        <f>'Recycling - Case 2'!CA119</f>
        <v>12.411484037087778</v>
      </c>
      <c r="BU49" s="1102">
        <f>'Recycling - Case 3'!BV119</f>
        <v>62.293194907230429</v>
      </c>
      <c r="BV49" s="417">
        <f>'Recycling - Case 3'!BW119</f>
        <v>0.74448656888414377</v>
      </c>
      <c r="BW49" s="1142">
        <f>'Recycling - Case 3'!BX119</f>
        <v>12.411484037087778</v>
      </c>
      <c r="BX49" s="1101">
        <f>'Recycling - Case 3'!BY119</f>
        <v>62.293194907230429</v>
      </c>
      <c r="BY49" s="417">
        <f>'Recycling - Case 3'!BZ119</f>
        <v>0.74448656888414377</v>
      </c>
      <c r="BZ49" s="1142">
        <f>'Recycling - Case 3'!CA119</f>
        <v>12.411484037087778</v>
      </c>
      <c r="CA49" s="596">
        <v>2039</v>
      </c>
      <c r="CB49" s="649">
        <f>'Recycling - Case 1'!CB119</f>
        <v>0.35397211551867103</v>
      </c>
      <c r="CC49" s="417">
        <f>'Recycling - Case 1'!CC119</f>
        <v>0.23613147101513454</v>
      </c>
      <c r="CD49" s="417">
        <f>'Recycling - Case 1'!CD119</f>
        <v>0.35397211551867103</v>
      </c>
      <c r="CE49" s="525">
        <f>'Recycling - Case 1'!CE119</f>
        <v>0.23613147101513454</v>
      </c>
      <c r="CF49" s="649">
        <f>'Recycling - Case 2'!CB119</f>
        <v>0.35405768073166866</v>
      </c>
      <c r="CG49" s="417">
        <f>'Recycling - Case 2'!CC119</f>
        <v>0.36447091826744249</v>
      </c>
      <c r="CH49" s="417">
        <f>'Recycling - Case 2'!CD119</f>
        <v>0.35405768073166866</v>
      </c>
      <c r="CI49" s="525">
        <f>'Recycling - Case 2'!CE119</f>
        <v>0.36447091826744249</v>
      </c>
      <c r="CJ49" s="649">
        <f>'Recycling - Case 3'!CB119</f>
        <v>0.35405768073166866</v>
      </c>
      <c r="CK49" s="417">
        <f>'Recycling - Case 3'!CC119</f>
        <v>0.36447091826744249</v>
      </c>
      <c r="CL49" s="417">
        <f>'Recycling - Case 3'!CD119</f>
        <v>0.35405768073166866</v>
      </c>
      <c r="CM49" s="525">
        <f>'Recycling - Case 3'!CE119</f>
        <v>0.36447091826744249</v>
      </c>
    </row>
    <row r="50" spans="1:91">
      <c r="A50" s="4">
        <f>'Input data'!A139</f>
        <v>2039</v>
      </c>
      <c r="B50" s="4"/>
      <c r="C50" s="769">
        <f>'4A SWD Case 1'!BG109</f>
        <v>424.05702009259471</v>
      </c>
      <c r="D50" s="3">
        <f>'4B Biological treatment '!T103</f>
        <v>0.77405355684576127</v>
      </c>
      <c r="E50" s="1157">
        <f>'4B Biological treatment '!U103</f>
        <v>34.832410058059253</v>
      </c>
      <c r="F50" s="1157">
        <f>'4B Biological treatment '!W103</f>
        <v>2.0899446034835552</v>
      </c>
      <c r="G50" s="952">
        <f>'4C2 Open-burning '!R110</f>
        <v>13.795996337092619</v>
      </c>
      <c r="H50" s="952">
        <f>'4C2 Open-burning '!Z110</f>
        <v>4.6419303978636588</v>
      </c>
      <c r="I50" s="952">
        <f>'4C2 Open-burning '!AH110</f>
        <v>6.4623505845466042E-2</v>
      </c>
      <c r="J50" s="987">
        <f>'4D Wastewater treatment and dis'!AV147</f>
        <v>206.16973227726049</v>
      </c>
      <c r="K50" s="770">
        <f>'4D Wastewater treatment and dis'!AW147</f>
        <v>3.5770302960376927</v>
      </c>
      <c r="L50" s="771">
        <f t="shared" si="69"/>
        <v>8905.1974219444892</v>
      </c>
      <c r="M50" s="772">
        <f t="shared" si="70"/>
        <v>16.255124693760987</v>
      </c>
      <c r="N50" s="771">
        <f t="shared" si="71"/>
        <v>1379.3634382991463</v>
      </c>
      <c r="O50" s="773">
        <f t="shared" si="72"/>
        <v>131.30982150432391</v>
      </c>
      <c r="P50" s="771">
        <f t="shared" si="73"/>
        <v>5438.4437695941551</v>
      </c>
      <c r="Q50" s="519">
        <f t="shared" si="74"/>
        <v>8905.1974219444892</v>
      </c>
      <c r="R50" s="521">
        <f t="shared" si="75"/>
        <v>1395.6185629929073</v>
      </c>
      <c r="S50" s="518">
        <f t="shared" si="76"/>
        <v>131.30982150432391</v>
      </c>
      <c r="T50" s="519">
        <f t="shared" si="77"/>
        <v>5438.4437695941551</v>
      </c>
      <c r="U50" s="519">
        <f t="shared" si="78"/>
        <v>15870.569576035876</v>
      </c>
      <c r="V50" s="3"/>
      <c r="W50" s="596">
        <f t="shared" si="79"/>
        <v>2040</v>
      </c>
      <c r="X50" s="1101">
        <f t="shared" si="80"/>
        <v>8670.6072032111551</v>
      </c>
      <c r="Y50" s="1102">
        <f t="shared" si="81"/>
        <v>1406.7654980149885</v>
      </c>
      <c r="Z50" s="1102">
        <f t="shared" si="82"/>
        <v>124.92078697606357</v>
      </c>
      <c r="AA50" s="1102">
        <f t="shared" si="83"/>
        <v>5515.3916574359127</v>
      </c>
      <c r="AB50" s="1142">
        <f t="shared" si="22"/>
        <v>15717.685145638119</v>
      </c>
      <c r="AC50" s="1423" t="str">
        <f>IF(OR('Recycling - Case 1'!AC120="No",'Recycling - Case 1'!T160="No"), "No", "Yes")</f>
        <v>Yes</v>
      </c>
      <c r="AD50" s="1101">
        <f t="shared" si="84"/>
        <v>8670.6072032111551</v>
      </c>
      <c r="AE50" s="1102">
        <f t="shared" si="85"/>
        <v>1406.7654980149885</v>
      </c>
      <c r="AF50" s="1102">
        <f t="shared" si="86"/>
        <v>124.92078697606357</v>
      </c>
      <c r="AG50" s="1102">
        <f t="shared" si="87"/>
        <v>5515.3916574359127</v>
      </c>
      <c r="AH50" s="1142">
        <f t="shared" si="60"/>
        <v>15717.685145638119</v>
      </c>
      <c r="AI50" s="1423" t="str">
        <f>IF(OR('Recycling - Case 1'!AI31="No",'Recycling - Case 1'!Z160="No"), "No", "Yes")</f>
        <v>Yes</v>
      </c>
      <c r="AJ50" s="1101">
        <f t="shared" si="88"/>
        <v>7750.6970436965184</v>
      </c>
      <c r="AK50" s="1102">
        <f t="shared" si="89"/>
        <v>1406.7654980149885</v>
      </c>
      <c r="AL50" s="1102">
        <f t="shared" si="90"/>
        <v>96.402434791856422</v>
      </c>
      <c r="AM50" s="1102">
        <f t="shared" si="91"/>
        <v>5914.6897503693453</v>
      </c>
      <c r="AN50" s="1142">
        <f t="shared" si="92"/>
        <v>15168.55472687271</v>
      </c>
      <c r="AO50" s="1416" t="str">
        <f>IF(OR('Recycling - Case 2'!AC120="No",'Recycling - Case 2'!T160="No"), "No", "Yes")</f>
        <v>Yes</v>
      </c>
      <c r="AP50" s="1101">
        <f t="shared" si="93"/>
        <v>7750.6970436965184</v>
      </c>
      <c r="AQ50" s="1102">
        <f t="shared" si="94"/>
        <v>1406.7654980149885</v>
      </c>
      <c r="AR50" s="1102">
        <f t="shared" si="95"/>
        <v>96.402434791856422</v>
      </c>
      <c r="AS50" s="1102">
        <f t="shared" si="96"/>
        <v>5914.6897503693453</v>
      </c>
      <c r="AT50" s="1142">
        <f t="shared" si="37"/>
        <v>15168.55472687271</v>
      </c>
      <c r="AU50" s="1423" t="str">
        <f>IF(OR('Recycling - Case 2'!AC120="No",'Recycling - Case 2'!T200="No"), "No", "Yes")</f>
        <v>Yes</v>
      </c>
      <c r="AV50" s="1101">
        <f t="shared" si="63"/>
        <v>7751.9035272891842</v>
      </c>
      <c r="AW50" s="1102">
        <f t="shared" si="64"/>
        <v>854.35841393589146</v>
      </c>
      <c r="AX50" s="1102">
        <f t="shared" si="65"/>
        <v>96.402434791856408</v>
      </c>
      <c r="AY50" s="1102">
        <f t="shared" si="66"/>
        <v>5914.6897503693453</v>
      </c>
      <c r="AZ50" s="1142">
        <f t="shared" si="67"/>
        <v>14617.354126386277</v>
      </c>
      <c r="BA50" s="1423" t="str">
        <f>IF(OR('Recycling - Case 3'!AC120="No",'Recycling - Case 3'!T160="No"), "No", "Yes")</f>
        <v>Yes</v>
      </c>
      <c r="BB50" s="1101">
        <f t="shared" si="97"/>
        <v>7751.9035272891842</v>
      </c>
      <c r="BC50" s="1102">
        <f t="shared" si="98"/>
        <v>854.35841393589146</v>
      </c>
      <c r="BD50" s="1102">
        <f t="shared" si="99"/>
        <v>96.402434791856408</v>
      </c>
      <c r="BE50" s="1102">
        <f t="shared" si="100"/>
        <v>5914.6897503693453</v>
      </c>
      <c r="BF50" s="1142">
        <f t="shared" si="47"/>
        <v>14617.354126386277</v>
      </c>
      <c r="BG50" s="1423" t="str">
        <f>IF(OR('Recycling - Case 3'!AC120="No",'Recycling - Case 3'!T200="No"), "No", "Yes")</f>
        <v>Yes</v>
      </c>
      <c r="BH50" s="596">
        <f t="shared" si="48"/>
        <v>2040</v>
      </c>
      <c r="BI50" s="1102">
        <f>'Recycling - Case 1'!BV120</f>
        <v>69.886833804900618</v>
      </c>
      <c r="BJ50" s="417">
        <f>'Recycling - Case 1'!BW120</f>
        <v>0.6086125807326902</v>
      </c>
      <c r="BK50" s="1142">
        <f>'Recycling - Case 1'!BX120</f>
        <v>8.648824905971054</v>
      </c>
      <c r="BL50" s="1101">
        <f>'Recycling - Case 1'!BY120</f>
        <v>69.886833804900618</v>
      </c>
      <c r="BM50" s="417">
        <f>'Recycling - Case 1'!BZ120</f>
        <v>0.6086125807326902</v>
      </c>
      <c r="BN50" s="1142">
        <f>'Recycling - Case 1'!CA120</f>
        <v>8.648824905971054</v>
      </c>
      <c r="BO50" s="1102">
        <f>'Recycling - Case 2'!BV120</f>
        <v>61.582439713021515</v>
      </c>
      <c r="BP50" s="417">
        <f>'Recycling - Case 2'!BW120</f>
        <v>0.74153755453521497</v>
      </c>
      <c r="BQ50" s="1142">
        <f>'Recycling - Case 2'!BX120</f>
        <v>8.648824905971054</v>
      </c>
      <c r="BR50" s="1101">
        <f>'Recycling - Case 2'!BY120</f>
        <v>61.582439713021515</v>
      </c>
      <c r="BS50" s="417">
        <f>'Recycling - Case 2'!BZ120</f>
        <v>0.74153755453521497</v>
      </c>
      <c r="BT50" s="1142">
        <f>'Recycling - Case 2'!CA120</f>
        <v>8.648824905971054</v>
      </c>
      <c r="BU50" s="1102">
        <f>'Recycling - Case 3'!BV120</f>
        <v>61.582439713021515</v>
      </c>
      <c r="BV50" s="417">
        <f>'Recycling - Case 3'!BW120</f>
        <v>0.74153755453521497</v>
      </c>
      <c r="BW50" s="1142">
        <f>'Recycling - Case 3'!BX120</f>
        <v>8.648824905971054</v>
      </c>
      <c r="BX50" s="1101">
        <f>'Recycling - Case 3'!BY120</f>
        <v>61.582439713021515</v>
      </c>
      <c r="BY50" s="417">
        <f>'Recycling - Case 3'!BZ120</f>
        <v>0.74153755453521497</v>
      </c>
      <c r="BZ50" s="1142">
        <f>'Recycling - Case 3'!CA120</f>
        <v>8.648824905971054</v>
      </c>
      <c r="CA50" s="596">
        <v>2040</v>
      </c>
      <c r="CB50" s="649">
        <f>'Recycling - Case 1'!CB120</f>
        <v>0.36391387047670576</v>
      </c>
      <c r="CC50" s="417">
        <f>'Recycling - Case 1'!CC120</f>
        <v>0.22581576677277726</v>
      </c>
      <c r="CD50" s="417">
        <f>'Recycling - Case 1'!CD120</f>
        <v>0.36391387047670576</v>
      </c>
      <c r="CE50" s="525">
        <f>'Recycling - Case 1'!CE120</f>
        <v>0.22581576677277726</v>
      </c>
      <c r="CF50" s="649">
        <f>'Recycling - Case 2'!CB120</f>
        <v>0.35626461992319958</v>
      </c>
      <c r="CG50" s="417">
        <f>'Recycling - Case 2'!CC120</f>
        <v>0.35639090656888506</v>
      </c>
      <c r="CH50" s="417">
        <f>'Recycling - Case 2'!CD120</f>
        <v>0.35626461992319958</v>
      </c>
      <c r="CI50" s="525">
        <f>'Recycling - Case 2'!CE120</f>
        <v>0.35639090656888506</v>
      </c>
      <c r="CJ50" s="649">
        <f>'Recycling - Case 3'!CB120</f>
        <v>0.35626461992319958</v>
      </c>
      <c r="CK50" s="417">
        <f>'Recycling - Case 3'!CC120</f>
        <v>0.35639090656888506</v>
      </c>
      <c r="CL50" s="417">
        <f>'Recycling - Case 3'!CD120</f>
        <v>0.35626461992319958</v>
      </c>
      <c r="CM50" s="525">
        <f>'Recycling - Case 3'!CE120</f>
        <v>0.35639090656888506</v>
      </c>
    </row>
    <row r="51" spans="1:91">
      <c r="A51" s="4">
        <f>'Input data'!A140</f>
        <v>2040</v>
      </c>
      <c r="B51" s="4"/>
      <c r="C51" s="769">
        <f>'4A SWD Case 1'!BG110</f>
        <v>412.88605729576932</v>
      </c>
      <c r="D51" s="3">
        <f>'4B Biological treatment '!T104</f>
        <v>0.78023599446200143</v>
      </c>
      <c r="E51" s="1157">
        <f>'4B Biological treatment '!U104</f>
        <v>35.110619750790065</v>
      </c>
      <c r="F51" s="1157">
        <f>'4B Biological treatment '!W104</f>
        <v>2.1066371850474037</v>
      </c>
      <c r="G51" s="952">
        <f>'4C2 Open-burning '!R111</f>
        <v>13.124735833196986</v>
      </c>
      <c r="H51" s="952">
        <f>'4C2 Open-burning '!Z111</f>
        <v>4.4160717891932046</v>
      </c>
      <c r="I51" s="952">
        <f>'4C2 Open-burning '!AH111</f>
        <v>6.1479172805836382E-2</v>
      </c>
      <c r="J51" s="987">
        <f>'4D Wastewater treatment and dis'!AV148</f>
        <v>209.47449575093481</v>
      </c>
      <c r="K51" s="770">
        <f>'4D Wastewater treatment and dis'!AW148</f>
        <v>3.6013782150525211</v>
      </c>
      <c r="L51" s="771">
        <f t="shared" si="69"/>
        <v>8670.6072032111551</v>
      </c>
      <c r="M51" s="772">
        <f t="shared" si="70"/>
        <v>16.38495588370203</v>
      </c>
      <c r="N51" s="771">
        <f t="shared" si="71"/>
        <v>1390.3805421312863</v>
      </c>
      <c r="O51" s="773">
        <f t="shared" si="72"/>
        <v>124.92078697606357</v>
      </c>
      <c r="P51" s="771">
        <f t="shared" si="73"/>
        <v>5515.3916574359127</v>
      </c>
      <c r="Q51" s="519">
        <f t="shared" si="74"/>
        <v>8670.6072032111551</v>
      </c>
      <c r="R51" s="521">
        <f t="shared" si="75"/>
        <v>1406.7654980149885</v>
      </c>
      <c r="S51" s="518">
        <f t="shared" si="76"/>
        <v>124.92078697606357</v>
      </c>
      <c r="T51" s="519">
        <f t="shared" si="77"/>
        <v>5515.3916574359127</v>
      </c>
      <c r="U51" s="519">
        <f t="shared" si="78"/>
        <v>15717.685145638119</v>
      </c>
      <c r="V51" s="3"/>
      <c r="W51" s="596">
        <f t="shared" si="79"/>
        <v>2041</v>
      </c>
      <c r="X51" s="1101">
        <f t="shared" si="80"/>
        <v>8454.0982031073381</v>
      </c>
      <c r="Y51" s="1102">
        <f t="shared" si="81"/>
        <v>1418.2854075702865</v>
      </c>
      <c r="Z51" s="1102">
        <f t="shared" si="82"/>
        <v>118.56420080653979</v>
      </c>
      <c r="AA51" s="1102">
        <f t="shared" si="83"/>
        <v>5591.9016541634264</v>
      </c>
      <c r="AB51" s="1142">
        <f t="shared" si="22"/>
        <v>15582.849465647592</v>
      </c>
      <c r="AC51" s="1423" t="str">
        <f>IF(OR('Recycling - Case 1'!AC121="No",'Recycling - Case 1'!T161="No"), "No", "Yes")</f>
        <v>Yes</v>
      </c>
      <c r="AD51" s="1101">
        <f t="shared" si="84"/>
        <v>8454.0982031073381</v>
      </c>
      <c r="AE51" s="1102">
        <f t="shared" si="85"/>
        <v>1418.2854075702865</v>
      </c>
      <c r="AF51" s="1102">
        <f t="shared" si="86"/>
        <v>118.56420080653979</v>
      </c>
      <c r="AG51" s="1102">
        <f t="shared" si="87"/>
        <v>5591.9016541634264</v>
      </c>
      <c r="AH51" s="1142">
        <f t="shared" si="60"/>
        <v>15582.849465647592</v>
      </c>
      <c r="AI51" s="1423" t="str">
        <f>IF(OR('Recycling - Case 1'!AI32="No",'Recycling - Case 1'!Z161="No"), "No", "Yes")</f>
        <v>Yes</v>
      </c>
      <c r="AJ51" s="1101">
        <f t="shared" si="88"/>
        <v>7509.9829728743662</v>
      </c>
      <c r="AK51" s="1102">
        <f t="shared" si="89"/>
        <v>1418.2854075702865</v>
      </c>
      <c r="AL51" s="1102">
        <f t="shared" si="90"/>
        <v>96.199105619208879</v>
      </c>
      <c r="AM51" s="1102">
        <f t="shared" si="91"/>
        <v>5953.6362741626599</v>
      </c>
      <c r="AN51" s="1142">
        <f t="shared" si="92"/>
        <v>14978.103760226522</v>
      </c>
      <c r="AO51" s="1416" t="str">
        <f>IF(OR('Recycling - Case 2'!AC121="No",'Recycling - Case 2'!T161="No"), "No", "Yes")</f>
        <v>Yes</v>
      </c>
      <c r="AP51" s="1101">
        <f t="shared" si="93"/>
        <v>7509.9829728743662</v>
      </c>
      <c r="AQ51" s="1102">
        <f t="shared" si="94"/>
        <v>1418.2854075702865</v>
      </c>
      <c r="AR51" s="1102">
        <f t="shared" si="95"/>
        <v>96.199105619208879</v>
      </c>
      <c r="AS51" s="1102">
        <f t="shared" si="96"/>
        <v>5953.6362741626599</v>
      </c>
      <c r="AT51" s="1142">
        <f t="shared" si="37"/>
        <v>14978.103760226522</v>
      </c>
      <c r="AU51" s="1423" t="str">
        <f>IF(OR('Recycling - Case 2'!AC121="No",'Recycling - Case 2'!T201="No"), "No", "Yes")</f>
        <v>Yes</v>
      </c>
      <c r="AV51" s="1101">
        <f t="shared" si="63"/>
        <v>7511.2417325038277</v>
      </c>
      <c r="AW51" s="1102">
        <f t="shared" si="64"/>
        <v>861.35469844118882</v>
      </c>
      <c r="AX51" s="1102">
        <f t="shared" si="65"/>
        <v>96.199105619208879</v>
      </c>
      <c r="AY51" s="1102">
        <f t="shared" si="66"/>
        <v>5953.6362741626599</v>
      </c>
      <c r="AZ51" s="1142">
        <f t="shared" si="67"/>
        <v>14422.431810726886</v>
      </c>
      <c r="BA51" s="1423" t="str">
        <f>IF(OR('Recycling - Case 3'!AC121="No",'Recycling - Case 3'!T161="No"), "No", "Yes")</f>
        <v>Yes</v>
      </c>
      <c r="BB51" s="1101">
        <f t="shared" si="97"/>
        <v>7511.2417325038277</v>
      </c>
      <c r="BC51" s="1102">
        <f t="shared" si="98"/>
        <v>861.35469844118882</v>
      </c>
      <c r="BD51" s="1102">
        <f t="shared" si="99"/>
        <v>96.199105619208879</v>
      </c>
      <c r="BE51" s="1102">
        <f t="shared" si="100"/>
        <v>5953.6362741626599</v>
      </c>
      <c r="BF51" s="1142">
        <f t="shared" si="47"/>
        <v>14422.431810726886</v>
      </c>
      <c r="BG51" s="1423" t="str">
        <f>IF(OR('Recycling - Case 3'!AC121="No",'Recycling - Case 3'!T201="No"), "No", "Yes")</f>
        <v>Yes</v>
      </c>
      <c r="BH51" s="596">
        <f t="shared" si="48"/>
        <v>2041</v>
      </c>
      <c r="BI51" s="1102">
        <f>'Recycling - Case 1'!BV121</f>
        <v>68.977120525296513</v>
      </c>
      <c r="BJ51" s="417">
        <f>'Recycling - Case 1'!BW121</f>
        <v>0.62477431492191726</v>
      </c>
      <c r="BK51" s="1142">
        <f>'Recycling - Case 1'!BX121</f>
        <v>7.7028812953237189</v>
      </c>
      <c r="BL51" s="1101">
        <f>'Recycling - Case 1'!BY121</f>
        <v>68.977120525296513</v>
      </c>
      <c r="BM51" s="417">
        <f>'Recycling - Case 1'!BZ121</f>
        <v>0.62477431492191726</v>
      </c>
      <c r="BN51" s="1142">
        <f>'Recycling - Case 1'!CA121</f>
        <v>7.7028812953237189</v>
      </c>
      <c r="BO51" s="1102">
        <f>'Recycling - Case 2'!BV121</f>
        <v>62.021086616180682</v>
      </c>
      <c r="BP51" s="417">
        <f>'Recycling - Case 2'!BW121</f>
        <v>0.74336554171621483</v>
      </c>
      <c r="BQ51" s="1142">
        <f>'Recycling - Case 2'!BX121</f>
        <v>7.7028812953237189</v>
      </c>
      <c r="BR51" s="1101">
        <f>'Recycling - Case 2'!BY121</f>
        <v>62.021086616180682</v>
      </c>
      <c r="BS51" s="417">
        <f>'Recycling - Case 2'!BZ121</f>
        <v>0.74336554171621483</v>
      </c>
      <c r="BT51" s="1142">
        <f>'Recycling - Case 2'!CA121</f>
        <v>7.7028812953237189</v>
      </c>
      <c r="BU51" s="1102">
        <f>'Recycling - Case 3'!BV121</f>
        <v>62.021086616180682</v>
      </c>
      <c r="BV51" s="417">
        <f>'Recycling - Case 3'!BW121</f>
        <v>0.74336554171621483</v>
      </c>
      <c r="BW51" s="1142">
        <f>'Recycling - Case 3'!BX121</f>
        <v>7.7028812953237189</v>
      </c>
      <c r="BX51" s="1101">
        <f>'Recycling - Case 3'!BY121</f>
        <v>62.021086616180682</v>
      </c>
      <c r="BY51" s="417">
        <f>'Recycling - Case 3'!BZ121</f>
        <v>0.74336554171621483</v>
      </c>
      <c r="BZ51" s="1142">
        <f>'Recycling - Case 3'!CA121</f>
        <v>7.7028812953237189</v>
      </c>
      <c r="CA51" s="596">
        <v>2041</v>
      </c>
      <c r="CB51" s="649">
        <f>'Recycling - Case 1'!CB121</f>
        <v>0.37365087947772324</v>
      </c>
      <c r="CC51" s="417">
        <f>'Recycling - Case 1'!CC121</f>
        <v>0.2465961388608584</v>
      </c>
      <c r="CD51" s="417">
        <f>'Recycling - Case 1'!CD121</f>
        <v>0.37365087947772324</v>
      </c>
      <c r="CE51" s="525">
        <f>'Recycling - Case 1'!CE121</f>
        <v>0.2465961388608584</v>
      </c>
      <c r="CF51" s="649">
        <f>'Recycling - Case 2'!CB121</f>
        <v>0.35838452810832588</v>
      </c>
      <c r="CG51" s="417">
        <f>'Recycling - Case 2'!CC121</f>
        <v>0.35871453382957752</v>
      </c>
      <c r="CH51" s="417">
        <f>'Recycling - Case 2'!CD121</f>
        <v>0.35838452810832588</v>
      </c>
      <c r="CI51" s="525">
        <f>'Recycling - Case 2'!CE121</f>
        <v>0.35871453382957752</v>
      </c>
      <c r="CJ51" s="649">
        <f>'Recycling - Case 3'!CB121</f>
        <v>0.35838452810832588</v>
      </c>
      <c r="CK51" s="417">
        <f>'Recycling - Case 3'!CC121</f>
        <v>0.35871453382957752</v>
      </c>
      <c r="CL51" s="417">
        <f>'Recycling - Case 3'!CD121</f>
        <v>0.35838452810832588</v>
      </c>
      <c r="CM51" s="525">
        <f>'Recycling - Case 3'!CE121</f>
        <v>0.35871453382957752</v>
      </c>
    </row>
    <row r="52" spans="1:91">
      <c r="A52" s="4">
        <f>'Input data'!A141</f>
        <v>2041</v>
      </c>
      <c r="B52" s="4"/>
      <c r="C52" s="769">
        <f>'4A SWD Case 1'!BG111</f>
        <v>402.57610490987327</v>
      </c>
      <c r="D52" s="3">
        <f>'4B Biological treatment '!T105</f>
        <v>0.78662529538008119</v>
      </c>
      <c r="E52" s="1157">
        <f>'4B Biological treatment '!U105</f>
        <v>35.398138292103653</v>
      </c>
      <c r="F52" s="1157">
        <f>'4B Biological treatment '!W105</f>
        <v>2.1238882975262192</v>
      </c>
      <c r="G52" s="952">
        <f>'4C2 Open-burning '!R112</f>
        <v>12.456884498799459</v>
      </c>
      <c r="H52" s="952">
        <f>'4C2 Open-burning '!Z112</f>
        <v>4.1913602616858698</v>
      </c>
      <c r="I52" s="952">
        <f>'4C2 Open-burning '!AH112</f>
        <v>5.8350809072055046E-2</v>
      </c>
      <c r="J52" s="987">
        <f>'4D Wastewater treatment and dis'!AV149</f>
        <v>212.76776459578866</v>
      </c>
      <c r="K52" s="770">
        <f>'4D Wastewater treatment and dis'!AW149</f>
        <v>3.6250922504898839</v>
      </c>
      <c r="L52" s="771">
        <f t="shared" si="69"/>
        <v>8454.0982031073381</v>
      </c>
      <c r="M52" s="772">
        <f t="shared" si="70"/>
        <v>16.519131202981704</v>
      </c>
      <c r="N52" s="771">
        <f t="shared" si="71"/>
        <v>1401.7662763673047</v>
      </c>
      <c r="O52" s="773">
        <f t="shared" si="72"/>
        <v>118.56420080653979</v>
      </c>
      <c r="P52" s="771">
        <f t="shared" si="73"/>
        <v>5591.9016541634264</v>
      </c>
      <c r="Q52" s="519">
        <f t="shared" si="74"/>
        <v>8454.0982031073381</v>
      </c>
      <c r="R52" s="521">
        <f t="shared" si="75"/>
        <v>1418.2854075702865</v>
      </c>
      <c r="S52" s="518">
        <f t="shared" si="76"/>
        <v>118.56420080653979</v>
      </c>
      <c r="T52" s="519">
        <f t="shared" si="77"/>
        <v>5591.9016541634264</v>
      </c>
      <c r="U52" s="519">
        <f t="shared" si="78"/>
        <v>15582.849465647592</v>
      </c>
      <c r="V52" s="3"/>
      <c r="W52" s="596">
        <f t="shared" si="79"/>
        <v>2042</v>
      </c>
      <c r="X52" s="1101">
        <f t="shared" si="80"/>
        <v>8242.2012346526135</v>
      </c>
      <c r="Y52" s="1102">
        <f t="shared" si="81"/>
        <v>1429.0954907760279</v>
      </c>
      <c r="Z52" s="1102">
        <f t="shared" si="82"/>
        <v>112.23836556612618</v>
      </c>
      <c r="AA52" s="1102">
        <f t="shared" si="83"/>
        <v>5667.9296114605459</v>
      </c>
      <c r="AB52" s="1142">
        <f t="shared" si="22"/>
        <v>15451.464702455314</v>
      </c>
      <c r="AC52" s="1423" t="str">
        <f>IF(OR('Recycling - Case 1'!AC122="No",'Recycling - Case 1'!T162="No"), "No", "Yes")</f>
        <v>Yes</v>
      </c>
      <c r="AD52" s="1101">
        <f t="shared" si="84"/>
        <v>8242.2012346526135</v>
      </c>
      <c r="AE52" s="1102">
        <f t="shared" si="85"/>
        <v>1429.0954907760279</v>
      </c>
      <c r="AF52" s="1102">
        <f t="shared" si="86"/>
        <v>112.23836556612618</v>
      </c>
      <c r="AG52" s="1102">
        <f t="shared" si="87"/>
        <v>5667.9296114605459</v>
      </c>
      <c r="AH52" s="1142">
        <f t="shared" si="60"/>
        <v>15451.464702455314</v>
      </c>
      <c r="AI52" s="1423" t="str">
        <f>IF(OR('Recycling - Case 1'!AI33="No",'Recycling - Case 1'!Z162="No"), "No", "Yes")</f>
        <v>Yes</v>
      </c>
      <c r="AJ52" s="1101">
        <f t="shared" si="88"/>
        <v>7284.4456043925375</v>
      </c>
      <c r="AK52" s="1102">
        <f t="shared" si="89"/>
        <v>1429.0954907760279</v>
      </c>
      <c r="AL52" s="1102">
        <f t="shared" si="90"/>
        <v>96.004680214069509</v>
      </c>
      <c r="AM52" s="1102">
        <f t="shared" si="91"/>
        <v>5991.5173644446713</v>
      </c>
      <c r="AN52" s="1142">
        <f t="shared" si="92"/>
        <v>14801.063139827307</v>
      </c>
      <c r="AO52" s="1416" t="str">
        <f>IF(OR('Recycling - Case 2'!AC122="No",'Recycling - Case 2'!T162="No"), "No", "Yes")</f>
        <v>Yes</v>
      </c>
      <c r="AP52" s="1101">
        <f t="shared" si="93"/>
        <v>7284.4456043925375</v>
      </c>
      <c r="AQ52" s="1102">
        <f t="shared" si="94"/>
        <v>1429.0954907760279</v>
      </c>
      <c r="AR52" s="1102">
        <f t="shared" si="95"/>
        <v>96.004680214069509</v>
      </c>
      <c r="AS52" s="1102">
        <f t="shared" si="96"/>
        <v>5991.5173644446713</v>
      </c>
      <c r="AT52" s="1142">
        <f t="shared" si="37"/>
        <v>14801.063139827307</v>
      </c>
      <c r="AU52" s="1423" t="str">
        <f>IF(OR('Recycling - Case 2'!AC122="No",'Recycling - Case 2'!T202="No"), "No", "Yes")</f>
        <v>Yes</v>
      </c>
      <c r="AV52" s="1101">
        <f t="shared" si="63"/>
        <v>7285.754402604708</v>
      </c>
      <c r="AW52" s="1102">
        <f t="shared" si="64"/>
        <v>867.91989040474232</v>
      </c>
      <c r="AX52" s="1102">
        <f t="shared" si="65"/>
        <v>96.004680214069509</v>
      </c>
      <c r="AY52" s="1102">
        <f t="shared" si="66"/>
        <v>5991.5173644446713</v>
      </c>
      <c r="AZ52" s="1142">
        <f t="shared" si="67"/>
        <v>14241.196337668191</v>
      </c>
      <c r="BA52" s="1423" t="str">
        <f>IF(OR('Recycling - Case 3'!AC122="No",'Recycling - Case 3'!T162="No"), "No", "Yes")</f>
        <v>Yes</v>
      </c>
      <c r="BB52" s="1101">
        <f t="shared" si="97"/>
        <v>7285.754402604708</v>
      </c>
      <c r="BC52" s="1102">
        <f t="shared" si="98"/>
        <v>867.91989040474232</v>
      </c>
      <c r="BD52" s="1102">
        <f t="shared" si="99"/>
        <v>96.004680214069509</v>
      </c>
      <c r="BE52" s="1102">
        <f t="shared" si="100"/>
        <v>5991.5173644446713</v>
      </c>
      <c r="BF52" s="1142">
        <f t="shared" si="47"/>
        <v>14241.196337668191</v>
      </c>
      <c r="BG52" s="1423" t="str">
        <f>IF(OR('Recycling - Case 3'!AC122="No",'Recycling - Case 3'!T202="No"), "No", "Yes")</f>
        <v>Yes</v>
      </c>
      <c r="BH52" s="596">
        <f t="shared" si="48"/>
        <v>2042</v>
      </c>
      <c r="BI52" s="1102">
        <f>'Recycling - Case 1'!BV122</f>
        <v>68.09072934335066</v>
      </c>
      <c r="BJ52" s="417">
        <f>'Recycling - Case 1'!BW122</f>
        <v>0.6404488616339179</v>
      </c>
      <c r="BK52" s="1142">
        <f>'Recycling - Case 1'!BX122</f>
        <v>6.7569376846763856</v>
      </c>
      <c r="BL52" s="1101">
        <f>'Recycling - Case 1'!BY122</f>
        <v>68.09072934335066</v>
      </c>
      <c r="BM52" s="417">
        <f>'Recycling - Case 1'!BZ122</f>
        <v>0.6404488616339179</v>
      </c>
      <c r="BN52" s="1142">
        <f>'Recycling - Case 1'!CA122</f>
        <v>6.7569376846763856</v>
      </c>
      <c r="BO52" s="1102">
        <f>'Recycling - Case 2'!BV122</f>
        <v>62.411606325653402</v>
      </c>
      <c r="BP52" s="417">
        <f>'Recycling - Case 2'!BW122</f>
        <v>0.74497134582846192</v>
      </c>
      <c r="BQ52" s="1142">
        <f>'Recycling - Case 2'!BX122</f>
        <v>6.7569376846763856</v>
      </c>
      <c r="BR52" s="1101">
        <f>'Recycling - Case 2'!BY122</f>
        <v>62.411606325653402</v>
      </c>
      <c r="BS52" s="417">
        <f>'Recycling - Case 2'!BZ122</f>
        <v>0.74497134582846192</v>
      </c>
      <c r="BT52" s="1142">
        <f>'Recycling - Case 2'!CA122</f>
        <v>6.7569376846763856</v>
      </c>
      <c r="BU52" s="1102">
        <f>'Recycling - Case 3'!BV122</f>
        <v>62.411606325653402</v>
      </c>
      <c r="BV52" s="417">
        <f>'Recycling - Case 3'!BW122</f>
        <v>0.74497134582846192</v>
      </c>
      <c r="BW52" s="1142">
        <f>'Recycling - Case 3'!BX122</f>
        <v>6.7569376846763856</v>
      </c>
      <c r="BX52" s="1101">
        <f>'Recycling - Case 3'!BY122</f>
        <v>62.411606325653402</v>
      </c>
      <c r="BY52" s="417">
        <f>'Recycling - Case 3'!BZ122</f>
        <v>0.74497134582846192</v>
      </c>
      <c r="BZ52" s="1142">
        <f>'Recycling - Case 3'!CA122</f>
        <v>6.7569376846763856</v>
      </c>
      <c r="CA52" s="596">
        <v>2042</v>
      </c>
      <c r="CB52" s="649">
        <f>'Recycling - Case 1'!CB122</f>
        <v>0.38319131748222313</v>
      </c>
      <c r="CC52" s="417">
        <f>'Recycling - Case 1'!CC122</f>
        <v>0.26530707351959593</v>
      </c>
      <c r="CD52" s="417">
        <f>'Recycling - Case 1'!CD122</f>
        <v>0.38319131748222313</v>
      </c>
      <c r="CE52" s="525">
        <f>'Recycling - Case 1'!CE122</f>
        <v>0.26530707351959593</v>
      </c>
      <c r="CF52" s="649">
        <f>'Recycling - Case 2'!CB122</f>
        <v>0.36041901734796378</v>
      </c>
      <c r="CG52" s="417">
        <f>'Recycling - Case 2'!CC122</f>
        <v>0.36063480048691077</v>
      </c>
      <c r="CH52" s="417">
        <f>'Recycling - Case 2'!CD122</f>
        <v>0.36041901734796378</v>
      </c>
      <c r="CI52" s="525">
        <f>'Recycling - Case 2'!CE122</f>
        <v>0.36063480048691077</v>
      </c>
      <c r="CJ52" s="649">
        <f>'Recycling - Case 3'!CB122</f>
        <v>0.36041901734796378</v>
      </c>
      <c r="CK52" s="417">
        <f>'Recycling - Case 3'!CC122</f>
        <v>0.36063480048691077</v>
      </c>
      <c r="CL52" s="417">
        <f>'Recycling - Case 3'!CD122</f>
        <v>0.36041901734796378</v>
      </c>
      <c r="CM52" s="525">
        <f>'Recycling - Case 3'!CE122</f>
        <v>0.36063480048691077</v>
      </c>
    </row>
    <row r="53" spans="1:91">
      <c r="A53" s="4">
        <f>'Input data'!A142</f>
        <v>2042</v>
      </c>
      <c r="B53" s="4"/>
      <c r="C53" s="769">
        <f>'4A SWD Case 1'!BG112</f>
        <v>392.48577307869584</v>
      </c>
      <c r="D53" s="3">
        <f>'4B Biological treatment '!T106</f>
        <v>0.79262090447921696</v>
      </c>
      <c r="E53" s="1157">
        <f>'4B Biological treatment '!U106</f>
        <v>35.66794070156476</v>
      </c>
      <c r="F53" s="1157">
        <f>'4B Biological treatment '!W106</f>
        <v>2.1400764420938856</v>
      </c>
      <c r="G53" s="952">
        <f>'4C2 Open-burning '!R113</f>
        <v>11.792263994361994</v>
      </c>
      <c r="H53" s="952">
        <f>'4C2 Open-burning '!Z113</f>
        <v>3.9677358095470314</v>
      </c>
      <c r="I53" s="952">
        <f>'4C2 Open-burning '!AH113</f>
        <v>5.5237579262182354E-2</v>
      </c>
      <c r="J53" s="987">
        <f>'4D Wastewater treatment and dis'!AV150</f>
        <v>216.04765565344923</v>
      </c>
      <c r="K53" s="770">
        <f>'4D Wastewater treatment and dis'!AW150</f>
        <v>3.6481575572197178</v>
      </c>
      <c r="L53" s="771">
        <f t="shared" si="69"/>
        <v>8242.2012346526135</v>
      </c>
      <c r="M53" s="772">
        <f t="shared" si="70"/>
        <v>16.645038994063555</v>
      </c>
      <c r="N53" s="771">
        <f t="shared" si="71"/>
        <v>1412.4504517819644</v>
      </c>
      <c r="O53" s="773">
        <f t="shared" si="72"/>
        <v>112.23836556612618</v>
      </c>
      <c r="P53" s="771">
        <f t="shared" si="73"/>
        <v>5667.9296114605459</v>
      </c>
      <c r="Q53" s="519">
        <f t="shared" si="74"/>
        <v>8242.2012346526135</v>
      </c>
      <c r="R53" s="521">
        <f t="shared" si="75"/>
        <v>1429.0954907760279</v>
      </c>
      <c r="S53" s="518">
        <f t="shared" si="76"/>
        <v>112.23836556612618</v>
      </c>
      <c r="T53" s="519">
        <f t="shared" si="77"/>
        <v>5667.9296114605459</v>
      </c>
      <c r="U53" s="519">
        <f t="shared" si="78"/>
        <v>15451.464702455314</v>
      </c>
      <c r="V53" s="3"/>
      <c r="W53" s="596">
        <f t="shared" si="79"/>
        <v>2043</v>
      </c>
      <c r="X53" s="1101">
        <f t="shared" si="80"/>
        <v>8034.73650684528</v>
      </c>
      <c r="Y53" s="1102">
        <f t="shared" si="81"/>
        <v>1440.1345194474702</v>
      </c>
      <c r="Z53" s="1102">
        <f t="shared" si="82"/>
        <v>105.94164625624583</v>
      </c>
      <c r="AA53" s="1102">
        <f t="shared" si="83"/>
        <v>5743.43124066363</v>
      </c>
      <c r="AB53" s="1142">
        <f t="shared" si="22"/>
        <v>15324.243913212627</v>
      </c>
      <c r="AC53" s="1423" t="str">
        <f>IF(OR('Recycling - Case 1'!AC123="No",'Recycling - Case 1'!T163="No"), "No", "Yes")</f>
        <v>Yes</v>
      </c>
      <c r="AD53" s="1101">
        <f t="shared" si="84"/>
        <v>8034.73650684528</v>
      </c>
      <c r="AE53" s="1102">
        <f t="shared" si="85"/>
        <v>1440.1345194474702</v>
      </c>
      <c r="AF53" s="1102">
        <f t="shared" si="86"/>
        <v>105.94164625624583</v>
      </c>
      <c r="AG53" s="1102">
        <f t="shared" si="87"/>
        <v>5743.43124066363</v>
      </c>
      <c r="AH53" s="1142">
        <f t="shared" si="60"/>
        <v>15324.243913212627</v>
      </c>
      <c r="AI53" s="1423" t="str">
        <f>IF(OR('Recycling - Case 1'!AI34="No",'Recycling - Case 1'!Z163="No"), "No", "Yes")</f>
        <v>Yes</v>
      </c>
      <c r="AJ53" s="1101">
        <f t="shared" si="88"/>
        <v>7073.339078827742</v>
      </c>
      <c r="AK53" s="1102">
        <f t="shared" si="89"/>
        <v>1440.1345194474702</v>
      </c>
      <c r="AL53" s="1102">
        <f t="shared" si="90"/>
        <v>95.818921654048964</v>
      </c>
      <c r="AM53" s="1102">
        <f t="shared" si="91"/>
        <v>6028.3091841758742</v>
      </c>
      <c r="AN53" s="1142">
        <f t="shared" si="92"/>
        <v>14637.601704105135</v>
      </c>
      <c r="AO53" s="1416" t="str">
        <f>IF(OR('Recycling - Case 2'!AC123="No",'Recycling - Case 2'!T163="No"), "No", "Yes")</f>
        <v>Yes</v>
      </c>
      <c r="AP53" s="1101">
        <f t="shared" si="93"/>
        <v>7073.339078827742</v>
      </c>
      <c r="AQ53" s="1102">
        <f t="shared" si="94"/>
        <v>1440.1345194474702</v>
      </c>
      <c r="AR53" s="1102">
        <f t="shared" si="95"/>
        <v>95.818921654048964</v>
      </c>
      <c r="AS53" s="1102">
        <f t="shared" si="96"/>
        <v>6028.3091841758742</v>
      </c>
      <c r="AT53" s="1142">
        <f t="shared" si="37"/>
        <v>14637.601704105135</v>
      </c>
      <c r="AU53" s="1423" t="str">
        <f>IF(OR('Recycling - Case 2'!AC123="No",'Recycling - Case 2'!T203="No"), "No", "Yes")</f>
        <v>Yes</v>
      </c>
      <c r="AV53" s="1101">
        <f t="shared" si="63"/>
        <v>7074.6957863948555</v>
      </c>
      <c r="AW53" s="1102">
        <f t="shared" si="64"/>
        <v>874.62412578756516</v>
      </c>
      <c r="AX53" s="1102">
        <f t="shared" si="65"/>
        <v>95.818921654048964</v>
      </c>
      <c r="AY53" s="1102">
        <f t="shared" si="66"/>
        <v>6028.3091841758742</v>
      </c>
      <c r="AZ53" s="1142">
        <f t="shared" si="67"/>
        <v>14073.448018012343</v>
      </c>
      <c r="BA53" s="1423" t="str">
        <f>IF(OR('Recycling - Case 3'!AC123="No",'Recycling - Case 3'!T163="No"), "No", "Yes")</f>
        <v>Yes</v>
      </c>
      <c r="BB53" s="1101">
        <f t="shared" si="97"/>
        <v>7074.6957863948555</v>
      </c>
      <c r="BC53" s="1102">
        <f t="shared" si="98"/>
        <v>874.62412578756516</v>
      </c>
      <c r="BD53" s="1102">
        <f t="shared" si="99"/>
        <v>95.818921654048964</v>
      </c>
      <c r="BE53" s="1102">
        <f t="shared" si="100"/>
        <v>6028.3091841758742</v>
      </c>
      <c r="BF53" s="1142">
        <f t="shared" si="47"/>
        <v>14073.448018012343</v>
      </c>
      <c r="BG53" s="1423" t="str">
        <f>IF(OR('Recycling - Case 3'!AC123="No",'Recycling - Case 3'!T203="No"), "No", "Yes")</f>
        <v>Yes</v>
      </c>
      <c r="BH53" s="596">
        <f t="shared" si="48"/>
        <v>2043</v>
      </c>
      <c r="BI53" s="1102">
        <f>'Recycling - Case 1'!BV123</f>
        <v>67.285132703203558</v>
      </c>
      <c r="BJ53" s="417">
        <f>'Recycling - Case 1'!BW123</f>
        <v>0.65595220093314899</v>
      </c>
      <c r="BK53" s="1142">
        <f>'Recycling - Case 1'!BX123</f>
        <v>5.8109940740290513</v>
      </c>
      <c r="BL53" s="1101">
        <f>'Recycling - Case 1'!BY123</f>
        <v>67.285132703203558</v>
      </c>
      <c r="BM53" s="417">
        <f>'Recycling - Case 1'!BZ123</f>
        <v>0.65595220093314899</v>
      </c>
      <c r="BN53" s="1142">
        <f>'Recycling - Case 1'!CA123</f>
        <v>5.8109940740290513</v>
      </c>
      <c r="BO53" s="1102">
        <f>'Recycling - Case 2'!BV123</f>
        <v>62.815338804991427</v>
      </c>
      <c r="BP53" s="417">
        <f>'Recycling - Case 2'!BW123</f>
        <v>0.74661048927351392</v>
      </c>
      <c r="BQ53" s="1142">
        <f>'Recycling - Case 2'!BX123</f>
        <v>5.8109940740290513</v>
      </c>
      <c r="BR53" s="1101">
        <f>'Recycling - Case 2'!BY123</f>
        <v>62.815338804991427</v>
      </c>
      <c r="BS53" s="417">
        <f>'Recycling - Case 2'!BZ123</f>
        <v>0.74661048927351392</v>
      </c>
      <c r="BT53" s="1142">
        <f>'Recycling - Case 2'!CA123</f>
        <v>5.8109940740290513</v>
      </c>
      <c r="BU53" s="1102">
        <f>'Recycling - Case 3'!BV123</f>
        <v>62.815338804991427</v>
      </c>
      <c r="BV53" s="417">
        <f>'Recycling - Case 3'!BW123</f>
        <v>0.74661048927351392</v>
      </c>
      <c r="BW53" s="1142">
        <f>'Recycling - Case 3'!BX123</f>
        <v>5.8109940740290513</v>
      </c>
      <c r="BX53" s="1101">
        <f>'Recycling - Case 3'!BY123</f>
        <v>62.815338804991427</v>
      </c>
      <c r="BY53" s="417">
        <f>'Recycling - Case 3'!BZ123</f>
        <v>0.74661048927351392</v>
      </c>
      <c r="BZ53" s="1142">
        <f>'Recycling - Case 3'!CA123</f>
        <v>5.8109940740290513</v>
      </c>
      <c r="CA53" s="596">
        <v>2043</v>
      </c>
      <c r="CB53" s="649">
        <f>'Recycling - Case 1'!CB123</f>
        <v>0.39254311036961609</v>
      </c>
      <c r="CC53" s="417">
        <f>'Recycling - Case 1'!CC123</f>
        <v>0.28278269203141726</v>
      </c>
      <c r="CD53" s="417">
        <f>'Recycling - Case 1'!CD123</f>
        <v>0.39254311036961609</v>
      </c>
      <c r="CE53" s="525">
        <f>'Recycling - Case 1'!CE123</f>
        <v>0.28278269203141726</v>
      </c>
      <c r="CF53" s="649">
        <f>'Recycling - Case 2'!CB123</f>
        <v>0.36236962542489271</v>
      </c>
      <c r="CG53" s="417">
        <f>'Recycling - Case 2'!CC123</f>
        <v>0.36262429513389205</v>
      </c>
      <c r="CH53" s="417">
        <f>'Recycling - Case 2'!CD123</f>
        <v>0.36236962542489271</v>
      </c>
      <c r="CI53" s="525">
        <f>'Recycling - Case 2'!CE123</f>
        <v>0.36262429513389205</v>
      </c>
      <c r="CJ53" s="649">
        <f>'Recycling - Case 3'!CB123</f>
        <v>0.36236962542489271</v>
      </c>
      <c r="CK53" s="417">
        <f>'Recycling - Case 3'!CC123</f>
        <v>0.36262429513389205</v>
      </c>
      <c r="CL53" s="417">
        <f>'Recycling - Case 3'!CD123</f>
        <v>0.36236962542489271</v>
      </c>
      <c r="CM53" s="525">
        <f>'Recycling - Case 3'!CE123</f>
        <v>0.36262429513389205</v>
      </c>
    </row>
    <row r="54" spans="1:91">
      <c r="A54" s="4">
        <f>'Input data'!A143</f>
        <v>2043</v>
      </c>
      <c r="B54" s="4"/>
      <c r="C54" s="769">
        <f>'4A SWD Case 1'!BG113</f>
        <v>382.60650032596573</v>
      </c>
      <c r="D54" s="3">
        <f>'4B Biological treatment '!T107</f>
        <v>0.79874349386992249</v>
      </c>
      <c r="E54" s="1157">
        <f>'4B Biological treatment '!U107</f>
        <v>35.943457224146513</v>
      </c>
      <c r="F54" s="1157">
        <f>'4B Biological treatment '!W107</f>
        <v>2.1566074334487908</v>
      </c>
      <c r="G54" s="952">
        <f>'4C2 Open-burning '!R114</f>
        <v>11.130702539631443</v>
      </c>
      <c r="H54" s="952">
        <f>'4C2 Open-burning '!Z114</f>
        <v>3.7451406339806237</v>
      </c>
      <c r="I54" s="952">
        <f>'4C2 Open-burning '!AH114</f>
        <v>5.2138678719423556E-2</v>
      </c>
      <c r="J54" s="987">
        <f>'4D Wastewater treatment and dis'!AV151</f>
        <v>219.31227419518692</v>
      </c>
      <c r="K54" s="770">
        <f>'4D Wastewater treatment and dis'!AW151</f>
        <v>3.6705596211764653</v>
      </c>
      <c r="L54" s="771">
        <f t="shared" si="69"/>
        <v>8034.73650684528</v>
      </c>
      <c r="M54" s="772">
        <f t="shared" si="70"/>
        <v>16.773613371268372</v>
      </c>
      <c r="N54" s="771">
        <f t="shared" si="71"/>
        <v>1423.3609060762019</v>
      </c>
      <c r="O54" s="773">
        <f t="shared" si="72"/>
        <v>105.94164625624583</v>
      </c>
      <c r="P54" s="771">
        <f t="shared" si="73"/>
        <v>5743.43124066363</v>
      </c>
      <c r="Q54" s="519">
        <f t="shared" si="74"/>
        <v>8034.73650684528</v>
      </c>
      <c r="R54" s="521">
        <f t="shared" si="75"/>
        <v>1440.1345194474702</v>
      </c>
      <c r="S54" s="518">
        <f t="shared" si="76"/>
        <v>105.94164625624583</v>
      </c>
      <c r="T54" s="519">
        <f t="shared" si="77"/>
        <v>5743.43124066363</v>
      </c>
      <c r="U54" s="519">
        <f t="shared" si="78"/>
        <v>15324.243913212627</v>
      </c>
      <c r="V54" s="3"/>
      <c r="W54" s="596">
        <f t="shared" si="79"/>
        <v>2044</v>
      </c>
      <c r="X54" s="1101">
        <f t="shared" si="80"/>
        <v>7831.6263204887573</v>
      </c>
      <c r="Y54" s="1102">
        <f t="shared" si="81"/>
        <v>1451.4144978793331</v>
      </c>
      <c r="Z54" s="1102">
        <f t="shared" si="82"/>
        <v>99.672444593715014</v>
      </c>
      <c r="AA54" s="1102">
        <f t="shared" si="83"/>
        <v>5818.3669408756659</v>
      </c>
      <c r="AB54" s="1142">
        <f t="shared" si="22"/>
        <v>15201.080203837471</v>
      </c>
      <c r="AC54" s="1423" t="str">
        <f>IF(OR('Recycling - Case 1'!AC124="No",'Recycling - Case 1'!T164="No"), "No", "Yes")</f>
        <v>Yes</v>
      </c>
      <c r="AD54" s="1101">
        <f t="shared" si="84"/>
        <v>7831.6263204887573</v>
      </c>
      <c r="AE54" s="1102">
        <f t="shared" si="85"/>
        <v>1451.4144978793331</v>
      </c>
      <c r="AF54" s="1102">
        <f t="shared" si="86"/>
        <v>99.672444593715014</v>
      </c>
      <c r="AG54" s="1102">
        <f t="shared" si="87"/>
        <v>5818.3669408756659</v>
      </c>
      <c r="AH54" s="1142">
        <f t="shared" si="60"/>
        <v>15201.080203837471</v>
      </c>
      <c r="AI54" s="1423" t="str">
        <f>IF(OR('Recycling - Case 1'!AI35="No",'Recycling - Case 1'!Z164="No"), "No", "Yes")</f>
        <v>Yes</v>
      </c>
      <c r="AJ54" s="1101">
        <f t="shared" si="88"/>
        <v>6875.9983539882787</v>
      </c>
      <c r="AK54" s="1102">
        <f t="shared" si="89"/>
        <v>1451.4144978793331</v>
      </c>
      <c r="AL54" s="1102">
        <f t="shared" si="90"/>
        <v>95.641581610692967</v>
      </c>
      <c r="AM54" s="1102">
        <f t="shared" si="91"/>
        <v>6063.9934528459007</v>
      </c>
      <c r="AN54" s="1142">
        <f t="shared" si="92"/>
        <v>14487.047886324206</v>
      </c>
      <c r="AO54" s="1416" t="str">
        <f>IF(OR('Recycling - Case 2'!AC124="No",'Recycling - Case 2'!T164="No"), "No", "Yes")</f>
        <v>Yes</v>
      </c>
      <c r="AP54" s="1101">
        <f t="shared" si="93"/>
        <v>6875.9983539882787</v>
      </c>
      <c r="AQ54" s="1102">
        <f t="shared" si="94"/>
        <v>1451.4144978793331</v>
      </c>
      <c r="AR54" s="1102">
        <f t="shared" si="95"/>
        <v>95.641581610692967</v>
      </c>
      <c r="AS54" s="1102">
        <f t="shared" si="96"/>
        <v>6063.9934528459007</v>
      </c>
      <c r="AT54" s="1142">
        <f t="shared" si="37"/>
        <v>14487.047886324206</v>
      </c>
      <c r="AU54" s="1423" t="str">
        <f>IF(OR('Recycling - Case 2'!AC124="No",'Recycling - Case 2'!T204="No"), "No", "Yes")</f>
        <v>Yes</v>
      </c>
      <c r="AV54" s="1101">
        <f t="shared" si="63"/>
        <v>6877.4009431124396</v>
      </c>
      <c r="AW54" s="1102">
        <f t="shared" si="64"/>
        <v>881.47469505150832</v>
      </c>
      <c r="AX54" s="1102">
        <f t="shared" si="65"/>
        <v>95.641581610692967</v>
      </c>
      <c r="AY54" s="1102">
        <f t="shared" si="66"/>
        <v>6063.9934528459007</v>
      </c>
      <c r="AZ54" s="1142">
        <f t="shared" si="67"/>
        <v>13918.510672620541</v>
      </c>
      <c r="BA54" s="1423" t="str">
        <f>IF(OR('Recycling - Case 3'!AC124="No",'Recycling - Case 3'!T164="No"), "No", "Yes")</f>
        <v>Yes</v>
      </c>
      <c r="BB54" s="1101">
        <f t="shared" si="97"/>
        <v>6877.4009431124396</v>
      </c>
      <c r="BC54" s="1102">
        <f t="shared" si="98"/>
        <v>881.47469505150832</v>
      </c>
      <c r="BD54" s="1102">
        <f t="shared" si="99"/>
        <v>95.641581610692967</v>
      </c>
      <c r="BE54" s="1102">
        <f t="shared" si="100"/>
        <v>6063.9934528459007</v>
      </c>
      <c r="BF54" s="1142">
        <f t="shared" si="47"/>
        <v>13918.510672620541</v>
      </c>
      <c r="BG54" s="1423" t="str">
        <f>IF(OR('Recycling - Case 3'!AC124="No",'Recycling - Case 3'!T204="No"), "No", "Yes")</f>
        <v>Yes</v>
      </c>
      <c r="BH54" s="596">
        <f t="shared" si="48"/>
        <v>2044</v>
      </c>
      <c r="BI54" s="1102">
        <f>'Recycling - Case 1'!BV124</f>
        <v>66.557423977896448</v>
      </c>
      <c r="BJ54" s="417">
        <f>'Recycling - Case 1'!BW124</f>
        <v>0.67126216240473568</v>
      </c>
      <c r="BK54" s="1142">
        <f>'Recycling - Case 1'!BX124</f>
        <v>4.8650504633817171</v>
      </c>
      <c r="BL54" s="1101">
        <f>'Recycling - Case 1'!BY124</f>
        <v>66.557423977896448</v>
      </c>
      <c r="BM54" s="417">
        <f>'Recycling - Case 1'!BZ124</f>
        <v>0.67126216240473568</v>
      </c>
      <c r="BN54" s="1142">
        <f>'Recycling - Case 1'!CA124</f>
        <v>4.8650504633817171</v>
      </c>
      <c r="BO54" s="1102">
        <f>'Recycling - Case 2'!BV124</f>
        <v>63.233035907897154</v>
      </c>
      <c r="BP54" s="417">
        <f>'Recycling - Case 2'!BW124</f>
        <v>0.74828429890510129</v>
      </c>
      <c r="BQ54" s="1142">
        <f>'Recycling - Case 2'!BX124</f>
        <v>4.8650504633817171</v>
      </c>
      <c r="BR54" s="1101">
        <f>'Recycling - Case 2'!BY124</f>
        <v>63.233035907897154</v>
      </c>
      <c r="BS54" s="417">
        <f>'Recycling - Case 2'!BZ124</f>
        <v>0.74828429890510129</v>
      </c>
      <c r="BT54" s="1142">
        <f>'Recycling - Case 2'!CA124</f>
        <v>4.8650504633817171</v>
      </c>
      <c r="BU54" s="1102">
        <f>'Recycling - Case 3'!BV124</f>
        <v>63.233035907897154</v>
      </c>
      <c r="BV54" s="417">
        <f>'Recycling - Case 3'!BW124</f>
        <v>0.74828429890510129</v>
      </c>
      <c r="BW54" s="1142">
        <f>'Recycling - Case 3'!BX124</f>
        <v>4.8650504633817171</v>
      </c>
      <c r="BX54" s="1101">
        <f>'Recycling - Case 3'!BY124</f>
        <v>63.233035907897154</v>
      </c>
      <c r="BY54" s="417">
        <f>'Recycling - Case 3'!BZ124</f>
        <v>0.74828429890510129</v>
      </c>
      <c r="BZ54" s="1142">
        <f>'Recycling - Case 3'!CA124</f>
        <v>4.8650504633817171</v>
      </c>
      <c r="CA54" s="596">
        <v>2044</v>
      </c>
      <c r="CB54" s="649">
        <f>'Recycling - Case 1'!CB124</f>
        <v>0.40171422042221039</v>
      </c>
      <c r="CC54" s="417">
        <f>'Recycling - Case 1'!CC124</f>
        <v>0.29909731802877026</v>
      </c>
      <c r="CD54" s="417">
        <f>'Recycling - Case 1'!CD124</f>
        <v>0.40171422042221039</v>
      </c>
      <c r="CE54" s="525">
        <f>'Recycling - Case 1'!CE124</f>
        <v>0.29909731802877026</v>
      </c>
      <c r="CF54" s="649">
        <f>'Recycling - Case 2'!CB124</f>
        <v>0.36423807768893179</v>
      </c>
      <c r="CG54" s="417">
        <f>'Recycling - Case 2'!CC124</f>
        <v>0.36468331329941139</v>
      </c>
      <c r="CH54" s="417">
        <f>'Recycling - Case 2'!CD124</f>
        <v>0.36423807768893179</v>
      </c>
      <c r="CI54" s="525">
        <f>'Recycling - Case 2'!CE124</f>
        <v>0.36468331329941139</v>
      </c>
      <c r="CJ54" s="649">
        <f>'Recycling - Case 3'!CB124</f>
        <v>0.36423807768893179</v>
      </c>
      <c r="CK54" s="417">
        <f>'Recycling - Case 3'!CC124</f>
        <v>0.36468331329941139</v>
      </c>
      <c r="CL54" s="417">
        <f>'Recycling - Case 3'!CD124</f>
        <v>0.36423807768893179</v>
      </c>
      <c r="CM54" s="525">
        <f>'Recycling - Case 3'!CE124</f>
        <v>0.36468331329941139</v>
      </c>
    </row>
    <row r="55" spans="1:91">
      <c r="A55" s="4">
        <f>'Input data'!A144</f>
        <v>2044</v>
      </c>
      <c r="B55" s="4"/>
      <c r="C55" s="769">
        <f>'4A SWD Case 1'!BG114</f>
        <v>372.93458668994083</v>
      </c>
      <c r="D55" s="3">
        <f>'4B Biological treatment '!T108</f>
        <v>0.80499972150822696</v>
      </c>
      <c r="E55" s="1157">
        <f>'4B Biological treatment '!U108</f>
        <v>36.224987467870207</v>
      </c>
      <c r="F55" s="1157">
        <f>'4B Biological treatment '!W108</f>
        <v>2.1734992480722126</v>
      </c>
      <c r="G55" s="952">
        <f>'4C2 Open-burning '!R115</f>
        <v>10.472032211837858</v>
      </c>
      <c r="H55" s="952">
        <f>'4C2 Open-burning '!Z115</f>
        <v>3.5235182341155764</v>
      </c>
      <c r="I55" s="952">
        <f>'4C2 Open-burning '!AH115</f>
        <v>4.9053320856290474E-2</v>
      </c>
      <c r="J55" s="987">
        <f>'4D Wastewater treatment and dis'!AV152</f>
        <v>222.5598987753194</v>
      </c>
      <c r="K55" s="770">
        <f>'4D Wastewater treatment and dis'!AW152</f>
        <v>3.6922873115934127</v>
      </c>
      <c r="L55" s="771">
        <f t="shared" si="69"/>
        <v>7831.6263204887573</v>
      </c>
      <c r="M55" s="772">
        <f t="shared" si="70"/>
        <v>16.904994151672767</v>
      </c>
      <c r="N55" s="771">
        <f t="shared" si="71"/>
        <v>1434.5095037276603</v>
      </c>
      <c r="O55" s="773">
        <f t="shared" si="72"/>
        <v>99.672444593715014</v>
      </c>
      <c r="P55" s="771">
        <f t="shared" si="73"/>
        <v>5818.3669408756659</v>
      </c>
      <c r="Q55" s="519">
        <f t="shared" si="74"/>
        <v>7831.6263204887573</v>
      </c>
      <c r="R55" s="521">
        <f t="shared" si="75"/>
        <v>1451.4144978793331</v>
      </c>
      <c r="S55" s="518">
        <f t="shared" si="76"/>
        <v>99.672444593715014</v>
      </c>
      <c r="T55" s="519">
        <f t="shared" si="77"/>
        <v>5818.3669408756659</v>
      </c>
      <c r="U55" s="519">
        <f t="shared" si="78"/>
        <v>15201.080203837471</v>
      </c>
      <c r="V55" s="3"/>
      <c r="W55" s="596">
        <f t="shared" si="79"/>
        <v>2045</v>
      </c>
      <c r="X55" s="1101">
        <f t="shared" si="80"/>
        <v>7632.7952960566872</v>
      </c>
      <c r="Y55" s="1102">
        <f t="shared" si="81"/>
        <v>1463.2093407523075</v>
      </c>
      <c r="Z55" s="1102">
        <f t="shared" si="82"/>
        <v>93.429243464641587</v>
      </c>
      <c r="AA55" s="1102">
        <f t="shared" si="83"/>
        <v>5892.6924554832403</v>
      </c>
      <c r="AB55" s="1142">
        <f t="shared" si="22"/>
        <v>15082.126335756877</v>
      </c>
      <c r="AC55" s="1423" t="str">
        <f>IF(OR('Recycling - Case 1'!AC125="No",'Recycling - Case 1'!T165="No"), "No", "Yes")</f>
        <v>Yes</v>
      </c>
      <c r="AD55" s="1101">
        <f t="shared" si="84"/>
        <v>7632.7952960566872</v>
      </c>
      <c r="AE55" s="1102">
        <f t="shared" si="85"/>
        <v>1463.2093407523075</v>
      </c>
      <c r="AF55" s="1102">
        <f t="shared" si="86"/>
        <v>93.429243464641587</v>
      </c>
      <c r="AG55" s="1102">
        <f t="shared" si="87"/>
        <v>5892.6924554832403</v>
      </c>
      <c r="AH55" s="1142">
        <f t="shared" si="60"/>
        <v>15082.126335756877</v>
      </c>
      <c r="AI55" s="1423" t="str">
        <f>IF(OR('Recycling - Case 1'!AI36="No",'Recycling - Case 1'!Z165="No"), "No", "Yes")</f>
        <v>Yes</v>
      </c>
      <c r="AJ55" s="1101">
        <f t="shared" si="88"/>
        <v>6691.788742027089</v>
      </c>
      <c r="AK55" s="1102">
        <f t="shared" si="89"/>
        <v>1463.2093407523075</v>
      </c>
      <c r="AL55" s="1102">
        <f t="shared" si="90"/>
        <v>95.472449582647101</v>
      </c>
      <c r="AM55" s="1102">
        <f t="shared" si="91"/>
        <v>6098.5475824739315</v>
      </c>
      <c r="AN55" s="1142">
        <f t="shared" si="92"/>
        <v>14349.018114835975</v>
      </c>
      <c r="AO55" s="1416" t="str">
        <f>IF(OR('Recycling - Case 2'!AC125="No",'Recycling - Case 2'!T165="No"), "No", "Yes")</f>
        <v>Yes</v>
      </c>
      <c r="AP55" s="1101">
        <f t="shared" si="93"/>
        <v>6691.788742027089</v>
      </c>
      <c r="AQ55" s="1102">
        <f t="shared" si="94"/>
        <v>1463.2093407523075</v>
      </c>
      <c r="AR55" s="1102">
        <f t="shared" si="95"/>
        <v>95.472449582647101</v>
      </c>
      <c r="AS55" s="1102">
        <f t="shared" si="96"/>
        <v>6098.5475824739315</v>
      </c>
      <c r="AT55" s="1142">
        <f t="shared" si="37"/>
        <v>14349.018114835975</v>
      </c>
      <c r="AU55" s="1423" t="str">
        <f>IF(OR('Recycling - Case 2'!AC125="No",'Recycling - Case 2'!T205="No"), "No", "Yes")</f>
        <v>Yes</v>
      </c>
      <c r="AV55" s="1101">
        <f t="shared" si="63"/>
        <v>6693.2352800547296</v>
      </c>
      <c r="AW55" s="1102">
        <f t="shared" si="64"/>
        <v>888.6379523703697</v>
      </c>
      <c r="AX55" s="1102">
        <f t="shared" si="65"/>
        <v>95.472449582647101</v>
      </c>
      <c r="AY55" s="1102">
        <f t="shared" si="66"/>
        <v>6098.5475824739315</v>
      </c>
      <c r="AZ55" s="1142">
        <f t="shared" si="67"/>
        <v>13775.893264481678</v>
      </c>
      <c r="BA55" s="1423" t="str">
        <f>IF(OR('Recycling - Case 3'!AC125="No",'Recycling - Case 3'!T165="No"), "No", "Yes")</f>
        <v>Yes</v>
      </c>
      <c r="BB55" s="1101">
        <f t="shared" si="97"/>
        <v>6693.2352800547296</v>
      </c>
      <c r="BC55" s="1102">
        <f t="shared" si="98"/>
        <v>888.6379523703697</v>
      </c>
      <c r="BD55" s="1102">
        <f t="shared" si="99"/>
        <v>95.472449582647101</v>
      </c>
      <c r="BE55" s="1102">
        <f t="shared" si="100"/>
        <v>6098.5475824739315</v>
      </c>
      <c r="BF55" s="1142">
        <f t="shared" si="47"/>
        <v>13775.893264481678</v>
      </c>
      <c r="BG55" s="1423" t="str">
        <f>IF(OR('Recycling - Case 3'!AC125="No",'Recycling - Case 3'!T205="No"), "No", "Yes")</f>
        <v>Yes</v>
      </c>
      <c r="BH55" s="596">
        <f t="shared" si="48"/>
        <v>2045</v>
      </c>
      <c r="BI55" s="1102">
        <f>'Recycling - Case 1'!BV125</f>
        <v>65.922015152775458</v>
      </c>
      <c r="BJ55" s="417">
        <f>'Recycling - Case 1'!BW125</f>
        <v>0.68643901431252186</v>
      </c>
      <c r="BK55" s="1142">
        <f>'Recycling - Case 1'!BX125</f>
        <v>3.9191068527343829</v>
      </c>
      <c r="BL55" s="1101">
        <f>'Recycling - Case 1'!BY125</f>
        <v>65.922015152775458</v>
      </c>
      <c r="BM55" s="417">
        <f>'Recycling - Case 1'!BZ125</f>
        <v>0.68643901431252186</v>
      </c>
      <c r="BN55" s="1142">
        <f>'Recycling - Case 1'!CA125</f>
        <v>3.9191068527343829</v>
      </c>
      <c r="BO55" s="1102">
        <f>'Recycling - Case 2'!BV125</f>
        <v>63.682567773837512</v>
      </c>
      <c r="BP55" s="417">
        <f>'Recycling - Case 2'!BW125</f>
        <v>0.75006114667922896</v>
      </c>
      <c r="BQ55" s="1142">
        <f>'Recycling - Case 2'!BX125</f>
        <v>3.9191068527343829</v>
      </c>
      <c r="BR55" s="1101">
        <f>'Recycling - Case 2'!BY125</f>
        <v>63.682567773837512</v>
      </c>
      <c r="BS55" s="417">
        <f>'Recycling - Case 2'!BZ125</f>
        <v>0.75006114667922896</v>
      </c>
      <c r="BT55" s="1142">
        <f>'Recycling - Case 2'!CA125</f>
        <v>3.9191068527343829</v>
      </c>
      <c r="BU55" s="1102">
        <f>'Recycling - Case 3'!BV125</f>
        <v>63.682567773837512</v>
      </c>
      <c r="BV55" s="417">
        <f>'Recycling - Case 3'!BW125</f>
        <v>0.75006114667922896</v>
      </c>
      <c r="BW55" s="1142">
        <f>'Recycling - Case 3'!BX125</f>
        <v>3.9191068527343829</v>
      </c>
      <c r="BX55" s="1101">
        <f>'Recycling - Case 3'!BY125</f>
        <v>63.682567773837512</v>
      </c>
      <c r="BY55" s="417">
        <f>'Recycling - Case 3'!BZ125</f>
        <v>0.75006114667922896</v>
      </c>
      <c r="BZ55" s="1142">
        <f>'Recycling - Case 3'!CA125</f>
        <v>3.9191068527343829</v>
      </c>
      <c r="CA55" s="596">
        <v>2045</v>
      </c>
      <c r="CB55" s="649">
        <f>'Recycling - Case 1'!CB125</f>
        <v>0.41071208872628218</v>
      </c>
      <c r="CC55" s="417">
        <f>'Recycling - Case 1'!CC125</f>
        <v>0.31447148302346306</v>
      </c>
      <c r="CD55" s="417">
        <f>'Recycling - Case 1'!CD125</f>
        <v>0.41071208872628218</v>
      </c>
      <c r="CE55" s="525">
        <f>'Recycling - Case 1'!CE125</f>
        <v>0.31447148302346306</v>
      </c>
      <c r="CF55" s="649">
        <f>'Recycling - Case 2'!CB125</f>
        <v>0.36602576542049337</v>
      </c>
      <c r="CG55" s="417">
        <f>'Recycling - Case 2'!CC125</f>
        <v>0.36693171423237991</v>
      </c>
      <c r="CH55" s="417">
        <f>'Recycling - Case 2'!CD125</f>
        <v>0.36602576542049337</v>
      </c>
      <c r="CI55" s="525">
        <f>'Recycling - Case 2'!CE125</f>
        <v>0.36693171423237991</v>
      </c>
      <c r="CJ55" s="649">
        <f>'Recycling - Case 3'!CB125</f>
        <v>0.36602576542049337</v>
      </c>
      <c r="CK55" s="417">
        <f>'Recycling - Case 3'!CC125</f>
        <v>0.36693171423237991</v>
      </c>
      <c r="CL55" s="417">
        <f>'Recycling - Case 3'!CD125</f>
        <v>0.36602576542049337</v>
      </c>
      <c r="CM55" s="525">
        <f>'Recycling - Case 3'!CE125</f>
        <v>0.36693171423237991</v>
      </c>
    </row>
    <row r="56" spans="1:91">
      <c r="A56" s="4">
        <f>'Input data'!A145</f>
        <v>2045</v>
      </c>
      <c r="B56" s="4"/>
      <c r="C56" s="769">
        <f>'4A SWD Case 1'!BG115</f>
        <v>363.46644266936607</v>
      </c>
      <c r="D56" s="3">
        <f>'4B Biological treatment '!T109</f>
        <v>0.81154150901403643</v>
      </c>
      <c r="E56" s="1157">
        <f>'4B Biological treatment '!U109</f>
        <v>36.51936790563164</v>
      </c>
      <c r="F56" s="1157">
        <f>'4B Biological treatment '!W109</f>
        <v>2.1911620743378983</v>
      </c>
      <c r="G56" s="952">
        <f>'4C2 Open-burning '!R116</f>
        <v>9.8160936162196091</v>
      </c>
      <c r="H56" s="952">
        <f>'4C2 Open-burning '!Z116</f>
        <v>3.3028149784945313</v>
      </c>
      <c r="I56" s="952">
        <f>'4C2 Open-burning '!AH116</f>
        <v>4.5980759032376868E-2</v>
      </c>
      <c r="J56" s="987">
        <f>'4D Wastewater treatment and dis'!AV153</f>
        <v>225.78862496436287</v>
      </c>
      <c r="K56" s="770">
        <f>'4D Wastewater treatment and dis'!AW153</f>
        <v>3.7133268749407069</v>
      </c>
      <c r="L56" s="771">
        <f t="shared" si="69"/>
        <v>7632.7952960566872</v>
      </c>
      <c r="M56" s="772">
        <f t="shared" si="70"/>
        <v>17.042371689294765</v>
      </c>
      <c r="N56" s="771">
        <f t="shared" si="71"/>
        <v>1446.1669690630129</v>
      </c>
      <c r="O56" s="773">
        <f t="shared" si="72"/>
        <v>93.429243464641587</v>
      </c>
      <c r="P56" s="771">
        <f t="shared" si="73"/>
        <v>5892.6924554832403</v>
      </c>
      <c r="Q56" s="519">
        <f t="shared" si="74"/>
        <v>7632.7952960566872</v>
      </c>
      <c r="R56" s="521">
        <f t="shared" si="75"/>
        <v>1463.2093407523075</v>
      </c>
      <c r="S56" s="518">
        <f t="shared" si="76"/>
        <v>93.429243464641587</v>
      </c>
      <c r="T56" s="519">
        <f t="shared" si="77"/>
        <v>5892.6924554832403</v>
      </c>
      <c r="U56" s="519">
        <f t="shared" si="78"/>
        <v>15082.126335756877</v>
      </c>
      <c r="V56" s="3"/>
      <c r="W56" s="596">
        <f t="shared" si="79"/>
        <v>2046</v>
      </c>
      <c r="X56" s="1101">
        <f t="shared" si="80"/>
        <v>7438.1867075126047</v>
      </c>
      <c r="Y56" s="1102">
        <f t="shared" si="81"/>
        <v>1475.3121068246303</v>
      </c>
      <c r="Z56" s="1102">
        <f t="shared" si="82"/>
        <v>87.210576917220379</v>
      </c>
      <c r="AA56" s="1102">
        <f t="shared" si="83"/>
        <v>5966.363512668313</v>
      </c>
      <c r="AB56" s="1142">
        <f t="shared" si="22"/>
        <v>14967.07290392277</v>
      </c>
      <c r="AC56" s="1423" t="str">
        <f>IF(OR('Recycling - Case 1'!AC126="No",'Recycling - Case 1'!T166="No"), "No", "Yes")</f>
        <v>Yes</v>
      </c>
      <c r="AD56" s="1101">
        <f t="shared" si="84"/>
        <v>7438.1867075126047</v>
      </c>
      <c r="AE56" s="1102">
        <f t="shared" si="85"/>
        <v>1475.3121068246303</v>
      </c>
      <c r="AF56" s="1102">
        <f t="shared" si="86"/>
        <v>87.210576917220379</v>
      </c>
      <c r="AG56" s="1102">
        <f t="shared" si="87"/>
        <v>5966.363512668313</v>
      </c>
      <c r="AH56" s="1142">
        <f t="shared" si="60"/>
        <v>14967.07290392277</v>
      </c>
      <c r="AI56" s="1423" t="str">
        <f>IF(OR('Recycling - Case 1'!AI37="No",'Recycling - Case 1'!Z166="No"), "No", "Yes")</f>
        <v>Yes</v>
      </c>
      <c r="AJ56" s="1101">
        <f t="shared" si="88"/>
        <v>6520.1177527693753</v>
      </c>
      <c r="AK56" s="1102">
        <f t="shared" si="89"/>
        <v>1475.3121068246303</v>
      </c>
      <c r="AL56" s="1102">
        <f t="shared" si="90"/>
        <v>95.311326981512167</v>
      </c>
      <c r="AM56" s="1102">
        <f t="shared" si="91"/>
        <v>6131.949596342828</v>
      </c>
      <c r="AN56" s="1142">
        <f t="shared" si="92"/>
        <v>14222.690782918346</v>
      </c>
      <c r="AO56" s="1416" t="str">
        <f>IF(OR('Recycling - Case 2'!AC126="No",'Recycling - Case 2'!T166="No"), "No", "Yes")</f>
        <v>Yes</v>
      </c>
      <c r="AP56" s="1101">
        <f t="shared" si="93"/>
        <v>6520.1177527693753</v>
      </c>
      <c r="AQ56" s="1102">
        <f t="shared" si="94"/>
        <v>1475.3121068246303</v>
      </c>
      <c r="AR56" s="1102">
        <f t="shared" si="95"/>
        <v>95.311326981512167</v>
      </c>
      <c r="AS56" s="1102">
        <f t="shared" si="96"/>
        <v>6131.949596342828</v>
      </c>
      <c r="AT56" s="1142">
        <f t="shared" si="37"/>
        <v>14222.690782918346</v>
      </c>
      <c r="AU56" s="1423" t="str">
        <f>IF(OR('Recycling - Case 2'!AC126="No",'Recycling - Case 2'!T206="No"), "No", "Yes")</f>
        <v>Yes</v>
      </c>
      <c r="AV56" s="1101">
        <f t="shared" si="63"/>
        <v>6521.6063961825284</v>
      </c>
      <c r="AW56" s="1102">
        <f t="shared" si="64"/>
        <v>895.98821795505842</v>
      </c>
      <c r="AX56" s="1102">
        <f t="shared" si="65"/>
        <v>95.311326981512167</v>
      </c>
      <c r="AY56" s="1102">
        <f t="shared" si="66"/>
        <v>6131.949596342828</v>
      </c>
      <c r="AZ56" s="1142">
        <f t="shared" si="67"/>
        <v>13644.855537461928</v>
      </c>
      <c r="BA56" s="1423" t="str">
        <f>IF(OR('Recycling - Case 3'!AC126="No",'Recycling - Case 3'!T166="No"), "No", "Yes")</f>
        <v>Yes</v>
      </c>
      <c r="BB56" s="1101">
        <f t="shared" si="97"/>
        <v>6521.6063961825284</v>
      </c>
      <c r="BC56" s="1102">
        <f t="shared" si="98"/>
        <v>895.98821795505842</v>
      </c>
      <c r="BD56" s="1102">
        <f t="shared" si="99"/>
        <v>95.311326981512167</v>
      </c>
      <c r="BE56" s="1102">
        <f t="shared" si="100"/>
        <v>6131.949596342828</v>
      </c>
      <c r="BF56" s="1142">
        <f t="shared" si="47"/>
        <v>13644.855537461928</v>
      </c>
      <c r="BG56" s="1423" t="str">
        <f>IF(OR('Recycling - Case 3'!AC126="No",'Recycling - Case 3'!T206="No"), "No", "Yes")</f>
        <v>Yes</v>
      </c>
      <c r="BH56" s="596">
        <f t="shared" si="48"/>
        <v>2046</v>
      </c>
      <c r="BI56" s="1102">
        <f>'Recycling - Case 1'!BV126</f>
        <v>65.420128664848974</v>
      </c>
      <c r="BJ56" s="417">
        <f>'Recycling - Case 1'!BW126</f>
        <v>0.70165264547231221</v>
      </c>
      <c r="BK56" s="1142">
        <f>'Recycling - Case 1'!BX126</f>
        <v>3.2634749196310313</v>
      </c>
      <c r="BL56" s="1101">
        <f>'Recycling - Case 1'!BY126</f>
        <v>65.420128664848974</v>
      </c>
      <c r="BM56" s="417">
        <f>'Recycling - Case 1'!BZ126</f>
        <v>0.70165264547231221</v>
      </c>
      <c r="BN56" s="1142">
        <f>'Recycling - Case 1'!CA126</f>
        <v>3.2634749196310313</v>
      </c>
      <c r="BO56" s="1102">
        <f>'Recycling - Case 2'!BV126</f>
        <v>64.266489236324432</v>
      </c>
      <c r="BP56" s="417">
        <f>'Recycling - Case 2'!BW126</f>
        <v>0.75233207609357244</v>
      </c>
      <c r="BQ56" s="1142">
        <f>'Recycling - Case 2'!BX126</f>
        <v>3.2634749196310313</v>
      </c>
      <c r="BR56" s="1101">
        <f>'Recycling - Case 2'!BY126</f>
        <v>64.266489236324432</v>
      </c>
      <c r="BS56" s="417">
        <f>'Recycling - Case 2'!BZ126</f>
        <v>0.75233207609357244</v>
      </c>
      <c r="BT56" s="1142">
        <f>'Recycling - Case 2'!CA126</f>
        <v>3.2634749196310313</v>
      </c>
      <c r="BU56" s="1102">
        <f>'Recycling - Case 3'!BV126</f>
        <v>64.266489236324432</v>
      </c>
      <c r="BV56" s="417">
        <f>'Recycling - Case 3'!BW126</f>
        <v>0.75233207609357244</v>
      </c>
      <c r="BW56" s="1142">
        <f>'Recycling - Case 3'!BX126</f>
        <v>3.2634749196310313</v>
      </c>
      <c r="BX56" s="1101">
        <f>'Recycling - Case 3'!BY126</f>
        <v>64.266489236324432</v>
      </c>
      <c r="BY56" s="417">
        <f>'Recycling - Case 3'!BZ126</f>
        <v>0.75233207609357244</v>
      </c>
      <c r="BZ56" s="1142">
        <f>'Recycling - Case 3'!CA126</f>
        <v>3.2634749196310313</v>
      </c>
      <c r="CA56" s="596">
        <v>2046</v>
      </c>
      <c r="CB56" s="649">
        <f>'Recycling - Case 1'!CB126</f>
        <v>0.41954394401353745</v>
      </c>
      <c r="CC56" s="417">
        <f>'Recycling - Case 1'!CC126</f>
        <v>0.33076388693024317</v>
      </c>
      <c r="CD56" s="417">
        <f>'Recycling - Case 1'!CD126</f>
        <v>0.41954394401353745</v>
      </c>
      <c r="CE56" s="525">
        <f>'Recycling - Case 1'!CE126</f>
        <v>0.33076388693024317</v>
      </c>
      <c r="CF56" s="649">
        <f>'Recycling - Case 2'!CB126</f>
        <v>0.36773401246533388</v>
      </c>
      <c r="CG56" s="417">
        <f>'Recycling - Case 2'!CC126</f>
        <v>0.37021257153658016</v>
      </c>
      <c r="CH56" s="417">
        <f>'Recycling - Case 2'!CD126</f>
        <v>0.36773401246533388</v>
      </c>
      <c r="CI56" s="525">
        <f>'Recycling - Case 2'!CE126</f>
        <v>0.37021257153658016</v>
      </c>
      <c r="CJ56" s="649">
        <f>'Recycling - Case 3'!CB126</f>
        <v>0.36773401246533388</v>
      </c>
      <c r="CK56" s="417">
        <f>'Recycling - Case 3'!CC126</f>
        <v>0.37021257153658016</v>
      </c>
      <c r="CL56" s="417">
        <f>'Recycling - Case 3'!CD126</f>
        <v>0.36773401246533388</v>
      </c>
      <c r="CM56" s="525">
        <f>'Recycling - Case 3'!CE126</f>
        <v>0.37021257153658016</v>
      </c>
    </row>
    <row r="57" spans="1:91">
      <c r="A57" s="4">
        <f>'Input data'!A146</f>
        <v>2046</v>
      </c>
      <c r="B57" s="4"/>
      <c r="C57" s="769">
        <f>'4A SWD Case 1'!BG116</f>
        <v>354.19936702440975</v>
      </c>
      <c r="D57" s="3">
        <f>'4B Biological treatment '!T110</f>
        <v>0.8182540803242544</v>
      </c>
      <c r="E57" s="1157">
        <f>'4B Biological treatment '!U110</f>
        <v>36.821433614591442</v>
      </c>
      <c r="F57" s="1157">
        <f>'4B Biological treatment '!W110</f>
        <v>2.2092860168754864</v>
      </c>
      <c r="G57" s="952">
        <f>'4C2 Open-burning '!R117</f>
        <v>9.1627327333324242</v>
      </c>
      <c r="H57" s="952">
        <f>'4C2 Open-burning '!Z117</f>
        <v>3.0829790442898553</v>
      </c>
      <c r="I57" s="952">
        <f>'4C2 Open-burning '!AH117</f>
        <v>4.2920271786454856E-2</v>
      </c>
      <c r="J57" s="987">
        <f>'4D Wastewater treatment and dis'!AV154</f>
        <v>228.99654211456212</v>
      </c>
      <c r="K57" s="770">
        <f>'4D Wastewater treatment and dis'!AW154</f>
        <v>3.7336649298790605</v>
      </c>
      <c r="L57" s="771">
        <f t="shared" si="69"/>
        <v>7438.1867075126047</v>
      </c>
      <c r="M57" s="772">
        <f t="shared" si="70"/>
        <v>17.183335686809343</v>
      </c>
      <c r="N57" s="771">
        <f t="shared" si="71"/>
        <v>1458.1287711378209</v>
      </c>
      <c r="O57" s="773">
        <f t="shared" si="72"/>
        <v>87.210576917220379</v>
      </c>
      <c r="P57" s="771">
        <f t="shared" si="73"/>
        <v>5966.363512668313</v>
      </c>
      <c r="Q57" s="519">
        <f t="shared" si="74"/>
        <v>7438.1867075126047</v>
      </c>
      <c r="R57" s="521">
        <f t="shared" si="75"/>
        <v>1475.3121068246303</v>
      </c>
      <c r="S57" s="518">
        <f t="shared" si="76"/>
        <v>87.210576917220379</v>
      </c>
      <c r="T57" s="519">
        <f t="shared" si="77"/>
        <v>5966.363512668313</v>
      </c>
      <c r="U57" s="519">
        <f t="shared" si="78"/>
        <v>14967.07290392277</v>
      </c>
      <c r="V57" s="3"/>
      <c r="W57" s="596">
        <f t="shared" si="79"/>
        <v>2047</v>
      </c>
      <c r="X57" s="1101">
        <f t="shared" si="80"/>
        <v>7246.560818118116</v>
      </c>
      <c r="Y57" s="1102">
        <f t="shared" si="81"/>
        <v>1482.7497744154896</v>
      </c>
      <c r="Z57" s="1102">
        <f t="shared" si="82"/>
        <v>81.01502688080474</v>
      </c>
      <c r="AA57" s="1102">
        <f t="shared" si="83"/>
        <v>6039.3358687702357</v>
      </c>
      <c r="AB57" s="1142">
        <f t="shared" si="22"/>
        <v>14849.661488184647</v>
      </c>
      <c r="AC57" s="1423" t="str">
        <f>IF(OR('Recycling - Case 1'!AC127="No",'Recycling - Case 1'!T167="No"), "No", "Yes")</f>
        <v>Yes</v>
      </c>
      <c r="AD57" s="1101">
        <f t="shared" si="84"/>
        <v>7246.560818118116</v>
      </c>
      <c r="AE57" s="1102">
        <f t="shared" si="85"/>
        <v>1482.7497744154896</v>
      </c>
      <c r="AF57" s="1102">
        <f t="shared" si="86"/>
        <v>81.01502688080474</v>
      </c>
      <c r="AG57" s="1102">
        <f t="shared" si="87"/>
        <v>6039.3358687702357</v>
      </c>
      <c r="AH57" s="1142">
        <f t="shared" si="60"/>
        <v>14849.661488184647</v>
      </c>
      <c r="AI57" s="1423" t="str">
        <f>IF(OR('Recycling - Case 1'!AI38="No",'Recycling - Case 1'!Z167="No"), "No", "Yes")</f>
        <v>Yes</v>
      </c>
      <c r="AJ57" s="1101">
        <f t="shared" si="88"/>
        <v>6359.5346971139106</v>
      </c>
      <c r="AK57" s="1102">
        <f t="shared" si="89"/>
        <v>1482.7497744154896</v>
      </c>
      <c r="AL57" s="1102">
        <f t="shared" si="90"/>
        <v>95.15802659352606</v>
      </c>
      <c r="AM57" s="1102">
        <f t="shared" si="91"/>
        <v>6164.1781521979101</v>
      </c>
      <c r="AN57" s="1142">
        <f t="shared" si="92"/>
        <v>14101.620650320838</v>
      </c>
      <c r="AO57" s="1416" t="str">
        <f>IF(OR('Recycling - Case 2'!AC127="No",'Recycling - Case 2'!T167="No"), "No", "Yes")</f>
        <v>Yes</v>
      </c>
      <c r="AP57" s="1101">
        <f t="shared" si="93"/>
        <v>6359.5346971139106</v>
      </c>
      <c r="AQ57" s="1102">
        <f t="shared" si="94"/>
        <v>1482.7497744154896</v>
      </c>
      <c r="AR57" s="1102">
        <f t="shared" si="95"/>
        <v>95.15802659352606</v>
      </c>
      <c r="AS57" s="1102">
        <f t="shared" si="96"/>
        <v>6164.1781521979101</v>
      </c>
      <c r="AT57" s="1142">
        <f t="shared" si="37"/>
        <v>14101.620650320838</v>
      </c>
      <c r="AU57" s="1423" t="str">
        <f>IF(OR('Recycling - Case 2'!AC127="No",'Recycling - Case 2'!T207="No"), "No", "Yes")</f>
        <v>Yes</v>
      </c>
      <c r="AV57" s="1101">
        <f t="shared" si="63"/>
        <v>6361.0636858840517</v>
      </c>
      <c r="AW57" s="1102">
        <f t="shared" si="64"/>
        <v>900.50527065166989</v>
      </c>
      <c r="AX57" s="1102">
        <f t="shared" si="65"/>
        <v>95.15802659352606</v>
      </c>
      <c r="AY57" s="1102">
        <f t="shared" si="66"/>
        <v>6164.1781521979101</v>
      </c>
      <c r="AZ57" s="1142">
        <f t="shared" si="67"/>
        <v>13520.905135327157</v>
      </c>
      <c r="BA57" s="1423" t="str">
        <f>IF(OR('Recycling - Case 3'!AC127="No",'Recycling - Case 3'!T167="No"), "No", "Yes")</f>
        <v>Yes</v>
      </c>
      <c r="BB57" s="1101">
        <f t="shared" si="97"/>
        <v>6361.0636858840517</v>
      </c>
      <c r="BC57" s="1102">
        <f t="shared" si="98"/>
        <v>900.50527065166989</v>
      </c>
      <c r="BD57" s="1102">
        <f t="shared" si="99"/>
        <v>95.15802659352606</v>
      </c>
      <c r="BE57" s="1102">
        <f t="shared" si="100"/>
        <v>6164.1781521979101</v>
      </c>
      <c r="BF57" s="1142">
        <f t="shared" si="47"/>
        <v>13520.905135327157</v>
      </c>
      <c r="BG57" s="1423" t="str">
        <f>IF(OR('Recycling - Case 3'!AC127="No",'Recycling - Case 3'!T207="No"), "No", "Yes")</f>
        <v>Yes</v>
      </c>
      <c r="BH57" s="596">
        <f t="shared" si="48"/>
        <v>2047</v>
      </c>
      <c r="BI57" s="1102">
        <f>'Recycling - Case 1'!BV127</f>
        <v>64.66540764350232</v>
      </c>
      <c r="BJ57" s="417">
        <f>'Recycling - Case 1'!BW127</f>
        <v>0.71516598973560319</v>
      </c>
      <c r="BK57" s="1142">
        <f>'Recycling - Case 1'!BX127</f>
        <v>2.6078429865276798</v>
      </c>
      <c r="BL57" s="1101">
        <f>'Recycling - Case 1'!BY127</f>
        <v>64.66540764350232</v>
      </c>
      <c r="BM57" s="417">
        <f>'Recycling - Case 1'!BZ127</f>
        <v>0.71516598973560319</v>
      </c>
      <c r="BN57" s="1142">
        <f>'Recycling - Case 1'!CA127</f>
        <v>2.6078429865276798</v>
      </c>
      <c r="BO57" s="1102">
        <f>'Recycling - Case 2'!BV127</f>
        <v>64.543473315333046</v>
      </c>
      <c r="BP57" s="417">
        <f>'Recycling - Case 2'!BW127</f>
        <v>0.75339492673174702</v>
      </c>
      <c r="BQ57" s="1142">
        <f>'Recycling - Case 2'!BX127</f>
        <v>2.6078429865276798</v>
      </c>
      <c r="BR57" s="1101">
        <f>'Recycling - Case 2'!BY127</f>
        <v>64.543473315333046</v>
      </c>
      <c r="BS57" s="417">
        <f>'Recycling - Case 2'!BZ127</f>
        <v>0.75339492673174702</v>
      </c>
      <c r="BT57" s="1142">
        <f>'Recycling - Case 2'!CA127</f>
        <v>2.6078429865276798</v>
      </c>
      <c r="BU57" s="1102">
        <f>'Recycling - Case 3'!BV127</f>
        <v>64.543473315333046</v>
      </c>
      <c r="BV57" s="417">
        <f>'Recycling - Case 3'!BW127</f>
        <v>0.75339492673174702</v>
      </c>
      <c r="BW57" s="1142">
        <f>'Recycling - Case 3'!BX127</f>
        <v>2.6078429865276798</v>
      </c>
      <c r="BX57" s="1101">
        <f>'Recycling - Case 3'!BY127</f>
        <v>64.543473315333046</v>
      </c>
      <c r="BY57" s="417">
        <f>'Recycling - Case 3'!BZ127</f>
        <v>0.75339492673174702</v>
      </c>
      <c r="BZ57" s="1142">
        <f>'Recycling - Case 3'!CA127</f>
        <v>2.6078429865276798</v>
      </c>
      <c r="CA57" s="596">
        <v>2047</v>
      </c>
      <c r="CB57" s="649">
        <f>'Recycling - Case 1'!CB127</f>
        <v>0.42821681354067476</v>
      </c>
      <c r="CC57" s="417">
        <f>'Recycling - Case 1'!CC127</f>
        <v>0.34346336908430042</v>
      </c>
      <c r="CD57" s="417">
        <f>'Recycling - Case 1'!CD127</f>
        <v>0.42821681354067476</v>
      </c>
      <c r="CE57" s="525">
        <f>'Recycling - Case 1'!CE127</f>
        <v>0.34346336908430042</v>
      </c>
      <c r="CF57" s="649">
        <f>'Recycling - Case 2'!CB127</f>
        <v>0.36936407712134123</v>
      </c>
      <c r="CG57" s="417">
        <f>'Recycling - Case 2'!CC127</f>
        <v>0.37136287621505581</v>
      </c>
      <c r="CH57" s="417">
        <f>'Recycling - Case 2'!CD127</f>
        <v>0.36936407712134123</v>
      </c>
      <c r="CI57" s="525">
        <f>'Recycling - Case 2'!CE127</f>
        <v>0.37136287621505581</v>
      </c>
      <c r="CJ57" s="649">
        <f>'Recycling - Case 3'!CB127</f>
        <v>0.36936407712134123</v>
      </c>
      <c r="CK57" s="417">
        <f>'Recycling - Case 3'!CC127</f>
        <v>0.37136287621505581</v>
      </c>
      <c r="CL57" s="417">
        <f>'Recycling - Case 3'!CD127</f>
        <v>0.36936407712134123</v>
      </c>
      <c r="CM57" s="525">
        <f>'Recycling - Case 3'!CE127</f>
        <v>0.37136287621505581</v>
      </c>
    </row>
    <row r="58" spans="1:91">
      <c r="A58" s="4">
        <f>'Input data'!A147</f>
        <v>2047</v>
      </c>
      <c r="B58" s="4"/>
      <c r="C58" s="769">
        <f>'4A SWD Case 1'!BG117</f>
        <v>345.07432467229125</v>
      </c>
      <c r="D58" s="3">
        <f>'4B Biological treatment '!T111</f>
        <v>0.82237924260426487</v>
      </c>
      <c r="E58" s="1157">
        <f>'4B Biological treatment '!U111</f>
        <v>37.007065917191916</v>
      </c>
      <c r="F58" s="1157">
        <f>'4B Biological treatment '!W111</f>
        <v>2.220423955031515</v>
      </c>
      <c r="G58" s="952">
        <f>'4C2 Open-burning '!R118</f>
        <v>8.5118005743404197</v>
      </c>
      <c r="H58" s="952">
        <f>'4C2 Open-burning '!Z118</f>
        <v>2.8639603013196191</v>
      </c>
      <c r="I58" s="952">
        <f>'4C2 Open-burning '!AH118</f>
        <v>3.9871161221781672E-2</v>
      </c>
      <c r="J58" s="987">
        <f>'4D Wastewater treatment and dis'!AV155</f>
        <v>232.18173521622998</v>
      </c>
      <c r="K58" s="770">
        <f>'4D Wastewater treatment and dis'!AW155</f>
        <v>3.753288481385181</v>
      </c>
      <c r="L58" s="771">
        <f t="shared" si="69"/>
        <v>7246.560818118116</v>
      </c>
      <c r="M58" s="772">
        <f t="shared" si="70"/>
        <v>17.269964094689563</v>
      </c>
      <c r="N58" s="771">
        <f t="shared" si="71"/>
        <v>1465.4798103208</v>
      </c>
      <c r="O58" s="773">
        <f t="shared" si="72"/>
        <v>81.01502688080474</v>
      </c>
      <c r="P58" s="771">
        <f t="shared" si="73"/>
        <v>6039.3358687702357</v>
      </c>
      <c r="Q58" s="519">
        <f t="shared" si="74"/>
        <v>7246.560818118116</v>
      </c>
      <c r="R58" s="521">
        <f t="shared" si="75"/>
        <v>1482.7497744154896</v>
      </c>
      <c r="S58" s="518">
        <f t="shared" si="76"/>
        <v>81.01502688080474</v>
      </c>
      <c r="T58" s="519">
        <f t="shared" si="77"/>
        <v>6039.3358687702357</v>
      </c>
      <c r="U58" s="519">
        <f t="shared" si="78"/>
        <v>14849.661488184647</v>
      </c>
      <c r="V58" s="3"/>
      <c r="W58" s="596">
        <f t="shared" si="79"/>
        <v>2048</v>
      </c>
      <c r="X58" s="1101">
        <f t="shared" si="80"/>
        <v>7057.5939863435706</v>
      </c>
      <c r="Y58" s="1102">
        <f t="shared" si="81"/>
        <v>1489.4972787265215</v>
      </c>
      <c r="Z58" s="1102">
        <f t="shared" si="82"/>
        <v>80.909427087737839</v>
      </c>
      <c r="AA58" s="1102">
        <f t="shared" si="83"/>
        <v>6111.5653520357046</v>
      </c>
      <c r="AB58" s="1142">
        <f t="shared" si="22"/>
        <v>14739.566044193534</v>
      </c>
      <c r="AC58" s="1423" t="str">
        <f>IF(OR('Recycling - Case 1'!AC128="No",'Recycling - Case 1'!T168="No"), "No", "Yes")</f>
        <v>Yes</v>
      </c>
      <c r="AD58" s="1101">
        <f t="shared" si="84"/>
        <v>7057.5939863435706</v>
      </c>
      <c r="AE58" s="1102">
        <f t="shared" si="85"/>
        <v>1489.4972787265215</v>
      </c>
      <c r="AF58" s="1102">
        <f t="shared" si="86"/>
        <v>80.909427087737839</v>
      </c>
      <c r="AG58" s="1102">
        <f t="shared" si="87"/>
        <v>6111.5653520357046</v>
      </c>
      <c r="AH58" s="1142">
        <f t="shared" si="60"/>
        <v>14739.566044193534</v>
      </c>
      <c r="AI58" s="1423" t="str">
        <f>IF(OR('Recycling - Case 1'!AI39="No",'Recycling - Case 1'!Z168="No"), "No", "Yes")</f>
        <v>Yes</v>
      </c>
      <c r="AJ58" s="1101">
        <f t="shared" si="88"/>
        <v>6209.2715626276931</v>
      </c>
      <c r="AK58" s="1102">
        <f t="shared" si="89"/>
        <v>1489.4972787265215</v>
      </c>
      <c r="AL58" s="1102">
        <f t="shared" si="90"/>
        <v>95.012372079499713</v>
      </c>
      <c r="AM58" s="1102">
        <f t="shared" si="91"/>
        <v>6195.212564886453</v>
      </c>
      <c r="AN58" s="1142">
        <f t="shared" si="92"/>
        <v>13988.993778320168</v>
      </c>
      <c r="AO58" s="1416" t="str">
        <f>IF(OR('Recycling - Case 2'!AC128="No",'Recycling - Case 2'!T168="No"), "No", "Yes")</f>
        <v>Yes</v>
      </c>
      <c r="AP58" s="1101">
        <f t="shared" si="93"/>
        <v>6209.2715626276931</v>
      </c>
      <c r="AQ58" s="1102">
        <f t="shared" si="94"/>
        <v>1489.4972787265215</v>
      </c>
      <c r="AR58" s="1102">
        <f t="shared" si="95"/>
        <v>95.012372079499713</v>
      </c>
      <c r="AS58" s="1102">
        <f t="shared" si="96"/>
        <v>6195.212564886453</v>
      </c>
      <c r="AT58" s="1142">
        <f t="shared" si="37"/>
        <v>13988.993778320168</v>
      </c>
      <c r="AU58" s="1423" t="str">
        <f>IF(OR('Recycling - Case 2'!AC128="No",'Recycling - Case 2'!T208="No"), "No", "Yes")</f>
        <v>Yes</v>
      </c>
      <c r="AV58" s="1101">
        <f t="shared" si="63"/>
        <v>6210.8392149115462</v>
      </c>
      <c r="AW58" s="1102">
        <f t="shared" si="64"/>
        <v>904.60317260429349</v>
      </c>
      <c r="AX58" s="1102">
        <f t="shared" si="65"/>
        <v>95.012372079499713</v>
      </c>
      <c r="AY58" s="1102">
        <f t="shared" si="66"/>
        <v>6195.212564886453</v>
      </c>
      <c r="AZ58" s="1142">
        <f t="shared" si="67"/>
        <v>13405.667324481794</v>
      </c>
      <c r="BA58" s="1423" t="str">
        <f>IF(OR('Recycling - Case 3'!AC128="No",'Recycling - Case 3'!T168="No"), "No", "Yes")</f>
        <v>Yes</v>
      </c>
      <c r="BB58" s="1101">
        <f t="shared" si="97"/>
        <v>6210.8392149115462</v>
      </c>
      <c r="BC58" s="1102">
        <f t="shared" si="98"/>
        <v>904.60317260429349</v>
      </c>
      <c r="BD58" s="1102">
        <f t="shared" si="99"/>
        <v>95.012372079499713</v>
      </c>
      <c r="BE58" s="1102">
        <f t="shared" si="100"/>
        <v>6195.212564886453</v>
      </c>
      <c r="BF58" s="1142">
        <f t="shared" si="47"/>
        <v>13405.667324481794</v>
      </c>
      <c r="BG58" s="1423" t="str">
        <f>IF(OR('Recycling - Case 3'!AC128="No",'Recycling - Case 3'!T208="No"), "No", "Yes")</f>
        <v>Yes</v>
      </c>
      <c r="BH58" s="596">
        <f t="shared" si="48"/>
        <v>2048</v>
      </c>
      <c r="BI58" s="1102">
        <f>'Recycling - Case 1'!BV128</f>
        <v>64.136960419847853</v>
      </c>
      <c r="BJ58" s="417">
        <f>'Recycling - Case 1'!BW128</f>
        <v>0.72655753325536587</v>
      </c>
      <c r="BK58" s="1142">
        <f>'Recycling - Case 1'!BX128</f>
        <v>1.9522110534243289</v>
      </c>
      <c r="BL58" s="1101">
        <f>'Recycling - Case 1'!BY128</f>
        <v>64.136960419847853</v>
      </c>
      <c r="BM58" s="417">
        <f>'Recycling - Case 1'!BZ128</f>
        <v>0.72655753325536587</v>
      </c>
      <c r="BN58" s="1142">
        <f>'Recycling - Case 1'!CA128</f>
        <v>1.9522110534243289</v>
      </c>
      <c r="BO58" s="1102">
        <f>'Recycling - Case 2'!BV128</f>
        <v>64.773387591118848</v>
      </c>
      <c r="BP58" s="417">
        <f>'Recycling - Case 2'!BW128</f>
        <v>0.75427025576631102</v>
      </c>
      <c r="BQ58" s="1142">
        <f>'Recycling - Case 2'!BX128</f>
        <v>1.9522110534243289</v>
      </c>
      <c r="BR58" s="1101">
        <f>'Recycling - Case 2'!BY128</f>
        <v>64.773387591118848</v>
      </c>
      <c r="BS58" s="417">
        <f>'Recycling - Case 2'!BZ128</f>
        <v>0.75427025576631102</v>
      </c>
      <c r="BT58" s="1142">
        <f>'Recycling - Case 2'!CA128</f>
        <v>1.9522110534243289</v>
      </c>
      <c r="BU58" s="1102">
        <f>'Recycling - Case 3'!BV128</f>
        <v>64.773387591118848</v>
      </c>
      <c r="BV58" s="417">
        <f>'Recycling - Case 3'!BW128</f>
        <v>0.75427025576631102</v>
      </c>
      <c r="BW58" s="1142">
        <f>'Recycling - Case 3'!BX128</f>
        <v>1.9522110534243289</v>
      </c>
      <c r="BX58" s="1101">
        <f>'Recycling - Case 3'!BY128</f>
        <v>64.773387591118848</v>
      </c>
      <c r="BY58" s="417">
        <f>'Recycling - Case 3'!BZ128</f>
        <v>0.75427025576631102</v>
      </c>
      <c r="BZ58" s="1142">
        <f>'Recycling - Case 3'!CA128</f>
        <v>1.9522110534243289</v>
      </c>
      <c r="CA58" s="596">
        <v>2048</v>
      </c>
      <c r="CB58" s="649">
        <f>'Recycling - Case 1'!CB128</f>
        <v>0.42973811714044319</v>
      </c>
      <c r="CC58" s="417">
        <f>'Recycling - Case 1'!CC128</f>
        <v>0.35495659183064587</v>
      </c>
      <c r="CD58" s="417">
        <f>'Recycling - Case 1'!CD128</f>
        <v>0.42973811714044319</v>
      </c>
      <c r="CE58" s="525">
        <f>'Recycling - Case 1'!CE128</f>
        <v>0.35495659183064587</v>
      </c>
      <c r="CF58" s="649">
        <f>'Recycling - Case 2'!CB128</f>
        <v>0.3709171539155135</v>
      </c>
      <c r="CG58" s="417">
        <f>'Recycling - Case 2'!CC128</f>
        <v>0.37219889450984733</v>
      </c>
      <c r="CH58" s="417">
        <f>'Recycling - Case 2'!CD128</f>
        <v>0.3709171539155135</v>
      </c>
      <c r="CI58" s="525">
        <f>'Recycling - Case 2'!CE128</f>
        <v>0.37219889450984733</v>
      </c>
      <c r="CJ58" s="649">
        <f>'Recycling - Case 3'!CB128</f>
        <v>0.3709171539155135</v>
      </c>
      <c r="CK58" s="417">
        <f>'Recycling - Case 3'!CC128</f>
        <v>0.37219889450984733</v>
      </c>
      <c r="CL58" s="417">
        <f>'Recycling - Case 3'!CD128</f>
        <v>0.3709171539155135</v>
      </c>
      <c r="CM58" s="525">
        <f>'Recycling - Case 3'!CE128</f>
        <v>0.37219889450984733</v>
      </c>
    </row>
    <row r="59" spans="1:91">
      <c r="A59" s="4">
        <f>'Input data'!A148</f>
        <v>2048</v>
      </c>
      <c r="B59" s="4"/>
      <c r="C59" s="769">
        <f>'4A SWD Case 1'!BG118</f>
        <v>336.07590411159862</v>
      </c>
      <c r="D59" s="3">
        <f>'4B Biological treatment '!T112</f>
        <v>0.82612161881670654</v>
      </c>
      <c r="E59" s="1157">
        <f>'4B Biological treatment '!U112</f>
        <v>37.175472846751788</v>
      </c>
      <c r="F59" s="1157">
        <f>'4B Biological treatment '!W112</f>
        <v>2.2305283708051076</v>
      </c>
      <c r="G59" s="952">
        <f>'4C2 Open-burning '!R119</f>
        <v>8.5007057884237334</v>
      </c>
      <c r="H59" s="952">
        <f>'4C2 Open-burning '!Z119</f>
        <v>2.8602272455296589</v>
      </c>
      <c r="I59" s="952">
        <f>'4C2 Open-burning '!AH119</f>
        <v>3.9819190784487965E-2</v>
      </c>
      <c r="J59" s="987">
        <f>'4D Wastewater treatment and dis'!AV156</f>
        <v>235.34228677758742</v>
      </c>
      <c r="K59" s="770">
        <f>'4D Wastewater treatment and dis'!AW156</f>
        <v>3.7721849345366727</v>
      </c>
      <c r="L59" s="771">
        <f t="shared" si="69"/>
        <v>7057.5939863435706</v>
      </c>
      <c r="M59" s="772">
        <f t="shared" si="70"/>
        <v>17.348553995150837</v>
      </c>
      <c r="N59" s="771">
        <f t="shared" si="71"/>
        <v>1472.1487247313707</v>
      </c>
      <c r="O59" s="773">
        <f t="shared" si="72"/>
        <v>80.909427087737839</v>
      </c>
      <c r="P59" s="771">
        <f t="shared" si="73"/>
        <v>6111.5653520357046</v>
      </c>
      <c r="Q59" s="519">
        <f t="shared" si="74"/>
        <v>7057.5939863435706</v>
      </c>
      <c r="R59" s="521">
        <f t="shared" si="75"/>
        <v>1489.4972787265215</v>
      </c>
      <c r="S59" s="518">
        <f t="shared" si="76"/>
        <v>80.909427087737839</v>
      </c>
      <c r="T59" s="519">
        <f t="shared" si="77"/>
        <v>6111.5653520357046</v>
      </c>
      <c r="U59" s="519">
        <f t="shared" si="78"/>
        <v>14739.566044193534</v>
      </c>
      <c r="V59" s="3"/>
      <c r="W59" s="596">
        <f t="shared" si="79"/>
        <v>2049</v>
      </c>
      <c r="X59" s="1101">
        <f t="shared" si="80"/>
        <v>6877.1859890143769</v>
      </c>
      <c r="Y59" s="1102">
        <f t="shared" si="81"/>
        <v>1496.687464809648</v>
      </c>
      <c r="Z59" s="1102">
        <f t="shared" si="82"/>
        <v>80.809261722071639</v>
      </c>
      <c r="AA59" s="1102">
        <f t="shared" si="83"/>
        <v>6182.9912914083579</v>
      </c>
      <c r="AB59" s="1142">
        <f t="shared" si="22"/>
        <v>14637.674006954454</v>
      </c>
      <c r="AC59" s="1423" t="str">
        <f>IF(OR('Recycling - Case 1'!AC129="No",'Recycling - Case 1'!T169="No"), "No", "Yes")</f>
        <v>Yes</v>
      </c>
      <c r="AD59" s="1101">
        <f t="shared" si="84"/>
        <v>6877.1859890143769</v>
      </c>
      <c r="AE59" s="1102">
        <f t="shared" si="85"/>
        <v>1496.687464809648</v>
      </c>
      <c r="AF59" s="1102">
        <f t="shared" si="86"/>
        <v>80.809261722071639</v>
      </c>
      <c r="AG59" s="1102">
        <f t="shared" si="87"/>
        <v>6182.9912914083579</v>
      </c>
      <c r="AH59" s="1142">
        <f t="shared" si="60"/>
        <v>14637.674006954454</v>
      </c>
      <c r="AI59" s="1423" t="str">
        <f>IF(OR('Recycling - Case 1'!AI40="No",'Recycling - Case 1'!Z169="No"), "No", "Yes")</f>
        <v>Yes</v>
      </c>
      <c r="AJ59" s="1101">
        <f t="shared" si="88"/>
        <v>6068.7958541393054</v>
      </c>
      <c r="AK59" s="1102">
        <f t="shared" si="89"/>
        <v>1496.687464809648</v>
      </c>
      <c r="AL59" s="1102">
        <f t="shared" si="90"/>
        <v>94.874274538761085</v>
      </c>
      <c r="AM59" s="1102">
        <f t="shared" si="91"/>
        <v>6225.016100184308</v>
      </c>
      <c r="AN59" s="1142">
        <f t="shared" si="92"/>
        <v>13885.373693672023</v>
      </c>
      <c r="AO59" s="1416" t="str">
        <f>IF(OR('Recycling - Case 2'!AC129="No",'Recycling - Case 2'!T169="No"), "No", "Yes")</f>
        <v>Yes</v>
      </c>
      <c r="AP59" s="1101">
        <f t="shared" si="93"/>
        <v>6068.7958541393054</v>
      </c>
      <c r="AQ59" s="1102">
        <f t="shared" si="94"/>
        <v>1496.687464809648</v>
      </c>
      <c r="AR59" s="1102">
        <f t="shared" si="95"/>
        <v>94.874274538761085</v>
      </c>
      <c r="AS59" s="1102">
        <f t="shared" si="96"/>
        <v>6225.016100184308</v>
      </c>
      <c r="AT59" s="1142">
        <f t="shared" si="37"/>
        <v>13885.373693672023</v>
      </c>
      <c r="AU59" s="1423" t="str">
        <f>IF(OR('Recycling - Case 2'!AC129="No",'Recycling - Case 2'!T209="No"), "No", "Yes")</f>
        <v>Yes</v>
      </c>
      <c r="AV59" s="1101">
        <f t="shared" si="63"/>
        <v>6070.4005612971432</v>
      </c>
      <c r="AW59" s="1102">
        <f t="shared" si="64"/>
        <v>908.96992455161626</v>
      </c>
      <c r="AX59" s="1102">
        <f t="shared" si="65"/>
        <v>94.874274538761085</v>
      </c>
      <c r="AY59" s="1102">
        <f t="shared" si="66"/>
        <v>6225.016100184308</v>
      </c>
      <c r="AZ59" s="1142">
        <f t="shared" si="67"/>
        <v>13299.260860571829</v>
      </c>
      <c r="BA59" s="1423" t="str">
        <f>IF(OR('Recycling - Case 3'!AC129="No",'Recycling - Case 3'!T169="No"), "No", "Yes")</f>
        <v>Yes</v>
      </c>
      <c r="BB59" s="1101">
        <f t="shared" si="97"/>
        <v>6070.4005612971432</v>
      </c>
      <c r="BC59" s="1102">
        <f t="shared" si="98"/>
        <v>908.96992455161626</v>
      </c>
      <c r="BD59" s="1102">
        <f t="shared" si="99"/>
        <v>94.874274538761085</v>
      </c>
      <c r="BE59" s="1102">
        <f t="shared" si="100"/>
        <v>6225.016100184308</v>
      </c>
      <c r="BF59" s="1142">
        <f t="shared" si="47"/>
        <v>13299.260860571829</v>
      </c>
      <c r="BG59" s="1423" t="str">
        <f>IF(OR('Recycling - Case 3'!AC129="No",'Recycling - Case 3'!T209="No"), "No", "Yes")</f>
        <v>Yes</v>
      </c>
      <c r="BH59" s="596">
        <f t="shared" si="48"/>
        <v>2049</v>
      </c>
      <c r="BI59" s="1102">
        <f>'Recycling - Case 1'!BV129</f>
        <v>63.683734452256573</v>
      </c>
      <c r="BJ59" s="417">
        <f>'Recycling - Case 1'!BW129</f>
        <v>0.73769463023343285</v>
      </c>
      <c r="BK59" s="1142">
        <f>'Recycling - Case 1'!BX129</f>
        <v>1.2965791203209778</v>
      </c>
      <c r="BL59" s="1101">
        <f>'Recycling - Case 1'!BY129</f>
        <v>63.683734452256573</v>
      </c>
      <c r="BM59" s="417">
        <f>'Recycling - Case 1'!BZ129</f>
        <v>0.73769463023343285</v>
      </c>
      <c r="BN59" s="1142">
        <f>'Recycling - Case 1'!CA129</f>
        <v>1.2965791203209778</v>
      </c>
      <c r="BO59" s="1102">
        <f>'Recycling - Case 2'!BV129</f>
        <v>65.030241255652285</v>
      </c>
      <c r="BP59" s="417">
        <f>'Recycling - Case 2'!BW129</f>
        <v>0.75524082859631403</v>
      </c>
      <c r="BQ59" s="1142">
        <f>'Recycling - Case 2'!BX129</f>
        <v>1.2965791203209778</v>
      </c>
      <c r="BR59" s="1101">
        <f>'Recycling - Case 2'!BY129</f>
        <v>65.030241255652285</v>
      </c>
      <c r="BS59" s="417">
        <f>'Recycling - Case 2'!BZ129</f>
        <v>0.75524082859631403</v>
      </c>
      <c r="BT59" s="1142">
        <f>'Recycling - Case 2'!CA129</f>
        <v>1.2965791203209778</v>
      </c>
      <c r="BU59" s="1102">
        <f>'Recycling - Case 3'!BV129</f>
        <v>65.030241255652285</v>
      </c>
      <c r="BV59" s="417">
        <f>'Recycling - Case 3'!BW129</f>
        <v>0.75524082859631403</v>
      </c>
      <c r="BW59" s="1142">
        <f>'Recycling - Case 3'!BX129</f>
        <v>1.2965791203209778</v>
      </c>
      <c r="BX59" s="1101">
        <f>'Recycling - Case 3'!BY129</f>
        <v>65.030241255652285</v>
      </c>
      <c r="BY59" s="417">
        <f>'Recycling - Case 3'!BZ129</f>
        <v>0.75524082859631403</v>
      </c>
      <c r="BZ59" s="1142">
        <f>'Recycling - Case 3'!CA129</f>
        <v>1.2965791203209778</v>
      </c>
      <c r="CA59" s="596">
        <v>2049</v>
      </c>
      <c r="CB59" s="649">
        <f>'Recycling - Case 1'!CB129</f>
        <v>0.43118445086567736</v>
      </c>
      <c r="CC59" s="417">
        <f>'Recycling - Case 1'!CC129</f>
        <v>0.36585667689368018</v>
      </c>
      <c r="CD59" s="417">
        <f>'Recycling - Case 1'!CD129</f>
        <v>0.43118445086567736</v>
      </c>
      <c r="CE59" s="525">
        <f>'Recycling - Case 1'!CE129</f>
        <v>0.36585667689368018</v>
      </c>
      <c r="CF59" s="649">
        <f>'Recycling - Case 2'!CB129</f>
        <v>0.37239355070665991</v>
      </c>
      <c r="CG59" s="417">
        <f>'Recycling - Case 2'!CC129</f>
        <v>0.37321594039316452</v>
      </c>
      <c r="CH59" s="417">
        <f>'Recycling - Case 2'!CD129</f>
        <v>0.37239355070665991</v>
      </c>
      <c r="CI59" s="525">
        <f>'Recycling - Case 2'!CE129</f>
        <v>0.37321594039316452</v>
      </c>
      <c r="CJ59" s="649">
        <f>'Recycling - Case 3'!CB129</f>
        <v>0.37239355070665991</v>
      </c>
      <c r="CK59" s="417">
        <f>'Recycling - Case 3'!CC129</f>
        <v>0.37321594039316452</v>
      </c>
      <c r="CL59" s="417">
        <f>'Recycling - Case 3'!CD129</f>
        <v>0.37239355070665991</v>
      </c>
      <c r="CM59" s="525">
        <f>'Recycling - Case 3'!CE129</f>
        <v>0.37321594039316452</v>
      </c>
    </row>
    <row r="60" spans="1:91" ht="15.75" thickBot="1">
      <c r="A60" s="4">
        <f>'Input data'!A149</f>
        <v>2049</v>
      </c>
      <c r="B60" s="4"/>
      <c r="C60" s="769">
        <f>'4A SWD Case 1'!BG119</f>
        <v>327.48504709592271</v>
      </c>
      <c r="D60" s="3">
        <f>'4B Biological treatment '!T113</f>
        <v>0.83010952013846251</v>
      </c>
      <c r="E60" s="1157">
        <f>'4B Biological treatment '!U113</f>
        <v>37.354928406230812</v>
      </c>
      <c r="F60" s="1157">
        <f>'4B Biological treatment '!W113</f>
        <v>2.2412957043738486</v>
      </c>
      <c r="G60" s="952">
        <f>'4C2 Open-burning '!R120</f>
        <v>8.4901819677224086</v>
      </c>
      <c r="H60" s="952">
        <f>'4C2 Open-burning '!Z120</f>
        <v>2.8566863020543547</v>
      </c>
      <c r="I60" s="952">
        <f>'4C2 Open-burning '!AH120</f>
        <v>3.9769894874863793E-2</v>
      </c>
      <c r="J60" s="987">
        <f>'4D Wastewater treatment and dis'!AV157</f>
        <v>238.4756378801587</v>
      </c>
      <c r="K60" s="770">
        <f>'4D Wastewater treatment and dis'!AW157</f>
        <v>3.790331922338789</v>
      </c>
      <c r="L60" s="771">
        <f t="shared" si="69"/>
        <v>6877.1859890143769</v>
      </c>
      <c r="M60" s="772">
        <f t="shared" si="70"/>
        <v>17.432299922907713</v>
      </c>
      <c r="N60" s="771">
        <f t="shared" si="71"/>
        <v>1479.2551648867402</v>
      </c>
      <c r="O60" s="773">
        <f t="shared" si="72"/>
        <v>80.809261722071639</v>
      </c>
      <c r="P60" s="771">
        <f t="shared" si="73"/>
        <v>6182.9912914083579</v>
      </c>
      <c r="Q60" s="519">
        <f t="shared" si="74"/>
        <v>6877.1859890143769</v>
      </c>
      <c r="R60" s="521">
        <f t="shared" si="75"/>
        <v>1496.687464809648</v>
      </c>
      <c r="S60" s="518">
        <f t="shared" si="76"/>
        <v>80.809261722071639</v>
      </c>
      <c r="T60" s="519">
        <f t="shared" si="77"/>
        <v>6182.9912914083579</v>
      </c>
      <c r="U60" s="519">
        <f t="shared" si="78"/>
        <v>14637.674006954454</v>
      </c>
      <c r="V60" s="3"/>
      <c r="W60" s="1143">
        <f t="shared" si="79"/>
        <v>2050</v>
      </c>
      <c r="X60" s="1147">
        <f t="shared" si="80"/>
        <v>6705.1518721867369</v>
      </c>
      <c r="Y60" s="1144">
        <f t="shared" si="81"/>
        <v>1503.3954147904467</v>
      </c>
      <c r="Z60" s="1144">
        <f t="shared" si="82"/>
        <v>80.714423465488096</v>
      </c>
      <c r="AA60" s="1144">
        <f t="shared" si="83"/>
        <v>6253.5692148873932</v>
      </c>
      <c r="AB60" s="1145">
        <f t="shared" si="22"/>
        <v>14542.830925330065</v>
      </c>
      <c r="AC60" s="1423" t="str">
        <f>IF(OR('Recycling - Case 1'!AC130="No",'Recycling - Case 1'!T170="No"), "No", "Yes")</f>
        <v>Yes</v>
      </c>
      <c r="AD60" s="1147">
        <f t="shared" si="84"/>
        <v>6705.1518721867369</v>
      </c>
      <c r="AE60" s="1144">
        <f t="shared" si="85"/>
        <v>1503.3954147904467</v>
      </c>
      <c r="AF60" s="1144">
        <f t="shared" si="86"/>
        <v>80.714423465488096</v>
      </c>
      <c r="AG60" s="1144">
        <f t="shared" si="87"/>
        <v>6253.5692148873932</v>
      </c>
      <c r="AH60" s="1145">
        <f t="shared" si="60"/>
        <v>14542.830925330065</v>
      </c>
      <c r="AI60" s="1423" t="str">
        <f>IF(OR('Recycling - Case 1'!AI41="No",'Recycling - Case 1'!Z170="No"), "No", "Yes")</f>
        <v>Yes</v>
      </c>
      <c r="AJ60" s="1147">
        <f t="shared" si="88"/>
        <v>5937.6562167684378</v>
      </c>
      <c r="AK60" s="1144">
        <f t="shared" si="89"/>
        <v>1503.3954147904467</v>
      </c>
      <c r="AL60" s="1144">
        <f t="shared" si="90"/>
        <v>94.743576365939845</v>
      </c>
      <c r="AM60" s="1144">
        <f t="shared" si="91"/>
        <v>6253.5692148873932</v>
      </c>
      <c r="AN60" s="1145">
        <f t="shared" si="92"/>
        <v>13789.364422812218</v>
      </c>
      <c r="AO60" s="1416" t="str">
        <f>IF(OR('Recycling - Case 2'!AC130="No",'Recycling - Case 2'!T170="No"), "No", "Yes")</f>
        <v>Yes</v>
      </c>
      <c r="AP60" s="1147">
        <f t="shared" si="93"/>
        <v>5937.6562167684378</v>
      </c>
      <c r="AQ60" s="1144">
        <f t="shared" si="94"/>
        <v>1503.3954147904467</v>
      </c>
      <c r="AR60" s="1144">
        <f t="shared" si="95"/>
        <v>94.743576365939845</v>
      </c>
      <c r="AS60" s="1144">
        <f t="shared" si="96"/>
        <v>6253.5692148873932</v>
      </c>
      <c r="AT60" s="1145">
        <f t="shared" si="37"/>
        <v>13789.364422812218</v>
      </c>
      <c r="AU60" s="1423" t="str">
        <f>IF(OR('Recycling - Case 2'!AC130="No",'Recycling - Case 2'!T210="No"), "No", "Yes")</f>
        <v>Yes</v>
      </c>
      <c r="AV60" s="1147">
        <f t="shared" si="63"/>
        <v>5939.2964383400131</v>
      </c>
      <c r="AW60" s="1144">
        <f t="shared" si="64"/>
        <v>913.04380432364883</v>
      </c>
      <c r="AX60" s="1144">
        <f t="shared" si="65"/>
        <v>94.743576365939845</v>
      </c>
      <c r="AY60" s="1144">
        <f t="shared" si="66"/>
        <v>6253.5692148873932</v>
      </c>
      <c r="AZ60" s="1145">
        <f t="shared" si="67"/>
        <v>13200.653033916995</v>
      </c>
      <c r="BA60" s="1423" t="str">
        <f>IF(OR('Recycling - Case 3'!AC130="No",'Recycling - Case 3'!T170="No"), "No", "Yes")</f>
        <v>Yes</v>
      </c>
      <c r="BB60" s="1147">
        <f t="shared" si="97"/>
        <v>5939.2964383400131</v>
      </c>
      <c r="BC60" s="1144">
        <f t="shared" si="98"/>
        <v>913.04380432364883</v>
      </c>
      <c r="BD60" s="1144">
        <f t="shared" si="99"/>
        <v>94.743576365939845</v>
      </c>
      <c r="BE60" s="1144">
        <f t="shared" si="100"/>
        <v>6253.5692148873932</v>
      </c>
      <c r="BF60" s="1145">
        <f t="shared" si="47"/>
        <v>13200.653033916995</v>
      </c>
      <c r="BG60" s="1423" t="str">
        <f>IF(OR('Recycling - Case 3'!AC130="No",'Recycling - Case 3'!T210="No"), "No", "Yes")</f>
        <v>Yes</v>
      </c>
      <c r="BH60" s="1143">
        <f t="shared" si="48"/>
        <v>2050</v>
      </c>
      <c r="BI60" s="1144">
        <f>'Recycling - Case 1'!BV130</f>
        <v>63.242614932839146</v>
      </c>
      <c r="BJ60" s="651">
        <f>'Recycling - Case 1'!BW130</f>
        <v>0.74832242495320411</v>
      </c>
      <c r="BK60" s="1145">
        <f>'Recycling - Case 1'!BX130</f>
        <v>0.64094718721762656</v>
      </c>
      <c r="BL60" s="1147">
        <f>'Recycling - Case 1'!BY130</f>
        <v>63.242614932839146</v>
      </c>
      <c r="BM60" s="651">
        <f>'Recycling - Case 1'!BZ130</f>
        <v>0.74832242495320411</v>
      </c>
      <c r="BN60" s="1145">
        <f>'Recycling - Case 1'!CA130</f>
        <v>0.64094718721762656</v>
      </c>
      <c r="BO60" s="1144">
        <f>'Recycling - Case 2'!BV130</f>
        <v>65.253523518185702</v>
      </c>
      <c r="BP60" s="651">
        <f>'Recycling - Case 2'!BW130</f>
        <v>0.75607833711110872</v>
      </c>
      <c r="BQ60" s="1145">
        <f>'Recycling - Case 2'!BX130</f>
        <v>0.64094718721762656</v>
      </c>
      <c r="BR60" s="1147">
        <f>'Recycling - Case 2'!BY130</f>
        <v>65.253523518185702</v>
      </c>
      <c r="BS60" s="651">
        <f>'Recycling - Case 2'!BZ130</f>
        <v>0.75607833711110872</v>
      </c>
      <c r="BT60" s="1145">
        <f>'Recycling - Case 2'!CA130</f>
        <v>0.64094718721762656</v>
      </c>
      <c r="BU60" s="1144">
        <f>'Recycling - Case 3'!BV130</f>
        <v>65.253523518185702</v>
      </c>
      <c r="BV60" s="651">
        <f>'Recycling - Case 3'!BW130</f>
        <v>0.75607833711110872</v>
      </c>
      <c r="BW60" s="1145">
        <f>'Recycling - Case 3'!BX130</f>
        <v>0.64094718721762656</v>
      </c>
      <c r="BX60" s="1147">
        <f>'Recycling - Case 3'!BY130</f>
        <v>65.253523518185702</v>
      </c>
      <c r="BY60" s="651">
        <f>'Recycling - Case 3'!BZ130</f>
        <v>0.75607833711110872</v>
      </c>
      <c r="BZ60" s="1145">
        <f>'Recycling - Case 3'!CA130</f>
        <v>0.64094718721762656</v>
      </c>
      <c r="CA60" s="1143">
        <v>2050</v>
      </c>
      <c r="CB60" s="650">
        <f>'Recycling - Case 1'!CB130</f>
        <v>0.43255685430643398</v>
      </c>
      <c r="CC60" s="651">
        <f>'Recycling - Case 1'!CC130</f>
        <v>0.3757915526682799</v>
      </c>
      <c r="CD60" s="651">
        <f>'Recycling - Case 1'!CD130</f>
        <v>0.43255685430643398</v>
      </c>
      <c r="CE60" s="652">
        <f>'Recycling - Case 1'!CE130</f>
        <v>0.3757915526682799</v>
      </c>
      <c r="CF60" s="650">
        <f>'Recycling - Case 2'!CB130</f>
        <v>0.37379435111020376</v>
      </c>
      <c r="CG60" s="651">
        <f>'Recycling - Case 2'!CC130</f>
        <v>0.37401584679252353</v>
      </c>
      <c r="CH60" s="651">
        <f>'Recycling - Case 2'!CD130</f>
        <v>0.37379435111020376</v>
      </c>
      <c r="CI60" s="652">
        <f>'Recycling - Case 2'!CE130</f>
        <v>0.37401584679252353</v>
      </c>
      <c r="CJ60" s="650">
        <f>'Recycling - Case 3'!CB130</f>
        <v>0.37379435111020376</v>
      </c>
      <c r="CK60" s="651">
        <f>'Recycling - Case 3'!CC130</f>
        <v>0.37401584679252353</v>
      </c>
      <c r="CL60" s="651">
        <f>'Recycling - Case 3'!CD130</f>
        <v>0.37379435111020376</v>
      </c>
      <c r="CM60" s="652">
        <f>'Recycling - Case 3'!CE130</f>
        <v>0.37401584679252353</v>
      </c>
    </row>
    <row r="61" spans="1:91">
      <c r="A61" s="4">
        <f>'Input data'!A150</f>
        <v>2050</v>
      </c>
      <c r="B61" s="4"/>
      <c r="C61" s="769">
        <f>'4A SWD Case 1'!BG120</f>
        <v>319.29294629460651</v>
      </c>
      <c r="D61" s="3">
        <f>'4B Biological treatment '!T114</f>
        <v>0.83382995828643747</v>
      </c>
      <c r="E61" s="1157">
        <f>'4B Biological treatment '!U114</f>
        <v>37.522348122889682</v>
      </c>
      <c r="F61" s="1157">
        <f>'4B Biological treatment '!W114</f>
        <v>2.2513408873733809</v>
      </c>
      <c r="G61" s="952">
        <f>'4C2 Open-burning '!R121</f>
        <v>8.4802178368946208</v>
      </c>
      <c r="H61" s="952">
        <f>'4C2 Open-burning '!Z121</f>
        <v>2.8533336770863817</v>
      </c>
      <c r="I61" s="952">
        <f>'4C2 Open-burning '!AH121</f>
        <v>3.9723220676707957E-2</v>
      </c>
      <c r="J61" s="987">
        <f>'4D Wastewater treatment and dis'!AV158</f>
        <v>241.57984647045004</v>
      </c>
      <c r="K61" s="770">
        <f>'4D Wastewater treatment and dis'!AW158</f>
        <v>3.8077175451869141</v>
      </c>
      <c r="L61" s="771">
        <f t="shared" si="69"/>
        <v>6705.1518721867369</v>
      </c>
      <c r="M61" s="772">
        <f t="shared" si="70"/>
        <v>17.510429124015186</v>
      </c>
      <c r="N61" s="771">
        <f t="shared" si="71"/>
        <v>1485.8849856664315</v>
      </c>
      <c r="O61" s="773">
        <f t="shared" si="72"/>
        <v>80.714423465488096</v>
      </c>
      <c r="P61" s="771">
        <f t="shared" si="73"/>
        <v>6253.5692148873932</v>
      </c>
      <c r="Q61" s="471">
        <f t="shared" si="74"/>
        <v>6705.1518721867369</v>
      </c>
      <c r="R61" s="517">
        <f t="shared" si="75"/>
        <v>1503.3954147904467</v>
      </c>
      <c r="S61" s="514">
        <f t="shared" si="76"/>
        <v>80.714423465488096</v>
      </c>
      <c r="T61" s="471">
        <f t="shared" si="77"/>
        <v>6253.5692148873932</v>
      </c>
      <c r="U61" s="471">
        <f t="shared" si="78"/>
        <v>14542.830925330065</v>
      </c>
      <c r="AJ61" s="53"/>
      <c r="AK61" s="53"/>
      <c r="AL61" s="53"/>
      <c r="AM61" s="53"/>
      <c r="AN61" s="53"/>
      <c r="AP61" s="519"/>
      <c r="AQ61" s="519"/>
      <c r="AR61" s="519"/>
      <c r="AS61" s="519"/>
      <c r="AT61" s="519"/>
      <c r="AU61" s="1417"/>
      <c r="AV61" s="519"/>
      <c r="AW61" s="519"/>
      <c r="AX61" s="519"/>
      <c r="AY61" s="519"/>
      <c r="AZ61" s="519"/>
      <c r="BA61" s="1425"/>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7"/>
      <c r="AV62" s="519"/>
      <c r="AW62" s="519"/>
      <c r="AX62" s="519"/>
      <c r="AY62" s="519"/>
      <c r="AZ62" s="519"/>
      <c r="BB62" s="519"/>
      <c r="BC62" s="519"/>
      <c r="BD62" s="519"/>
      <c r="BE62" s="519"/>
      <c r="BF62" s="519"/>
    </row>
    <row r="63" spans="1:91">
      <c r="A63" s="4">
        <f>'Input data'!A118</f>
        <v>2018</v>
      </c>
      <c r="B63" s="4"/>
      <c r="C63" s="769">
        <f>'4A SWD Case 1'!BN88</f>
        <v>820.5169947820342</v>
      </c>
      <c r="D63" s="3">
        <f>'4B Biological treatment '!T116</f>
        <v>0.32115863087580998</v>
      </c>
      <c r="E63" s="1157">
        <f>'4B Biological treatment '!U116</f>
        <v>20.384176057159792</v>
      </c>
      <c r="F63" s="1157">
        <f>'4B Biological treatment '!W116</f>
        <v>1.2230505634295874</v>
      </c>
      <c r="G63" s="952">
        <f>'4C2 Open-burning '!R89</f>
        <v>32.890504306921038</v>
      </c>
      <c r="H63" s="952">
        <f>'4C2 Open-burning '!Z89</f>
        <v>11.066647744235141</v>
      </c>
      <c r="I63" s="952">
        <f>'4C2 Open-burning '!AH89</f>
        <v>0.15406641502389429</v>
      </c>
      <c r="J63" s="987">
        <f>'4D Wastewater treatment and dis'!AV126</f>
        <v>134.80821026422416</v>
      </c>
      <c r="K63" s="770">
        <f>'4D Wastewater treatment and dis'!AW126</f>
        <v>2.8960026873618072</v>
      </c>
      <c r="L63" s="771">
        <f t="shared" ref="L63:L95" si="101">C63*$B$3</f>
        <v>17230.856890422718</v>
      </c>
      <c r="M63" s="772">
        <f t="shared" ref="M63:M95" si="102">D63*$B$3</f>
        <v>6.7443312483920099</v>
      </c>
      <c r="N63" s="771">
        <f t="shared" ref="N63:N95" si="103">E63*$B$3+F63*$C$3</f>
        <v>807.21337186352775</v>
      </c>
      <c r="O63" s="773">
        <f t="shared" ref="O63:O95" si="104">G63+H63*$B$3+I63*$C$3</f>
        <v>313.05069559326625</v>
      </c>
      <c r="P63" s="771">
        <f t="shared" ref="P63:P95" si="105">J63*$B$3+K63*$C$3</f>
        <v>3728.7332486308678</v>
      </c>
      <c r="Q63" s="471">
        <f t="shared" ref="Q63:Q95" si="106">L63</f>
        <v>17230.856890422718</v>
      </c>
      <c r="R63" s="517">
        <f t="shared" ref="R63:R95" si="107">M63+N63</f>
        <v>813.95770311191973</v>
      </c>
      <c r="S63" s="514">
        <f t="shared" ref="S63:S95" si="108">O63</f>
        <v>313.05069559326625</v>
      </c>
      <c r="T63" s="471">
        <f t="shared" ref="T63:T95" si="109">P63</f>
        <v>3728.7332486308678</v>
      </c>
      <c r="U63" s="471">
        <f t="shared" ref="U63:U95" si="110">SUM(Q63:T63)</f>
        <v>22086.598537758771</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801.61949135232783</v>
      </c>
      <c r="D64" s="3">
        <f>'4B Biological treatment '!T117</f>
        <v>0.37426178802245613</v>
      </c>
      <c r="E64" s="1157">
        <f>'4B Biological treatment '!U117</f>
        <v>21.654826968258032</v>
      </c>
      <c r="F64" s="1157">
        <f>'4B Biological treatment '!W117</f>
        <v>1.2992896180954818</v>
      </c>
      <c r="G64" s="952">
        <f>'4C2 Open-burning '!R90</f>
        <v>32.036480261883405</v>
      </c>
      <c r="H64" s="952">
        <f>'4C2 Open-burning '!Z90</f>
        <v>10.779294799344312</v>
      </c>
      <c r="I64" s="952">
        <f>'4C2 Open-burning '!AH90</f>
        <v>0.1500659770331802</v>
      </c>
      <c r="J64" s="987">
        <f>'4D Wastewater treatment and dis'!AV127</f>
        <v>138.54200894277699</v>
      </c>
      <c r="K64" s="770">
        <f>'4D Wastewater treatment and dis'!AW127</f>
        <v>2.9428357992270668</v>
      </c>
      <c r="L64" s="771">
        <f t="shared" si="101"/>
        <v>16834.009318398883</v>
      </c>
      <c r="M64" s="772">
        <f t="shared" si="102"/>
        <v>7.8594975484715786</v>
      </c>
      <c r="N64" s="771">
        <f t="shared" si="103"/>
        <v>857.53114794301803</v>
      </c>
      <c r="O64" s="773">
        <f t="shared" si="104"/>
        <v>304.9221239283998</v>
      </c>
      <c r="P64" s="771">
        <f t="shared" si="105"/>
        <v>3821.6612855587077</v>
      </c>
      <c r="Q64" s="519">
        <f t="shared" si="106"/>
        <v>16834.009318398883</v>
      </c>
      <c r="R64" s="521">
        <f t="shared" si="107"/>
        <v>865.39064549148964</v>
      </c>
      <c r="S64" s="518">
        <f t="shared" si="108"/>
        <v>304.9221239283998</v>
      </c>
      <c r="T64" s="519">
        <f t="shared" si="109"/>
        <v>3821.6612855587077</v>
      </c>
      <c r="U64" s="519">
        <f t="shared" si="110"/>
        <v>21825.983373377483</v>
      </c>
      <c r="X64" s="104"/>
      <c r="Y64" s="1400"/>
      <c r="Z64" s="1400"/>
      <c r="AA64" s="1398"/>
      <c r="AB64" s="1141"/>
      <c r="AC64" s="1401"/>
      <c r="AD64" s="1401"/>
      <c r="AE64" s="1141"/>
      <c r="AF64" s="1141"/>
      <c r="AG64" s="1141"/>
      <c r="AH64" s="1402"/>
      <c r="AI64" s="1421"/>
      <c r="AJ64" s="529"/>
      <c r="AK64" s="529"/>
      <c r="AL64" s="529"/>
      <c r="AM64" s="529"/>
      <c r="AN64" s="529"/>
      <c r="AO64" s="1420"/>
      <c r="AP64" s="529"/>
      <c r="AQ64" s="104"/>
    </row>
    <row r="65" spans="1:43">
      <c r="A65" s="4">
        <f>'Input data'!A120</f>
        <v>2020</v>
      </c>
      <c r="B65" s="4"/>
      <c r="C65" s="769">
        <f>'4A SWD Case 1'!BN90</f>
        <v>780.87340108713249</v>
      </c>
      <c r="D65" s="3">
        <f>'4B Biological treatment '!T118</f>
        <v>0.42317853830412322</v>
      </c>
      <c r="E65" s="1157">
        <f>'4B Biological treatment '!U118</f>
        <v>22.494410732808049</v>
      </c>
      <c r="F65" s="1157">
        <f>'4B Biological treatment '!W118</f>
        <v>1.349664643968483</v>
      </c>
      <c r="G65" s="952">
        <f>'4C2 Open-burning '!R91</f>
        <v>31.199856234261556</v>
      </c>
      <c r="H65" s="952">
        <f>'4C2 Open-burning '!Z91</f>
        <v>10.497796427605877</v>
      </c>
      <c r="I65" s="952">
        <f>'4C2 Open-burning '!AH91</f>
        <v>0.14614704458216801</v>
      </c>
      <c r="J65" s="987">
        <f>'4D Wastewater treatment and dis'!AV128</f>
        <v>142.36131561162929</v>
      </c>
      <c r="K65" s="770">
        <f>'4D Wastewater treatment and dis'!AW128</f>
        <v>2.9904262793007734</v>
      </c>
      <c r="L65" s="771">
        <f t="shared" si="101"/>
        <v>16398.341422829781</v>
      </c>
      <c r="M65" s="772">
        <f t="shared" si="102"/>
        <v>8.8867493043865871</v>
      </c>
      <c r="N65" s="771">
        <f t="shared" si="103"/>
        <v>890.7786650191988</v>
      </c>
      <c r="O65" s="773">
        <f t="shared" si="104"/>
        <v>296.95916503445704</v>
      </c>
      <c r="P65" s="771">
        <f t="shared" si="105"/>
        <v>3916.619774427455</v>
      </c>
      <c r="Q65" s="519">
        <f t="shared" si="106"/>
        <v>16398.341422829781</v>
      </c>
      <c r="R65" s="521">
        <f t="shared" si="107"/>
        <v>899.66541432358542</v>
      </c>
      <c r="S65" s="518">
        <f t="shared" si="108"/>
        <v>296.95916503445704</v>
      </c>
      <c r="T65" s="519">
        <f t="shared" si="109"/>
        <v>3916.619774427455</v>
      </c>
      <c r="U65" s="519">
        <f t="shared" si="110"/>
        <v>21511.585776615277</v>
      </c>
      <c r="X65" s="104"/>
      <c r="Y65" s="104"/>
      <c r="Z65" s="104"/>
      <c r="AA65" s="236"/>
      <c r="AB65" s="118"/>
      <c r="AC65" s="662"/>
      <c r="AD65" s="662"/>
      <c r="AE65" s="118"/>
      <c r="AF65" s="118"/>
      <c r="AG65" s="118"/>
      <c r="AH65" s="105"/>
      <c r="AI65" s="1422"/>
      <c r="AJ65" s="529"/>
      <c r="AK65" s="529"/>
      <c r="AL65" s="529"/>
      <c r="AM65" s="529"/>
      <c r="AN65" s="529"/>
      <c r="AO65" s="1420"/>
      <c r="AP65" s="529"/>
      <c r="AQ65" s="104"/>
    </row>
    <row r="66" spans="1:43">
      <c r="A66" s="4">
        <f>'Input data'!A121</f>
        <v>2021</v>
      </c>
      <c r="B66" s="4"/>
      <c r="C66" s="769">
        <f>'4A SWD Case 1'!BN91</f>
        <v>760.13289943936286</v>
      </c>
      <c r="D66" s="3">
        <f>'4B Biological treatment '!T119</f>
        <v>0.48868156295860099</v>
      </c>
      <c r="E66" s="1157">
        <f>'4B Biological treatment '!U119</f>
        <v>23.837698006510383</v>
      </c>
      <c r="F66" s="1157">
        <f>'4B Biological treatment '!W119</f>
        <v>1.4302618803906229</v>
      </c>
      <c r="G66" s="952">
        <f>'4C2 Open-burning '!R92</f>
        <v>30.389874688526699</v>
      </c>
      <c r="H66" s="952">
        <f>'4C2 Open-burning '!Z92</f>
        <v>10.225262435352905</v>
      </c>
      <c r="I66" s="952">
        <f>'4C2 Open-burning '!AH92</f>
        <v>0.14235291142378337</v>
      </c>
      <c r="J66" s="987">
        <f>'4D Wastewater treatment and dis'!AV129</f>
        <v>145.8554935003541</v>
      </c>
      <c r="K66" s="770">
        <f>'4D Wastewater treatment and dis'!AW129</f>
        <v>3.0302180288466625</v>
      </c>
      <c r="L66" s="771">
        <f t="shared" si="101"/>
        <v>15962.79088822662</v>
      </c>
      <c r="M66" s="772">
        <f t="shared" si="102"/>
        <v>10.262312822130621</v>
      </c>
      <c r="N66" s="771">
        <f t="shared" si="103"/>
        <v>943.97284105781114</v>
      </c>
      <c r="O66" s="773">
        <f t="shared" si="104"/>
        <v>289.24978837231055</v>
      </c>
      <c r="P66" s="771">
        <f t="shared" si="105"/>
        <v>4002.3329524499013</v>
      </c>
      <c r="Q66" s="519">
        <f t="shared" si="106"/>
        <v>15962.79088822662</v>
      </c>
      <c r="R66" s="521">
        <f t="shared" si="107"/>
        <v>954.23515387994178</v>
      </c>
      <c r="S66" s="518">
        <f t="shared" si="108"/>
        <v>289.24978837231055</v>
      </c>
      <c r="T66" s="519">
        <f t="shared" si="109"/>
        <v>4002.3329524499013</v>
      </c>
      <c r="U66" s="519">
        <f t="shared" si="110"/>
        <v>21208.608782928775</v>
      </c>
      <c r="X66" s="104"/>
      <c r="Y66" s="104"/>
      <c r="Z66" s="104"/>
      <c r="AA66" s="236"/>
      <c r="AB66" s="118"/>
      <c r="AC66" s="662"/>
      <c r="AD66" s="662"/>
      <c r="AE66" s="118"/>
      <c r="AF66" s="118"/>
      <c r="AG66" s="118"/>
      <c r="AH66" s="105"/>
      <c r="AI66" s="1422"/>
      <c r="AJ66" s="529"/>
      <c r="AK66" s="529"/>
      <c r="AL66" s="529"/>
      <c r="AM66" s="529"/>
      <c r="AN66" s="529"/>
      <c r="AO66" s="1420"/>
      <c r="AP66" s="529"/>
      <c r="AQ66" s="104"/>
    </row>
    <row r="67" spans="1:43">
      <c r="A67" s="4">
        <f>'Input data'!A122</f>
        <v>2022</v>
      </c>
      <c r="B67" s="4"/>
      <c r="C67" s="769">
        <f>'4A SWD Case 1'!BN92</f>
        <v>738.83418422445197</v>
      </c>
      <c r="D67" s="3">
        <f>'4B Biological treatment '!T120</f>
        <v>0.55882769114244102</v>
      </c>
      <c r="E67" s="1157">
        <f>'4B Biological treatment '!U120</f>
        <v>25.147246101409838</v>
      </c>
      <c r="F67" s="1157">
        <f>'4B Biological treatment '!W120</f>
        <v>1.5088347660845904</v>
      </c>
      <c r="G67" s="952">
        <f>'4C2 Open-burning '!R93</f>
        <v>29.604729554369428</v>
      </c>
      <c r="H67" s="952">
        <f>'4C2 Open-burning '!Z93</f>
        <v>9.9610851352197987</v>
      </c>
      <c r="I67" s="952">
        <f>'4C2 Open-burning '!AH93</f>
        <v>0.13867511752423495</v>
      </c>
      <c r="J67" s="987">
        <f>'4D Wastewater treatment and dis'!AV130</f>
        <v>149.28011052683274</v>
      </c>
      <c r="K67" s="770">
        <f>'4D Wastewater treatment and dis'!AW130</f>
        <v>3.0677168311206198</v>
      </c>
      <c r="L67" s="771">
        <f t="shared" si="101"/>
        <v>15515.517868713492</v>
      </c>
      <c r="M67" s="772">
        <f t="shared" si="102"/>
        <v>11.735381513991261</v>
      </c>
      <c r="N67" s="771">
        <f t="shared" si="103"/>
        <v>995.83094561582971</v>
      </c>
      <c r="O67" s="773">
        <f t="shared" si="104"/>
        <v>281.776803826498</v>
      </c>
      <c r="P67" s="771">
        <f t="shared" si="105"/>
        <v>4085.8745387108802</v>
      </c>
      <c r="Q67" s="519">
        <f t="shared" si="106"/>
        <v>15515.517868713492</v>
      </c>
      <c r="R67" s="521">
        <f t="shared" si="107"/>
        <v>1007.5663271298209</v>
      </c>
      <c r="S67" s="518">
        <f t="shared" si="108"/>
        <v>281.776803826498</v>
      </c>
      <c r="T67" s="519">
        <f t="shared" si="109"/>
        <v>4085.8745387108802</v>
      </c>
      <c r="U67" s="519">
        <f t="shared" si="110"/>
        <v>20890.73553838069</v>
      </c>
      <c r="X67" s="104"/>
      <c r="Y67" s="104"/>
      <c r="Z67" s="104"/>
      <c r="AA67" s="236"/>
      <c r="AB67" s="118"/>
      <c r="AC67" s="662"/>
      <c r="AD67" s="662"/>
      <c r="AE67" s="118"/>
      <c r="AF67" s="118"/>
      <c r="AG67" s="118"/>
      <c r="AH67" s="105"/>
      <c r="AI67" s="1422"/>
      <c r="AJ67" s="529"/>
      <c r="AK67" s="529"/>
      <c r="AL67" s="529"/>
      <c r="AM67" s="529"/>
      <c r="AN67" s="529"/>
      <c r="AO67" s="1420"/>
      <c r="AP67" s="529"/>
      <c r="AQ67" s="104"/>
    </row>
    <row r="68" spans="1:43">
      <c r="A68" s="4">
        <f>'Input data'!A123</f>
        <v>2023</v>
      </c>
      <c r="B68" s="4"/>
      <c r="C68" s="769">
        <f>'4A SWD Case 1'!BN93</f>
        <v>717.17626112003961</v>
      </c>
      <c r="D68" s="3">
        <f>'4B Biological treatment '!T121</f>
        <v>0.59174669233743526</v>
      </c>
      <c r="E68" s="1157">
        <f>'4B Biological treatment '!U121</f>
        <v>26.628601155184583</v>
      </c>
      <c r="F68" s="1157">
        <f>'4B Biological treatment '!W121</f>
        <v>1.597716069311075</v>
      </c>
      <c r="G68" s="952">
        <f>'4C2 Open-burning '!R94</f>
        <v>28.84593417946968</v>
      </c>
      <c r="H68" s="952">
        <f>'4C2 Open-burning '!Z94</f>
        <v>9.70577372236915</v>
      </c>
      <c r="I68" s="952">
        <f>'4C2 Open-burning '!AH94</f>
        <v>0.13512075173961197</v>
      </c>
      <c r="J68" s="987">
        <f>'4D Wastewater treatment and dis'!AV131</f>
        <v>152.62659791862941</v>
      </c>
      <c r="K68" s="770">
        <f>'4D Wastewater treatment and dis'!AW131</f>
        <v>3.1028223203879186</v>
      </c>
      <c r="L68" s="771">
        <f t="shared" si="101"/>
        <v>15060.701483520832</v>
      </c>
      <c r="M68" s="772">
        <f t="shared" si="102"/>
        <v>12.42668053908614</v>
      </c>
      <c r="N68" s="771">
        <f t="shared" si="103"/>
        <v>1054.4926057453094</v>
      </c>
      <c r="O68" s="773">
        <f t="shared" si="104"/>
        <v>274.55461538850153</v>
      </c>
      <c r="P68" s="771">
        <f t="shared" si="105"/>
        <v>4167.0334756114726</v>
      </c>
      <c r="Q68" s="519">
        <f t="shared" si="106"/>
        <v>15060.701483520832</v>
      </c>
      <c r="R68" s="521">
        <f t="shared" si="107"/>
        <v>1066.9192862843956</v>
      </c>
      <c r="S68" s="518">
        <f t="shared" si="108"/>
        <v>274.55461538850153</v>
      </c>
      <c r="T68" s="519">
        <f t="shared" si="109"/>
        <v>4167.0334756114726</v>
      </c>
      <c r="U68" s="519">
        <f t="shared" si="110"/>
        <v>20569.2088608052</v>
      </c>
      <c r="X68" s="104"/>
      <c r="Y68" s="104"/>
      <c r="Z68" s="104"/>
      <c r="AA68" s="236"/>
      <c r="AB68" s="118"/>
      <c r="AC68" s="662"/>
      <c r="AD68" s="662"/>
      <c r="AE68" s="118"/>
      <c r="AF68" s="118"/>
      <c r="AG68" s="118"/>
      <c r="AH68" s="105"/>
      <c r="AI68" s="1422"/>
      <c r="AJ68" s="529"/>
      <c r="AK68" s="529"/>
      <c r="AL68" s="529"/>
      <c r="AM68" s="529"/>
      <c r="AN68" s="529"/>
      <c r="AO68" s="1420"/>
      <c r="AP68" s="529"/>
      <c r="AQ68" s="104"/>
    </row>
    <row r="69" spans="1:43">
      <c r="A69" s="4">
        <f>'Input data'!A124</f>
        <v>2024</v>
      </c>
      <c r="B69" s="4"/>
      <c r="C69" s="769">
        <f>'4A SWD Case 1'!BN94</f>
        <v>695.3840553621942</v>
      </c>
      <c r="D69" s="3">
        <f>'4B Biological treatment '!T122</f>
        <v>0.62500256692715017</v>
      </c>
      <c r="E69" s="1157">
        <f>'4B Biological treatment '!U122</f>
        <v>28.125115511721752</v>
      </c>
      <c r="F69" s="1157">
        <f>'4B Biological treatment '!W122</f>
        <v>1.687506930703305</v>
      </c>
      <c r="G69" s="952">
        <f>'4C2 Open-burning '!R95</f>
        <v>28.111466555851909</v>
      </c>
      <c r="H69" s="952">
        <f>'4C2 Open-burning '!Z95</f>
        <v>9.4586478530217164</v>
      </c>
      <c r="I69" s="952">
        <f>'4C2 Open-burning '!AH95</f>
        <v>0.13168034253621469</v>
      </c>
      <c r="J69" s="987">
        <f>'4D Wastewater treatment and dis'!AV132</f>
        <v>155.97867704009508</v>
      </c>
      <c r="K69" s="770">
        <f>'4D Wastewater treatment and dis'!AW132</f>
        <v>3.1372946822597805</v>
      </c>
      <c r="L69" s="771">
        <f t="shared" si="101"/>
        <v>14603.065162606079</v>
      </c>
      <c r="M69" s="772">
        <f t="shared" si="102"/>
        <v>13.125053905470153</v>
      </c>
      <c r="N69" s="771">
        <f t="shared" si="103"/>
        <v>1113.7545742641814</v>
      </c>
      <c r="O69" s="773">
        <f t="shared" si="104"/>
        <v>267.56397765553447</v>
      </c>
      <c r="P69" s="771">
        <f t="shared" si="105"/>
        <v>4248.1135693425285</v>
      </c>
      <c r="Q69" s="519">
        <f t="shared" si="106"/>
        <v>14603.065162606079</v>
      </c>
      <c r="R69" s="521">
        <f t="shared" si="107"/>
        <v>1126.8796281696516</v>
      </c>
      <c r="S69" s="518">
        <f t="shared" si="108"/>
        <v>267.56397765553447</v>
      </c>
      <c r="T69" s="519">
        <f t="shared" si="109"/>
        <v>4248.1135693425285</v>
      </c>
      <c r="U69" s="519">
        <f t="shared" si="110"/>
        <v>20245.622337773795</v>
      </c>
      <c r="X69" s="104"/>
      <c r="Y69" s="104"/>
      <c r="Z69" s="104"/>
      <c r="AA69" s="236"/>
      <c r="AB69" s="118"/>
      <c r="AC69" s="662"/>
      <c r="AD69" s="662"/>
      <c r="AE69" s="118"/>
      <c r="AF69" s="118"/>
      <c r="AG69" s="118"/>
      <c r="AH69" s="105"/>
      <c r="AI69" s="1422"/>
      <c r="AJ69" s="529"/>
      <c r="AK69" s="529"/>
      <c r="AL69" s="529"/>
      <c r="AM69" s="529"/>
      <c r="AN69" s="529"/>
      <c r="AO69" s="1420"/>
      <c r="AP69" s="529"/>
      <c r="AQ69" s="104"/>
    </row>
    <row r="70" spans="1:43">
      <c r="A70" s="4">
        <f>'Input data'!A125</f>
        <v>2025</v>
      </c>
      <c r="B70" s="4"/>
      <c r="C70" s="769">
        <f>'4A SWD Case 1'!BN95</f>
        <v>673.44206437258833</v>
      </c>
      <c r="D70" s="3">
        <f>'4B Biological treatment '!T123</f>
        <v>0.65796622644475145</v>
      </c>
      <c r="E70" s="1157">
        <f>'4B Biological treatment '!U123</f>
        <v>29.608480190013811</v>
      </c>
      <c r="F70" s="1157">
        <f>'4B Biological treatment '!W123</f>
        <v>1.7765088114008285</v>
      </c>
      <c r="G70" s="952">
        <f>'4C2 Open-burning '!R96</f>
        <v>27.401350847133774</v>
      </c>
      <c r="H70" s="952">
        <f>'4C2 Open-burning '!Z96</f>
        <v>9.2197156574950636</v>
      </c>
      <c r="I70" s="952">
        <f>'4C2 Open-burning '!AH96</f>
        <v>0.12835400310178607</v>
      </c>
      <c r="J70" s="987">
        <f>'4D Wastewater treatment and dis'!AV133</f>
        <v>159.3338256616378</v>
      </c>
      <c r="K70" s="770">
        <f>'4D Wastewater treatment and dis'!AW133</f>
        <v>3.1711036769819763</v>
      </c>
      <c r="L70" s="771">
        <f t="shared" si="101"/>
        <v>14142.283351824355</v>
      </c>
      <c r="M70" s="772">
        <f t="shared" si="102"/>
        <v>13.81729075533978</v>
      </c>
      <c r="N70" s="771">
        <f t="shared" si="103"/>
        <v>1172.4958155245467</v>
      </c>
      <c r="O70" s="773">
        <f t="shared" si="104"/>
        <v>260.8051206160838</v>
      </c>
      <c r="P70" s="771">
        <f t="shared" si="105"/>
        <v>4329.0524787588065</v>
      </c>
      <c r="Q70" s="519">
        <f t="shared" si="106"/>
        <v>14142.283351824355</v>
      </c>
      <c r="R70" s="521">
        <f t="shared" si="107"/>
        <v>1186.3131062798866</v>
      </c>
      <c r="S70" s="518">
        <f t="shared" si="108"/>
        <v>260.8051206160838</v>
      </c>
      <c r="T70" s="519">
        <f t="shared" si="109"/>
        <v>4329.0524787588065</v>
      </c>
      <c r="U70" s="519">
        <f t="shared" si="110"/>
        <v>19918.454057479132</v>
      </c>
      <c r="X70" s="104"/>
      <c r="Y70" s="104"/>
      <c r="Z70" s="104"/>
      <c r="AA70" s="236"/>
      <c r="AB70" s="118"/>
      <c r="AC70" s="662"/>
      <c r="AD70" s="662"/>
      <c r="AE70" s="118"/>
      <c r="AF70" s="118"/>
      <c r="AG70" s="118"/>
      <c r="AH70" s="105"/>
      <c r="AI70" s="1422"/>
      <c r="AJ70" s="529"/>
      <c r="AK70" s="529"/>
      <c r="AL70" s="529"/>
      <c r="AM70" s="529"/>
      <c r="AN70" s="529"/>
      <c r="AO70" s="1420"/>
      <c r="AP70" s="529"/>
      <c r="AQ70" s="104"/>
    </row>
    <row r="71" spans="1:43">
      <c r="A71" s="4">
        <f>'Input data'!A126</f>
        <v>2026</v>
      </c>
      <c r="B71" s="4"/>
      <c r="C71" s="769">
        <f>'4A SWD Case 1'!BN96</f>
        <v>651.45383671839181</v>
      </c>
      <c r="D71" s="3">
        <f>'4B Biological treatment '!T124</f>
        <v>0.69130444505733324</v>
      </c>
      <c r="E71" s="1157">
        <f>'4B Biological treatment '!U124</f>
        <v>31.108700027579992</v>
      </c>
      <c r="F71" s="1157">
        <f>'4B Biological treatment '!W124</f>
        <v>1.8665220016547992</v>
      </c>
      <c r="G71" s="952">
        <f>'4C2 Open-burning '!R97</f>
        <v>26.715613983164449</v>
      </c>
      <c r="H71" s="952">
        <f>'4C2 Open-burning '!Z97</f>
        <v>8.9889861968589706</v>
      </c>
      <c r="I71" s="952">
        <f>'4C2 Open-burning '!AH97</f>
        <v>0.12514185958171087</v>
      </c>
      <c r="J71" s="987">
        <f>'4D Wastewater treatment and dis'!AV134</f>
        <v>162.68947382129002</v>
      </c>
      <c r="K71" s="770">
        <f>'4D Wastewater treatment and dis'!AW134</f>
        <v>3.2042193824925169</v>
      </c>
      <c r="L71" s="771">
        <f t="shared" si="101"/>
        <v>13680.530571086229</v>
      </c>
      <c r="M71" s="772">
        <f t="shared" si="102"/>
        <v>14.517393346203997</v>
      </c>
      <c r="N71" s="771">
        <f t="shared" si="103"/>
        <v>1231.9045210921677</v>
      </c>
      <c r="O71" s="773">
        <f t="shared" si="104"/>
        <v>254.27830058753318</v>
      </c>
      <c r="P71" s="771">
        <f t="shared" si="105"/>
        <v>4409.7869588197709</v>
      </c>
      <c r="Q71" s="519">
        <f t="shared" si="106"/>
        <v>13680.530571086229</v>
      </c>
      <c r="R71" s="521">
        <f t="shared" si="107"/>
        <v>1246.4219144383717</v>
      </c>
      <c r="S71" s="518">
        <f t="shared" si="108"/>
        <v>254.27830058753318</v>
      </c>
      <c r="T71" s="519">
        <f t="shared" si="109"/>
        <v>4409.7869588197709</v>
      </c>
      <c r="U71" s="519">
        <f t="shared" si="110"/>
        <v>19591.017744931905</v>
      </c>
      <c r="X71" s="104"/>
      <c r="Y71" s="104"/>
      <c r="Z71" s="104"/>
      <c r="AA71" s="236"/>
      <c r="AB71" s="118"/>
      <c r="AC71" s="662"/>
      <c r="AD71" s="662"/>
      <c r="AE71" s="118"/>
      <c r="AF71" s="118"/>
      <c r="AG71" s="118"/>
      <c r="AH71" s="105"/>
      <c r="AI71" s="1422"/>
      <c r="AJ71" s="529"/>
      <c r="AK71" s="529"/>
      <c r="AL71" s="529"/>
      <c r="AM71" s="529"/>
      <c r="AN71" s="529"/>
      <c r="AO71" s="1420"/>
      <c r="AP71" s="529"/>
      <c r="AQ71" s="104"/>
    </row>
    <row r="72" spans="1:43">
      <c r="A72" s="4">
        <f>'Input data'!A127</f>
        <v>2027</v>
      </c>
      <c r="B72" s="4"/>
      <c r="C72" s="769">
        <f>'4A SWD Case 1'!BN97</f>
        <v>629.90262875630776</v>
      </c>
      <c r="D72" s="3">
        <f>'4B Biological treatment '!T125</f>
        <v>0.72463100072834497</v>
      </c>
      <c r="E72" s="1157">
        <f>'4B Biological treatment '!U125</f>
        <v>32.608395032775519</v>
      </c>
      <c r="F72" s="1157">
        <f>'4B Biological treatment '!W125</f>
        <v>1.956503701966531</v>
      </c>
      <c r="G72" s="952">
        <f>'4C2 Open-burning '!R98</f>
        <v>26.054290205817569</v>
      </c>
      <c r="H72" s="952">
        <f>'4C2 Open-burning '!Z98</f>
        <v>8.7664709924555861</v>
      </c>
      <c r="I72" s="952">
        <f>'4C2 Open-burning '!AH98</f>
        <v>0.12204407237251766</v>
      </c>
      <c r="J72" s="987">
        <f>'4D Wastewater treatment and dis'!AV135</f>
        <v>166.04300689775917</v>
      </c>
      <c r="K72" s="770">
        <f>'4D Wastewater treatment and dis'!AW135</f>
        <v>3.2366122379757729</v>
      </c>
      <c r="L72" s="771">
        <f t="shared" si="101"/>
        <v>13227.955203882462</v>
      </c>
      <c r="M72" s="772">
        <f t="shared" si="102"/>
        <v>15.217251015295243</v>
      </c>
      <c r="N72" s="771">
        <f t="shared" si="103"/>
        <v>1291.2924432979105</v>
      </c>
      <c r="O72" s="773">
        <f t="shared" si="104"/>
        <v>247.98384348286535</v>
      </c>
      <c r="P72" s="771">
        <f t="shared" si="105"/>
        <v>4490.2529386254319</v>
      </c>
      <c r="Q72" s="519">
        <f t="shared" si="106"/>
        <v>13227.955203882462</v>
      </c>
      <c r="R72" s="521">
        <f t="shared" si="107"/>
        <v>1306.5096943132057</v>
      </c>
      <c r="S72" s="518">
        <f t="shared" si="108"/>
        <v>247.98384348286535</v>
      </c>
      <c r="T72" s="519">
        <f t="shared" si="109"/>
        <v>4490.2529386254319</v>
      </c>
      <c r="U72" s="519">
        <f t="shared" si="110"/>
        <v>19272.701680303966</v>
      </c>
      <c r="X72" s="104"/>
      <c r="Y72" s="104"/>
      <c r="Z72" s="104"/>
      <c r="AA72" s="236"/>
      <c r="AB72" s="118"/>
      <c r="AC72" s="662"/>
      <c r="AD72" s="662"/>
      <c r="AE72" s="118"/>
      <c r="AF72" s="118"/>
      <c r="AG72" s="118"/>
      <c r="AH72" s="105"/>
      <c r="AI72" s="1422"/>
      <c r="AJ72" s="529"/>
      <c r="AK72" s="529"/>
      <c r="AL72" s="529"/>
      <c r="AM72" s="529"/>
      <c r="AN72" s="529"/>
      <c r="AO72" s="1420"/>
      <c r="AP72" s="529"/>
      <c r="AQ72" s="104"/>
    </row>
    <row r="73" spans="1:43">
      <c r="A73" s="4">
        <f>'Input data'!A128</f>
        <v>2028</v>
      </c>
      <c r="B73" s="4"/>
      <c r="C73" s="769">
        <f>'4A SWD Case 1'!BN98</f>
        <v>608.78433261944303</v>
      </c>
      <c r="D73" s="3">
        <f>'4B Biological treatment '!T126</f>
        <v>0.72675352029146922</v>
      </c>
      <c r="E73" s="1157">
        <f>'4B Biological treatment '!U126</f>
        <v>32.70390841311611</v>
      </c>
      <c r="F73" s="1157">
        <f>'4B Biological treatment '!W126</f>
        <v>1.9622345047869667</v>
      </c>
      <c r="G73" s="952">
        <f>'4C2 Open-burning '!R99</f>
        <v>24.626327981346179</v>
      </c>
      <c r="H73" s="952">
        <f>'4C2 Open-burning '!Z99</f>
        <v>8.2860054215164975</v>
      </c>
      <c r="I73" s="952">
        <f>'4C2 Open-burning '!AH99</f>
        <v>0.115355180689347</v>
      </c>
      <c r="J73" s="987">
        <f>'4D Wastewater treatment and dis'!AV136</f>
        <v>169.39176881605974</v>
      </c>
      <c r="K73" s="770">
        <f>'4D Wastewater treatment and dis'!AW136</f>
        <v>3.2682530873125892</v>
      </c>
      <c r="L73" s="771">
        <f t="shared" si="101"/>
        <v>12784.470985008304</v>
      </c>
      <c r="M73" s="772">
        <f t="shared" si="102"/>
        <v>15.261823926120854</v>
      </c>
      <c r="N73" s="771">
        <f t="shared" si="103"/>
        <v>1295.0747731593981</v>
      </c>
      <c r="O73" s="773">
        <f t="shared" si="104"/>
        <v>234.39254784689018</v>
      </c>
      <c r="P73" s="771">
        <f t="shared" si="105"/>
        <v>4570.3856022041573</v>
      </c>
      <c r="Q73" s="519">
        <f t="shared" si="106"/>
        <v>12784.470985008304</v>
      </c>
      <c r="R73" s="521">
        <f t="shared" si="107"/>
        <v>1310.3365970855189</v>
      </c>
      <c r="S73" s="518">
        <f t="shared" si="108"/>
        <v>234.39254784689018</v>
      </c>
      <c r="T73" s="519">
        <f t="shared" si="109"/>
        <v>4570.3856022041573</v>
      </c>
      <c r="U73" s="519">
        <f t="shared" si="110"/>
        <v>18899.585732144871</v>
      </c>
      <c r="X73" s="104"/>
      <c r="Y73" s="104"/>
      <c r="Z73" s="104"/>
      <c r="AA73" s="236"/>
      <c r="AB73" s="118"/>
      <c r="AC73" s="662"/>
      <c r="AD73" s="662"/>
      <c r="AE73" s="118"/>
      <c r="AF73" s="118"/>
      <c r="AG73" s="118"/>
      <c r="AH73" s="105"/>
      <c r="AI73" s="1422"/>
      <c r="AJ73" s="529"/>
      <c r="AK73" s="529"/>
      <c r="AL73" s="529"/>
      <c r="AM73" s="529"/>
      <c r="AN73" s="529"/>
      <c r="AO73" s="1420"/>
      <c r="AP73" s="529"/>
      <c r="AQ73" s="104"/>
    </row>
    <row r="74" spans="1:43">
      <c r="A74" s="4">
        <f>'Input data'!A129</f>
        <v>2029</v>
      </c>
      <c r="B74" s="4"/>
      <c r="C74" s="769">
        <f>'4A SWD Case 1'!BN99</f>
        <v>588.36024824345827</v>
      </c>
      <c r="D74" s="3">
        <f>'4B Biological treatment '!T127</f>
        <v>0.72903999144245279</v>
      </c>
      <c r="E74" s="1157">
        <f>'4B Biological treatment '!U127</f>
        <v>32.806799614910375</v>
      </c>
      <c r="F74" s="1157">
        <f>'4B Biological treatment '!W127</f>
        <v>1.9684079768946225</v>
      </c>
      <c r="G74" s="952">
        <f>'4C2 Open-burning '!R100</f>
        <v>23.279387038589427</v>
      </c>
      <c r="H74" s="952">
        <f>'4C2 Open-burning '!Z100</f>
        <v>7.8328010313776613</v>
      </c>
      <c r="I74" s="952">
        <f>'4C2 Open-burning '!AH100</f>
        <v>0.109045810654672</v>
      </c>
      <c r="J74" s="987">
        <f>'4D Wastewater treatment and dis'!AV137</f>
        <v>172.74523259876619</v>
      </c>
      <c r="K74" s="770">
        <f>'4D Wastewater treatment and dis'!AW137</f>
        <v>3.2993456099811418</v>
      </c>
      <c r="L74" s="771">
        <f t="shared" si="101"/>
        <v>12355.565213112624</v>
      </c>
      <c r="M74" s="772">
        <f t="shared" si="102"/>
        <v>15.309839820291508</v>
      </c>
      <c r="N74" s="771">
        <f t="shared" si="103"/>
        <v>1299.1492647504508</v>
      </c>
      <c r="O74" s="773">
        <f t="shared" si="104"/>
        <v>221.57241000046861</v>
      </c>
      <c r="P74" s="771">
        <f t="shared" si="105"/>
        <v>4650.4470236682446</v>
      </c>
      <c r="Q74" s="519">
        <f t="shared" si="106"/>
        <v>12355.565213112624</v>
      </c>
      <c r="R74" s="521">
        <f t="shared" si="107"/>
        <v>1314.4591045707423</v>
      </c>
      <c r="S74" s="518">
        <f t="shared" si="108"/>
        <v>221.57241000046861</v>
      </c>
      <c r="T74" s="519">
        <f t="shared" si="109"/>
        <v>4650.4470236682446</v>
      </c>
      <c r="U74" s="519">
        <f t="shared" si="110"/>
        <v>18542.043751352081</v>
      </c>
      <c r="X74" s="104"/>
      <c r="Y74" s="104"/>
      <c r="Z74" s="104"/>
      <c r="AA74" s="236"/>
      <c r="AB74" s="118"/>
      <c r="AC74" s="662"/>
      <c r="AD74" s="662"/>
      <c r="AE74" s="118"/>
      <c r="AF74" s="118"/>
      <c r="AG74" s="118"/>
      <c r="AH74" s="105"/>
      <c r="AI74" s="1422"/>
      <c r="AJ74" s="529"/>
      <c r="AK74" s="529"/>
      <c r="AL74" s="529"/>
      <c r="AM74" s="529"/>
      <c r="AN74" s="529"/>
      <c r="AO74" s="1420"/>
      <c r="AP74" s="529"/>
      <c r="AQ74" s="104"/>
    </row>
    <row r="75" spans="1:43">
      <c r="A75" s="4">
        <f>'Input data'!A130</f>
        <v>2030</v>
      </c>
      <c r="B75" s="4"/>
      <c r="C75" s="769">
        <f>'4A SWD Case 1'!BN100</f>
        <v>568.60748092704227</v>
      </c>
      <c r="D75" s="3">
        <f>'4B Biological treatment '!T128</f>
        <v>0.73179650732474122</v>
      </c>
      <c r="E75" s="1157">
        <f>'4B Biological treatment '!U128</f>
        <v>32.930842829613354</v>
      </c>
      <c r="F75" s="1157">
        <f>'4B Biological treatment '!W128</f>
        <v>1.9758505697768012</v>
      </c>
      <c r="G75" s="952">
        <f>'4C2 Open-burning '!R101</f>
        <v>22.008647739126392</v>
      </c>
      <c r="H75" s="952">
        <f>'4C2 Open-burning '!Z101</f>
        <v>7.4052361612654583</v>
      </c>
      <c r="I75" s="952">
        <f>'4C2 Open-burning '!AH101</f>
        <v>0.1030933860134649</v>
      </c>
      <c r="J75" s="987">
        <f>'4D Wastewater treatment and dis'!AV138</f>
        <v>176.10138325378151</v>
      </c>
      <c r="K75" s="770">
        <f>'4D Wastewater treatment and dis'!AW138</f>
        <v>3.3298681271770771</v>
      </c>
      <c r="L75" s="771">
        <f t="shared" si="101"/>
        <v>11940.757099467888</v>
      </c>
      <c r="M75" s="772">
        <f t="shared" si="102"/>
        <v>15.367726653819565</v>
      </c>
      <c r="N75" s="771">
        <f t="shared" si="103"/>
        <v>1304.061376052689</v>
      </c>
      <c r="O75" s="773">
        <f t="shared" si="104"/>
        <v>209.47755678987514</v>
      </c>
      <c r="P75" s="771">
        <f t="shared" si="105"/>
        <v>4730.388167754305</v>
      </c>
      <c r="Q75" s="519">
        <f t="shared" si="106"/>
        <v>11940.757099467888</v>
      </c>
      <c r="R75" s="521">
        <f t="shared" si="107"/>
        <v>1319.4291027065085</v>
      </c>
      <c r="S75" s="518">
        <f t="shared" si="108"/>
        <v>209.47755678987514</v>
      </c>
      <c r="T75" s="519">
        <f t="shared" si="109"/>
        <v>4730.388167754305</v>
      </c>
      <c r="U75" s="519">
        <f t="shared" si="110"/>
        <v>18200.051926718577</v>
      </c>
      <c r="X75" s="104"/>
      <c r="Y75" s="104"/>
      <c r="Z75" s="104"/>
      <c r="AA75" s="236"/>
      <c r="AB75" s="118"/>
      <c r="AC75" s="662"/>
      <c r="AD75" s="662"/>
      <c r="AE75" s="118"/>
      <c r="AF75" s="118"/>
      <c r="AG75" s="118"/>
      <c r="AH75" s="105"/>
      <c r="AI75" s="1422"/>
      <c r="AJ75" s="529"/>
      <c r="AK75" s="529"/>
      <c r="AL75" s="529"/>
      <c r="AM75" s="529"/>
      <c r="AN75" s="529"/>
      <c r="AO75" s="1420"/>
      <c r="AP75" s="529"/>
      <c r="AQ75" s="104"/>
    </row>
    <row r="76" spans="1:43">
      <c r="A76" s="4">
        <f>'Input data'!A131</f>
        <v>2031</v>
      </c>
      <c r="B76" s="4"/>
      <c r="C76" s="769">
        <f>'4A SWD Case 1'!BN101</f>
        <v>549.50405184228191</v>
      </c>
      <c r="D76" s="3">
        <f>'4B Biological treatment '!T129</f>
        <v>0.73563240497558691</v>
      </c>
      <c r="E76" s="1157">
        <f>'4B Biological treatment '!U129</f>
        <v>33.103458223901406</v>
      </c>
      <c r="F76" s="1157">
        <f>'4B Biological treatment '!W129</f>
        <v>1.9862074934340841</v>
      </c>
      <c r="G76" s="952">
        <f>'4C2 Open-burning '!R102</f>
        <v>20.910046019534178</v>
      </c>
      <c r="H76" s="952">
        <f>'4C2 Open-burning '!Z102</f>
        <v>7.0355903167236438</v>
      </c>
      <c r="I76" s="952">
        <f>'4C2 Open-burning '!AH102</f>
        <v>9.7947291964641164E-2</v>
      </c>
      <c r="J76" s="987">
        <f>'4D Wastewater treatment and dis'!AV139</f>
        <v>179.4581726546424</v>
      </c>
      <c r="K76" s="770">
        <f>'4D Wastewater treatment and dis'!AW139</f>
        <v>3.3597991969031304</v>
      </c>
      <c r="L76" s="771">
        <f t="shared" si="101"/>
        <v>11539.58508868792</v>
      </c>
      <c r="M76" s="772">
        <f t="shared" si="102"/>
        <v>15.448280504487325</v>
      </c>
      <c r="N76" s="771">
        <f t="shared" si="103"/>
        <v>1310.8969456664956</v>
      </c>
      <c r="O76" s="773">
        <f t="shared" si="104"/>
        <v>199.02110317976945</v>
      </c>
      <c r="P76" s="771">
        <f t="shared" si="105"/>
        <v>4810.159376787461</v>
      </c>
      <c r="Q76" s="519">
        <f t="shared" si="106"/>
        <v>11539.58508868792</v>
      </c>
      <c r="R76" s="521">
        <f t="shared" si="107"/>
        <v>1326.3452261709829</v>
      </c>
      <c r="S76" s="518">
        <f t="shared" si="108"/>
        <v>199.02110317976945</v>
      </c>
      <c r="T76" s="519">
        <f t="shared" si="109"/>
        <v>4810.159376787461</v>
      </c>
      <c r="U76" s="519">
        <f t="shared" si="110"/>
        <v>17875.110794826134</v>
      </c>
      <c r="X76" s="104"/>
      <c r="Y76" s="104"/>
      <c r="Z76" s="104"/>
      <c r="AA76" s="236"/>
      <c r="AB76" s="118"/>
      <c r="AC76" s="662"/>
      <c r="AD76" s="662"/>
      <c r="AE76" s="118"/>
      <c r="AF76" s="118"/>
      <c r="AG76" s="118"/>
      <c r="AH76" s="105"/>
      <c r="AI76" s="1422"/>
      <c r="AJ76" s="1403"/>
      <c r="AK76" s="529"/>
      <c r="AL76" s="529"/>
      <c r="AM76" s="529"/>
      <c r="AN76" s="529"/>
      <c r="AO76" s="1420"/>
      <c r="AP76" s="529"/>
      <c r="AQ76" s="104"/>
    </row>
    <row r="77" spans="1:43">
      <c r="A77" s="4">
        <f>'Input data'!A132</f>
        <v>2032</v>
      </c>
      <c r="B77" s="4"/>
      <c r="C77" s="769">
        <f>'4A SWD Case 1'!BN102</f>
        <v>531.03392593798503</v>
      </c>
      <c r="D77" s="3">
        <f>'4B Biological treatment '!T130</f>
        <v>0.73918048799562719</v>
      </c>
      <c r="E77" s="1157">
        <f>'4B Biological treatment '!U130</f>
        <v>33.263121959803222</v>
      </c>
      <c r="F77" s="1157">
        <f>'4B Biological treatment '!W130</f>
        <v>1.9957873175881933</v>
      </c>
      <c r="G77" s="952">
        <f>'4C2 Open-burning '!R103</f>
        <v>19.81936274018183</v>
      </c>
      <c r="H77" s="952">
        <f>'4C2 Open-burning '!Z103</f>
        <v>6.6686087848965467</v>
      </c>
      <c r="I77" s="952">
        <f>'4C2 Open-burning '!AH103</f>
        <v>9.2838289645666039E-2</v>
      </c>
      <c r="J77" s="987">
        <f>'4D Wastewater treatment and dis'!AV140</f>
        <v>182.81352150458534</v>
      </c>
      <c r="K77" s="770">
        <f>'4D Wastewater treatment and dis'!AW140</f>
        <v>3.3891176387911139</v>
      </c>
      <c r="L77" s="771">
        <f t="shared" si="101"/>
        <v>11151.712444697685</v>
      </c>
      <c r="M77" s="772">
        <f t="shared" si="102"/>
        <v>15.522790247908171</v>
      </c>
      <c r="N77" s="771">
        <f t="shared" si="103"/>
        <v>1317.2196296082075</v>
      </c>
      <c r="O77" s="773">
        <f t="shared" si="104"/>
        <v>188.64001701316582</v>
      </c>
      <c r="P77" s="771">
        <f t="shared" si="105"/>
        <v>4889.7104196215369</v>
      </c>
      <c r="Q77" s="519">
        <f t="shared" si="106"/>
        <v>11151.712444697685</v>
      </c>
      <c r="R77" s="521">
        <f t="shared" si="107"/>
        <v>1332.7424198561157</v>
      </c>
      <c r="S77" s="518">
        <f t="shared" si="108"/>
        <v>188.64001701316582</v>
      </c>
      <c r="T77" s="519">
        <f t="shared" si="109"/>
        <v>4889.7104196215369</v>
      </c>
      <c r="U77" s="519">
        <f t="shared" si="110"/>
        <v>17562.805301188506</v>
      </c>
      <c r="X77" s="104"/>
      <c r="Y77" s="104"/>
      <c r="Z77" s="104"/>
      <c r="AA77" s="236"/>
      <c r="AB77" s="118"/>
      <c r="AC77" s="662"/>
      <c r="AD77" s="662"/>
      <c r="AE77" s="118"/>
      <c r="AF77" s="118"/>
      <c r="AG77" s="118"/>
      <c r="AH77" s="105"/>
      <c r="AI77" s="1422"/>
      <c r="AJ77" s="1403"/>
      <c r="AK77" s="529"/>
      <c r="AL77" s="529"/>
      <c r="AM77" s="529"/>
      <c r="AN77" s="529"/>
      <c r="AO77" s="1420"/>
      <c r="AP77" s="529"/>
      <c r="AQ77" s="104"/>
    </row>
    <row r="78" spans="1:43">
      <c r="A78" s="4">
        <f>'Input data'!A133</f>
        <v>2033</v>
      </c>
      <c r="B78" s="4"/>
      <c r="C78" s="769">
        <f>'4A SWD Case 1'!BN103</f>
        <v>513.15830967817237</v>
      </c>
      <c r="D78" s="3">
        <f>'4B Biological treatment '!T131</f>
        <v>0.74338020399469795</v>
      </c>
      <c r="E78" s="1157">
        <f>'4B Biological treatment '!U131</f>
        <v>33.452109179761408</v>
      </c>
      <c r="F78" s="1157">
        <f>'4B Biological treatment '!W131</f>
        <v>2.0071265507856841</v>
      </c>
      <c r="G78" s="952">
        <f>'4C2 Open-burning '!R104</f>
        <v>18.736165202103567</v>
      </c>
      <c r="H78" s="952">
        <f>'4C2 Open-burning '!Z104</f>
        <v>6.3041459758294183</v>
      </c>
      <c r="I78" s="952">
        <f>'4C2 Open-burning '!AH104</f>
        <v>8.7764352198640955E-2</v>
      </c>
      <c r="J78" s="987">
        <f>'4D Wastewater treatment and dis'!AV141</f>
        <v>186.16532137376296</v>
      </c>
      <c r="K78" s="770">
        <f>'4D Wastewater treatment and dis'!AW141</f>
        <v>3.4178025588232726</v>
      </c>
      <c r="L78" s="771">
        <f t="shared" si="101"/>
        <v>10776.32450324162</v>
      </c>
      <c r="M78" s="772">
        <f t="shared" si="102"/>
        <v>15.610984283888657</v>
      </c>
      <c r="N78" s="771">
        <f t="shared" si="103"/>
        <v>1324.7035235185517</v>
      </c>
      <c r="O78" s="773">
        <f t="shared" si="104"/>
        <v>178.33017987610003</v>
      </c>
      <c r="P78" s="771">
        <f t="shared" si="105"/>
        <v>4968.9905420842369</v>
      </c>
      <c r="Q78" s="519">
        <f t="shared" si="106"/>
        <v>10776.32450324162</v>
      </c>
      <c r="R78" s="521">
        <f t="shared" si="107"/>
        <v>1340.3145078024404</v>
      </c>
      <c r="S78" s="518">
        <f t="shared" si="108"/>
        <v>178.33017987610003</v>
      </c>
      <c r="T78" s="519">
        <f t="shared" si="109"/>
        <v>4968.9905420842369</v>
      </c>
      <c r="U78" s="519">
        <f t="shared" si="110"/>
        <v>17263.959733004398</v>
      </c>
      <c r="X78" s="104"/>
      <c r="Y78" s="104"/>
      <c r="Z78" s="104"/>
      <c r="AA78" s="236"/>
      <c r="AB78" s="118"/>
      <c r="AC78" s="662"/>
      <c r="AD78" s="662"/>
      <c r="AE78" s="118"/>
      <c r="AF78" s="118"/>
      <c r="AG78" s="118"/>
      <c r="AH78" s="105"/>
      <c r="AI78" s="1422"/>
      <c r="AJ78" s="1403"/>
      <c r="AK78" s="529"/>
      <c r="AL78" s="529"/>
      <c r="AM78" s="529"/>
      <c r="AN78" s="529"/>
      <c r="AO78" s="1420"/>
      <c r="AP78" s="529"/>
      <c r="AQ78" s="104"/>
    </row>
    <row r="79" spans="1:43">
      <c r="A79" s="4">
        <f>'Input data'!A134</f>
        <v>2034</v>
      </c>
      <c r="B79" s="4"/>
      <c r="C79" s="769">
        <f>'4A SWD Case 1'!BN104</f>
        <v>495.84036381923943</v>
      </c>
      <c r="D79" s="3">
        <f>'4B Biological treatment '!T132</f>
        <v>0.7486518792097463</v>
      </c>
      <c r="E79" s="1157">
        <f>'4B Biological treatment '!U132</f>
        <v>33.689334564438575</v>
      </c>
      <c r="F79" s="1157">
        <f>'4B Biological treatment '!W132</f>
        <v>2.0213600738663144</v>
      </c>
      <c r="G79" s="952">
        <f>'4C2 Open-burning '!R105</f>
        <v>17.659939868413652</v>
      </c>
      <c r="H79" s="952">
        <f>'4C2 Open-burning '!Z105</f>
        <v>5.942029100082336</v>
      </c>
      <c r="I79" s="952">
        <f>'4C2 Open-burning '!AH105</f>
        <v>8.2723074102926009E-2</v>
      </c>
      <c r="J79" s="987">
        <f>'4D Wastewater treatment and dis'!AV142</f>
        <v>189.51516064563538</v>
      </c>
      <c r="K79" s="770">
        <f>'4D Wastewater treatment and dis'!AW142</f>
        <v>3.4459010834271635</v>
      </c>
      <c r="L79" s="771">
        <f t="shared" si="101"/>
        <v>10412.647640204028</v>
      </c>
      <c r="M79" s="772">
        <f t="shared" si="102"/>
        <v>15.721689463404672</v>
      </c>
      <c r="N79" s="771">
        <f t="shared" si="103"/>
        <v>1334.0976487517676</v>
      </c>
      <c r="O79" s="773">
        <f t="shared" si="104"/>
        <v>168.08670394204978</v>
      </c>
      <c r="P79" s="771">
        <f t="shared" si="105"/>
        <v>5048.0477094207636</v>
      </c>
      <c r="Q79" s="519">
        <f t="shared" si="106"/>
        <v>10412.647640204028</v>
      </c>
      <c r="R79" s="521">
        <f t="shared" si="107"/>
        <v>1349.8193382151721</v>
      </c>
      <c r="S79" s="518">
        <f t="shared" si="108"/>
        <v>168.08670394204978</v>
      </c>
      <c r="T79" s="519">
        <f t="shared" si="109"/>
        <v>5048.0477094207636</v>
      </c>
      <c r="U79" s="519">
        <f t="shared" si="110"/>
        <v>16978.601391782016</v>
      </c>
      <c r="X79" s="104"/>
      <c r="Y79" s="104"/>
      <c r="Z79" s="104"/>
      <c r="AA79" s="236"/>
      <c r="AB79" s="118"/>
      <c r="AC79" s="662"/>
      <c r="AD79" s="662"/>
      <c r="AE79" s="118"/>
      <c r="AF79" s="118"/>
      <c r="AG79" s="118"/>
      <c r="AH79" s="105"/>
      <c r="AI79" s="1422"/>
      <c r="AJ79" s="1403"/>
      <c r="AK79" s="529"/>
      <c r="AL79" s="529"/>
      <c r="AM79" s="529"/>
      <c r="AN79" s="529"/>
      <c r="AO79" s="1420"/>
      <c r="AP79" s="529"/>
      <c r="AQ79" s="104"/>
    </row>
    <row r="80" spans="1:43">
      <c r="A80" s="4">
        <f>'Input data'!A135</f>
        <v>2035</v>
      </c>
      <c r="B80" s="4"/>
      <c r="C80" s="769">
        <f>'4A SWD Case 1'!BN105</f>
        <v>479.04514708316117</v>
      </c>
      <c r="D80" s="3">
        <f>'4B Biological treatment '!T133</f>
        <v>0.75297190092807709</v>
      </c>
      <c r="E80" s="1157">
        <f>'4B Biological treatment '!U133</f>
        <v>33.883735541763464</v>
      </c>
      <c r="F80" s="1157">
        <f>'4B Biological treatment '!W133</f>
        <v>2.0330241325058078</v>
      </c>
      <c r="G80" s="952">
        <f>'4C2 Open-burning '!R106</f>
        <v>16.590313802416329</v>
      </c>
      <c r="H80" s="952">
        <f>'4C2 Open-burning '!Z106</f>
        <v>5.5821326758747709</v>
      </c>
      <c r="I80" s="952">
        <f>'4C2 Open-burning '!AH106</f>
        <v>7.7712708440346528E-2</v>
      </c>
      <c r="J80" s="987">
        <f>'4D Wastewater treatment and dis'!AV143</f>
        <v>192.86107792537675</v>
      </c>
      <c r="K80" s="770">
        <f>'4D Wastewater treatment and dis'!AW143</f>
        <v>3.4733946157037967</v>
      </c>
      <c r="L80" s="771">
        <f t="shared" si="101"/>
        <v>10059.948088746385</v>
      </c>
      <c r="M80" s="772">
        <f t="shared" si="102"/>
        <v>15.812409919489619</v>
      </c>
      <c r="N80" s="771">
        <f t="shared" si="103"/>
        <v>1341.7959274538332</v>
      </c>
      <c r="O80" s="773">
        <f t="shared" si="104"/>
        <v>157.90603961229394</v>
      </c>
      <c r="P80" s="771">
        <f t="shared" si="105"/>
        <v>5126.8349673010889</v>
      </c>
      <c r="Q80" s="519">
        <f t="shared" si="106"/>
        <v>10059.948088746385</v>
      </c>
      <c r="R80" s="521">
        <f t="shared" si="107"/>
        <v>1357.6083373733229</v>
      </c>
      <c r="S80" s="518">
        <f t="shared" si="108"/>
        <v>157.90603961229394</v>
      </c>
      <c r="T80" s="519">
        <f t="shared" si="109"/>
        <v>5126.8349673010889</v>
      </c>
      <c r="U80" s="519">
        <f t="shared" si="110"/>
        <v>16702.297433033091</v>
      </c>
      <c r="X80" s="104"/>
      <c r="Y80" s="104"/>
      <c r="Z80" s="104"/>
      <c r="AA80" s="236"/>
      <c r="AB80" s="118"/>
      <c r="AC80" s="662"/>
      <c r="AD80" s="662"/>
      <c r="AE80" s="118"/>
      <c r="AF80" s="118"/>
      <c r="AG80" s="118"/>
      <c r="AH80" s="105"/>
      <c r="AI80" s="1422"/>
      <c r="AJ80" s="1403"/>
      <c r="AK80" s="529"/>
      <c r="AL80" s="529"/>
      <c r="AM80" s="529"/>
      <c r="AN80" s="529"/>
      <c r="AO80" s="1420"/>
      <c r="AP80" s="529"/>
      <c r="AQ80" s="104"/>
    </row>
    <row r="81" spans="1:43">
      <c r="A81" s="4">
        <f>'Input data'!A136</f>
        <v>2036</v>
      </c>
      <c r="B81" s="4"/>
      <c r="C81" s="769">
        <f>'4A SWD Case 1'!BN106</f>
        <v>463.19858071856066</v>
      </c>
      <c r="D81" s="3">
        <f>'4B Biological treatment '!T134</f>
        <v>0.75732725509805898</v>
      </c>
      <c r="E81" s="1157">
        <f>'4B Biological treatment '!U134</f>
        <v>34.079726479412649</v>
      </c>
      <c r="F81" s="1157">
        <f>'4B Biological treatment '!W134</f>
        <v>2.044783588764759</v>
      </c>
      <c r="G81" s="952">
        <f>'4C2 Open-burning '!R107</f>
        <v>15.526930244660576</v>
      </c>
      <c r="H81" s="952">
        <f>'4C2 Open-burning '!Z107</f>
        <v>5.2243366645737792</v>
      </c>
      <c r="I81" s="952">
        <f>'4C2 Open-burning '!AH107</f>
        <v>7.2731584070529293E-2</v>
      </c>
      <c r="J81" s="987">
        <f>'4D Wastewater treatment and dis'!AV144</f>
        <v>196.2010884025151</v>
      </c>
      <c r="K81" s="770">
        <f>'4D Wastewater treatment and dis'!AW144</f>
        <v>3.5002648416776503</v>
      </c>
      <c r="L81" s="771">
        <f t="shared" si="101"/>
        <v>9727.1701950897732</v>
      </c>
      <c r="M81" s="772">
        <f t="shared" si="102"/>
        <v>15.903872357059239</v>
      </c>
      <c r="N81" s="771">
        <f t="shared" si="103"/>
        <v>1349.5571685847408</v>
      </c>
      <c r="O81" s="773">
        <f t="shared" si="104"/>
        <v>147.784791262574</v>
      </c>
      <c r="P81" s="771">
        <f t="shared" si="105"/>
        <v>5205.3049573728886</v>
      </c>
      <c r="Q81" s="519">
        <f t="shared" si="106"/>
        <v>9727.1701950897732</v>
      </c>
      <c r="R81" s="521">
        <f t="shared" si="107"/>
        <v>1365.4610409418001</v>
      </c>
      <c r="S81" s="518">
        <f t="shared" si="108"/>
        <v>147.784791262574</v>
      </c>
      <c r="T81" s="519">
        <f t="shared" si="109"/>
        <v>5205.3049573728886</v>
      </c>
      <c r="U81" s="519">
        <f t="shared" si="110"/>
        <v>16445.720984667038</v>
      </c>
      <c r="X81" s="104"/>
      <c r="Y81" s="1400"/>
      <c r="Z81" s="1400"/>
      <c r="AA81" s="1398"/>
      <c r="AB81" s="1404"/>
      <c r="AC81" s="1401"/>
      <c r="AD81" s="1401"/>
      <c r="AE81" s="1141"/>
      <c r="AF81" s="1141"/>
      <c r="AG81" s="1141"/>
      <c r="AH81" s="1402"/>
      <c r="AI81" s="1421"/>
      <c r="AJ81" s="529"/>
      <c r="AK81" s="529"/>
      <c r="AL81" s="529"/>
      <c r="AM81" s="529"/>
      <c r="AN81" s="529"/>
      <c r="AO81" s="1420"/>
      <c r="AP81" s="529"/>
      <c r="AQ81" s="104"/>
    </row>
    <row r="82" spans="1:43">
      <c r="A82" s="4">
        <f>'Input data'!A137</f>
        <v>2037</v>
      </c>
      <c r="B82" s="4"/>
      <c r="C82" s="769">
        <f>'4A SWD Case 1'!BN107</f>
        <v>449.09521595460433</v>
      </c>
      <c r="D82" s="3">
        <f>'4B Biological treatment '!T135</f>
        <v>0.76256229044400659</v>
      </c>
      <c r="E82" s="1157">
        <f>'4B Biological treatment '!U135</f>
        <v>34.315303069980288</v>
      </c>
      <c r="F82" s="1157">
        <f>'4B Biological treatment '!W135</f>
        <v>2.0589181841988173</v>
      </c>
      <c r="G82" s="952">
        <f>'4C2 Open-burning '!R108</f>
        <v>15.149493648455612</v>
      </c>
      <c r="H82" s="952">
        <f>'4C2 Open-burning '!Z108</f>
        <v>5.0973408053128288</v>
      </c>
      <c r="I82" s="952">
        <f>'4C2 Open-burning '!AH108</f>
        <v>7.0963587364444025E-2</v>
      </c>
      <c r="J82" s="987">
        <f>'4D Wastewater treatment and dis'!AV145</f>
        <v>199.53318573887742</v>
      </c>
      <c r="K82" s="770">
        <f>'4D Wastewater treatment and dis'!AW145</f>
        <v>3.5264937504636227</v>
      </c>
      <c r="L82" s="771">
        <f t="shared" si="101"/>
        <v>9430.9995350466907</v>
      </c>
      <c r="M82" s="772">
        <f t="shared" si="102"/>
        <v>16.013808099324137</v>
      </c>
      <c r="N82" s="771">
        <f t="shared" si="103"/>
        <v>1358.8860015712194</v>
      </c>
      <c r="O82" s="773">
        <f t="shared" si="104"/>
        <v>144.19236264300267</v>
      </c>
      <c r="P82" s="771">
        <f t="shared" si="105"/>
        <v>5283.4099631601484</v>
      </c>
      <c r="Q82" s="519">
        <f t="shared" si="106"/>
        <v>9430.9995350466907</v>
      </c>
      <c r="R82" s="521">
        <f t="shared" si="107"/>
        <v>1374.8998096705436</v>
      </c>
      <c r="S82" s="518">
        <f t="shared" si="108"/>
        <v>144.19236264300267</v>
      </c>
      <c r="T82" s="519">
        <f t="shared" si="109"/>
        <v>5283.4099631601484</v>
      </c>
      <c r="U82" s="519">
        <f t="shared" si="110"/>
        <v>16233.501670520385</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436.11718058503351</v>
      </c>
      <c r="D83" s="3">
        <f>'4B Biological treatment '!T136</f>
        <v>0.76813555668865674</v>
      </c>
      <c r="E83" s="1157">
        <f>'4B Biological treatment '!U136</f>
        <v>34.566100050989547</v>
      </c>
      <c r="F83" s="1157">
        <f>'4B Biological treatment '!W136</f>
        <v>2.0739660030593727</v>
      </c>
      <c r="G83" s="952">
        <f>'4C2 Open-burning '!R109</f>
        <v>14.470851344884212</v>
      </c>
      <c r="H83" s="952">
        <f>'4C2 Open-burning '!Z109</f>
        <v>4.8689984470480265</v>
      </c>
      <c r="I83" s="952">
        <f>'4C2 Open-burning '!AH109</f>
        <v>6.7784676338357941E-2</v>
      </c>
      <c r="J83" s="987">
        <f>'4D Wastewater treatment and dis'!AV146</f>
        <v>202.85534400917143</v>
      </c>
      <c r="K83" s="770">
        <f>'4D Wastewater treatment and dis'!AW146</f>
        <v>3.5520636542370059</v>
      </c>
      <c r="L83" s="771">
        <f t="shared" si="101"/>
        <v>9158.4607922857031</v>
      </c>
      <c r="M83" s="772">
        <f t="shared" si="102"/>
        <v>16.130846690461791</v>
      </c>
      <c r="N83" s="771">
        <f t="shared" si="103"/>
        <v>1368.817562019186</v>
      </c>
      <c r="O83" s="773">
        <f t="shared" si="104"/>
        <v>137.73306839778371</v>
      </c>
      <c r="P83" s="771">
        <f t="shared" si="105"/>
        <v>5361.1019570060716</v>
      </c>
      <c r="Q83" s="519">
        <f t="shared" si="106"/>
        <v>9158.4607922857031</v>
      </c>
      <c r="R83" s="521">
        <f t="shared" si="107"/>
        <v>1384.9484087096478</v>
      </c>
      <c r="S83" s="518">
        <f t="shared" si="108"/>
        <v>137.73306839778371</v>
      </c>
      <c r="T83" s="519">
        <f t="shared" si="109"/>
        <v>5361.1019570060716</v>
      </c>
      <c r="U83" s="519">
        <f t="shared" si="110"/>
        <v>16042.244226399205</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424.05702009259471</v>
      </c>
      <c r="D84" s="3">
        <f>'4B Biological treatment '!T137</f>
        <v>0.77405355684576127</v>
      </c>
      <c r="E84" s="1157">
        <f>'4B Biological treatment '!U137</f>
        <v>34.832410058059253</v>
      </c>
      <c r="F84" s="1157">
        <f>'4B Biological treatment '!W137</f>
        <v>2.0899446034835552</v>
      </c>
      <c r="G84" s="952">
        <f>'4C2 Open-burning '!R110</f>
        <v>13.795996337092619</v>
      </c>
      <c r="H84" s="952">
        <f>'4C2 Open-burning '!Z110</f>
        <v>4.6419303978636588</v>
      </c>
      <c r="I84" s="952">
        <f>'4C2 Open-burning '!AH110</f>
        <v>6.4623505845466042E-2</v>
      </c>
      <c r="J84" s="987">
        <f>'4D Wastewater treatment and dis'!AV147</f>
        <v>206.16973227726049</v>
      </c>
      <c r="K84" s="770">
        <f>'4D Wastewater treatment and dis'!AW147</f>
        <v>3.5770302960376927</v>
      </c>
      <c r="L84" s="771">
        <f t="shared" si="101"/>
        <v>8905.1974219444892</v>
      </c>
      <c r="M84" s="772">
        <f t="shared" si="102"/>
        <v>16.255124693760987</v>
      </c>
      <c r="N84" s="771">
        <f t="shared" si="103"/>
        <v>1379.3634382991463</v>
      </c>
      <c r="O84" s="773">
        <f t="shared" si="104"/>
        <v>131.30982150432391</v>
      </c>
      <c r="P84" s="771">
        <f t="shared" si="105"/>
        <v>5438.4437695941551</v>
      </c>
      <c r="Q84" s="519">
        <f t="shared" si="106"/>
        <v>8905.1974219444892</v>
      </c>
      <c r="R84" s="521">
        <f t="shared" si="107"/>
        <v>1395.6185629929073</v>
      </c>
      <c r="S84" s="518">
        <f t="shared" si="108"/>
        <v>131.30982150432391</v>
      </c>
      <c r="T84" s="519">
        <f t="shared" si="109"/>
        <v>5438.4437695941551</v>
      </c>
      <c r="U84" s="519">
        <f t="shared" si="110"/>
        <v>15870.569576035876</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412.88605729576932</v>
      </c>
      <c r="D85" s="3">
        <f>'4B Biological treatment '!T138</f>
        <v>0.78023599446200143</v>
      </c>
      <c r="E85" s="1157">
        <f>'4B Biological treatment '!U138</f>
        <v>35.110619750790065</v>
      </c>
      <c r="F85" s="1157">
        <f>'4B Biological treatment '!W138</f>
        <v>2.1066371850474037</v>
      </c>
      <c r="G85" s="952">
        <f>'4C2 Open-burning '!R111</f>
        <v>13.124735833196986</v>
      </c>
      <c r="H85" s="952">
        <f>'4C2 Open-burning '!Z111</f>
        <v>4.4160717891932046</v>
      </c>
      <c r="I85" s="952">
        <f>'4C2 Open-burning '!AH111</f>
        <v>6.1479172805836382E-2</v>
      </c>
      <c r="J85" s="987">
        <f>'4D Wastewater treatment and dis'!AV148</f>
        <v>209.47449575093481</v>
      </c>
      <c r="K85" s="770">
        <f>'4D Wastewater treatment and dis'!AW148</f>
        <v>3.6013782150525211</v>
      </c>
      <c r="L85" s="771">
        <f t="shared" si="101"/>
        <v>8670.6072032111551</v>
      </c>
      <c r="M85" s="772">
        <f t="shared" si="102"/>
        <v>16.38495588370203</v>
      </c>
      <c r="N85" s="771">
        <f t="shared" si="103"/>
        <v>1390.3805421312863</v>
      </c>
      <c r="O85" s="773">
        <f t="shared" si="104"/>
        <v>124.92078697606357</v>
      </c>
      <c r="P85" s="771">
        <f t="shared" si="105"/>
        <v>5515.3916574359127</v>
      </c>
      <c r="Q85" s="519">
        <f t="shared" si="106"/>
        <v>8670.6072032111551</v>
      </c>
      <c r="R85" s="521">
        <f t="shared" si="107"/>
        <v>1406.7654980149885</v>
      </c>
      <c r="S85" s="518">
        <f t="shared" si="108"/>
        <v>124.92078697606357</v>
      </c>
      <c r="T85" s="519">
        <f t="shared" si="109"/>
        <v>5515.3916574359127</v>
      </c>
      <c r="U85" s="519">
        <f t="shared" si="110"/>
        <v>15717.685145638119</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402.57610490987327</v>
      </c>
      <c r="D86" s="3">
        <f>'4B Biological treatment '!T139</f>
        <v>0.78662529538008119</v>
      </c>
      <c r="E86" s="1157">
        <f>'4B Biological treatment '!U139</f>
        <v>35.398138292103653</v>
      </c>
      <c r="F86" s="1157">
        <f>'4B Biological treatment '!W139</f>
        <v>2.1238882975262192</v>
      </c>
      <c r="G86" s="952">
        <f>'4C2 Open-burning '!R112</f>
        <v>12.456884498799459</v>
      </c>
      <c r="H86" s="952">
        <f>'4C2 Open-burning '!Z112</f>
        <v>4.1913602616858698</v>
      </c>
      <c r="I86" s="952">
        <f>'4C2 Open-burning '!AH112</f>
        <v>5.8350809072055046E-2</v>
      </c>
      <c r="J86" s="987">
        <f>'4D Wastewater treatment and dis'!AV149</f>
        <v>212.76776459578866</v>
      </c>
      <c r="K86" s="770">
        <f>'4D Wastewater treatment and dis'!AW149</f>
        <v>3.6250922504898839</v>
      </c>
      <c r="L86" s="771">
        <f t="shared" si="101"/>
        <v>8454.0982031073381</v>
      </c>
      <c r="M86" s="772">
        <f t="shared" si="102"/>
        <v>16.519131202981704</v>
      </c>
      <c r="N86" s="771">
        <f t="shared" si="103"/>
        <v>1401.7662763673047</v>
      </c>
      <c r="O86" s="773">
        <f t="shared" si="104"/>
        <v>118.56420080653979</v>
      </c>
      <c r="P86" s="771">
        <f t="shared" si="105"/>
        <v>5591.9016541634264</v>
      </c>
      <c r="Q86" s="519">
        <f t="shared" si="106"/>
        <v>8454.0982031073381</v>
      </c>
      <c r="R86" s="521">
        <f t="shared" si="107"/>
        <v>1418.2854075702865</v>
      </c>
      <c r="S86" s="518">
        <f t="shared" si="108"/>
        <v>118.56420080653979</v>
      </c>
      <c r="T86" s="519">
        <f t="shared" si="109"/>
        <v>5591.9016541634264</v>
      </c>
      <c r="U86" s="519">
        <f t="shared" si="110"/>
        <v>15582.849465647592</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392.48577307869584</v>
      </c>
      <c r="D87" s="3">
        <f>'4B Biological treatment '!T140</f>
        <v>0.79262090447921696</v>
      </c>
      <c r="E87" s="1157">
        <f>'4B Biological treatment '!U140</f>
        <v>35.66794070156476</v>
      </c>
      <c r="F87" s="1157">
        <f>'4B Biological treatment '!W140</f>
        <v>2.1400764420938856</v>
      </c>
      <c r="G87" s="952">
        <f>'4C2 Open-burning '!R113</f>
        <v>11.792263994361994</v>
      </c>
      <c r="H87" s="952">
        <f>'4C2 Open-burning '!Z113</f>
        <v>3.9677358095470314</v>
      </c>
      <c r="I87" s="952">
        <f>'4C2 Open-burning '!AH113</f>
        <v>5.5237579262182354E-2</v>
      </c>
      <c r="J87" s="987">
        <f>'4D Wastewater treatment and dis'!AV150</f>
        <v>216.04765565344923</v>
      </c>
      <c r="K87" s="770">
        <f>'4D Wastewater treatment and dis'!AW150</f>
        <v>3.6481575572197178</v>
      </c>
      <c r="L87" s="771">
        <f t="shared" si="101"/>
        <v>8242.2012346526135</v>
      </c>
      <c r="M87" s="772">
        <f t="shared" si="102"/>
        <v>16.645038994063555</v>
      </c>
      <c r="N87" s="771">
        <f t="shared" si="103"/>
        <v>1412.4504517819644</v>
      </c>
      <c r="O87" s="773">
        <f t="shared" si="104"/>
        <v>112.23836556612618</v>
      </c>
      <c r="P87" s="771">
        <f t="shared" si="105"/>
        <v>5667.9296114605459</v>
      </c>
      <c r="Q87" s="519">
        <f t="shared" si="106"/>
        <v>8242.2012346526135</v>
      </c>
      <c r="R87" s="521">
        <f t="shared" si="107"/>
        <v>1429.0954907760279</v>
      </c>
      <c r="S87" s="518">
        <f t="shared" si="108"/>
        <v>112.23836556612618</v>
      </c>
      <c r="T87" s="519">
        <f t="shared" si="109"/>
        <v>5667.9296114605459</v>
      </c>
      <c r="U87" s="519">
        <f t="shared" si="110"/>
        <v>15451.464702455314</v>
      </c>
    </row>
    <row r="88" spans="1:43">
      <c r="A88" s="4">
        <f>'Input data'!A143</f>
        <v>2043</v>
      </c>
      <c r="B88" s="4"/>
      <c r="C88" s="769">
        <f>'4A SWD Case 1'!BN113</f>
        <v>382.60650032596573</v>
      </c>
      <c r="D88" s="3">
        <f>'4B Biological treatment '!T141</f>
        <v>0.79874349386992249</v>
      </c>
      <c r="E88" s="1157">
        <f>'4B Biological treatment '!U141</f>
        <v>35.943457224146513</v>
      </c>
      <c r="F88" s="1157">
        <f>'4B Biological treatment '!W141</f>
        <v>2.1566074334487908</v>
      </c>
      <c r="G88" s="952">
        <f>'4C2 Open-burning '!R114</f>
        <v>11.130702539631443</v>
      </c>
      <c r="H88" s="952">
        <f>'4C2 Open-burning '!Z114</f>
        <v>3.7451406339806237</v>
      </c>
      <c r="I88" s="952">
        <f>'4C2 Open-burning '!AH114</f>
        <v>5.2138678719423556E-2</v>
      </c>
      <c r="J88" s="987">
        <f>'4D Wastewater treatment and dis'!AV151</f>
        <v>219.31227419518692</v>
      </c>
      <c r="K88" s="770">
        <f>'4D Wastewater treatment and dis'!AW151</f>
        <v>3.6705596211764653</v>
      </c>
      <c r="L88" s="771">
        <f t="shared" si="101"/>
        <v>8034.73650684528</v>
      </c>
      <c r="M88" s="772">
        <f t="shared" si="102"/>
        <v>16.773613371268372</v>
      </c>
      <c r="N88" s="771">
        <f t="shared" si="103"/>
        <v>1423.3609060762019</v>
      </c>
      <c r="O88" s="773">
        <f t="shared" si="104"/>
        <v>105.94164625624583</v>
      </c>
      <c r="P88" s="771">
        <f t="shared" si="105"/>
        <v>5743.43124066363</v>
      </c>
      <c r="Q88" s="519">
        <f t="shared" si="106"/>
        <v>8034.73650684528</v>
      </c>
      <c r="R88" s="521">
        <f t="shared" si="107"/>
        <v>1440.1345194474702</v>
      </c>
      <c r="S88" s="518">
        <f t="shared" si="108"/>
        <v>105.94164625624583</v>
      </c>
      <c r="T88" s="519">
        <f t="shared" si="109"/>
        <v>5743.43124066363</v>
      </c>
      <c r="U88" s="519">
        <f t="shared" si="110"/>
        <v>15324.243913212627</v>
      </c>
    </row>
    <row r="89" spans="1:43">
      <c r="A89" s="4">
        <f>'Input data'!A144</f>
        <v>2044</v>
      </c>
      <c r="B89" s="4"/>
      <c r="C89" s="769">
        <f>'4A SWD Case 1'!BN114</f>
        <v>372.93458668994083</v>
      </c>
      <c r="D89" s="3">
        <f>'4B Biological treatment '!T142</f>
        <v>0.80499972150822696</v>
      </c>
      <c r="E89" s="1157">
        <f>'4B Biological treatment '!U142</f>
        <v>36.224987467870207</v>
      </c>
      <c r="F89" s="1157">
        <f>'4B Biological treatment '!W142</f>
        <v>2.1734992480722126</v>
      </c>
      <c r="G89" s="952">
        <f>'4C2 Open-burning '!R115</f>
        <v>10.472032211837858</v>
      </c>
      <c r="H89" s="952">
        <f>'4C2 Open-burning '!Z115</f>
        <v>3.5235182341155764</v>
      </c>
      <c r="I89" s="952">
        <f>'4C2 Open-burning '!AH115</f>
        <v>4.9053320856290474E-2</v>
      </c>
      <c r="J89" s="987">
        <f>'4D Wastewater treatment and dis'!AV152</f>
        <v>222.5598987753194</v>
      </c>
      <c r="K89" s="770">
        <f>'4D Wastewater treatment and dis'!AW152</f>
        <v>3.6922873115934127</v>
      </c>
      <c r="L89" s="771">
        <f t="shared" si="101"/>
        <v>7831.6263204887573</v>
      </c>
      <c r="M89" s="772">
        <f t="shared" si="102"/>
        <v>16.904994151672767</v>
      </c>
      <c r="N89" s="771">
        <f t="shared" si="103"/>
        <v>1434.5095037276603</v>
      </c>
      <c r="O89" s="773">
        <f t="shared" si="104"/>
        <v>99.672444593715014</v>
      </c>
      <c r="P89" s="771">
        <f t="shared" si="105"/>
        <v>5818.3669408756659</v>
      </c>
      <c r="Q89" s="519">
        <f t="shared" si="106"/>
        <v>7831.6263204887573</v>
      </c>
      <c r="R89" s="521">
        <f t="shared" si="107"/>
        <v>1451.4144978793331</v>
      </c>
      <c r="S89" s="518">
        <f t="shared" si="108"/>
        <v>99.672444593715014</v>
      </c>
      <c r="T89" s="519">
        <f t="shared" si="109"/>
        <v>5818.3669408756659</v>
      </c>
      <c r="U89" s="519">
        <f t="shared" si="110"/>
        <v>15201.080203837471</v>
      </c>
    </row>
    <row r="90" spans="1:43">
      <c r="A90" s="4">
        <f>'Input data'!A145</f>
        <v>2045</v>
      </c>
      <c r="B90" s="4"/>
      <c r="C90" s="769">
        <f>'4A SWD Case 1'!BN115</f>
        <v>363.46644266936607</v>
      </c>
      <c r="D90" s="3">
        <f>'4B Biological treatment '!T143</f>
        <v>0.81154150901403643</v>
      </c>
      <c r="E90" s="1157">
        <f>'4B Biological treatment '!U143</f>
        <v>36.51936790563164</v>
      </c>
      <c r="F90" s="1157">
        <f>'4B Biological treatment '!W143</f>
        <v>2.1911620743378983</v>
      </c>
      <c r="G90" s="952">
        <f>'4C2 Open-burning '!R116</f>
        <v>9.8160936162196091</v>
      </c>
      <c r="H90" s="952">
        <f>'4C2 Open-burning '!Z116</f>
        <v>3.3028149784945313</v>
      </c>
      <c r="I90" s="952">
        <f>'4C2 Open-burning '!AH116</f>
        <v>4.5980759032376868E-2</v>
      </c>
      <c r="J90" s="987">
        <f>'4D Wastewater treatment and dis'!AV153</f>
        <v>225.78862496436287</v>
      </c>
      <c r="K90" s="770">
        <f>'4D Wastewater treatment and dis'!AW153</f>
        <v>3.7133268749407069</v>
      </c>
      <c r="L90" s="771">
        <f t="shared" si="101"/>
        <v>7632.7952960566872</v>
      </c>
      <c r="M90" s="772">
        <f t="shared" si="102"/>
        <v>17.042371689294765</v>
      </c>
      <c r="N90" s="771">
        <f t="shared" si="103"/>
        <v>1446.1669690630129</v>
      </c>
      <c r="O90" s="773">
        <f t="shared" si="104"/>
        <v>93.429243464641587</v>
      </c>
      <c r="P90" s="771">
        <f t="shared" si="105"/>
        <v>5892.6924554832403</v>
      </c>
      <c r="Q90" s="519">
        <f t="shared" si="106"/>
        <v>7632.7952960566872</v>
      </c>
      <c r="R90" s="521">
        <f t="shared" si="107"/>
        <v>1463.2093407523075</v>
      </c>
      <c r="S90" s="518">
        <f t="shared" si="108"/>
        <v>93.429243464641587</v>
      </c>
      <c r="T90" s="519">
        <f t="shared" si="109"/>
        <v>5892.6924554832403</v>
      </c>
      <c r="U90" s="519">
        <f t="shared" si="110"/>
        <v>15082.126335756877</v>
      </c>
    </row>
    <row r="91" spans="1:43">
      <c r="A91" s="4">
        <f>'Input data'!A146</f>
        <v>2046</v>
      </c>
      <c r="B91" s="4"/>
      <c r="C91" s="769">
        <f>'4A SWD Case 1'!BN116</f>
        <v>354.19936702440975</v>
      </c>
      <c r="D91" s="3">
        <f>'4B Biological treatment '!T144</f>
        <v>0.8182540803242544</v>
      </c>
      <c r="E91" s="1157">
        <f>'4B Biological treatment '!U144</f>
        <v>36.821433614591442</v>
      </c>
      <c r="F91" s="1157">
        <f>'4B Biological treatment '!W144</f>
        <v>2.2092860168754864</v>
      </c>
      <c r="G91" s="952">
        <f>'4C2 Open-burning '!R117</f>
        <v>9.1627327333324242</v>
      </c>
      <c r="H91" s="952">
        <f>'4C2 Open-burning '!Z117</f>
        <v>3.0829790442898553</v>
      </c>
      <c r="I91" s="952">
        <f>'4C2 Open-burning '!AH117</f>
        <v>4.2920271786454856E-2</v>
      </c>
      <c r="J91" s="987">
        <f>'4D Wastewater treatment and dis'!AV154</f>
        <v>228.99654211456212</v>
      </c>
      <c r="K91" s="770">
        <f>'4D Wastewater treatment and dis'!AW154</f>
        <v>3.7336649298790605</v>
      </c>
      <c r="L91" s="771">
        <f t="shared" si="101"/>
        <v>7438.1867075126047</v>
      </c>
      <c r="M91" s="772">
        <f t="shared" si="102"/>
        <v>17.183335686809343</v>
      </c>
      <c r="N91" s="771">
        <f t="shared" si="103"/>
        <v>1458.1287711378209</v>
      </c>
      <c r="O91" s="773">
        <f t="shared" si="104"/>
        <v>87.210576917220379</v>
      </c>
      <c r="P91" s="771">
        <f t="shared" si="105"/>
        <v>5966.363512668313</v>
      </c>
      <c r="Q91" s="519">
        <f t="shared" si="106"/>
        <v>7438.1867075126047</v>
      </c>
      <c r="R91" s="521">
        <f t="shared" si="107"/>
        <v>1475.3121068246303</v>
      </c>
      <c r="S91" s="518">
        <f t="shared" si="108"/>
        <v>87.210576917220379</v>
      </c>
      <c r="T91" s="519">
        <f t="shared" si="109"/>
        <v>5966.363512668313</v>
      </c>
      <c r="U91" s="519">
        <f t="shared" si="110"/>
        <v>14967.07290392277</v>
      </c>
    </row>
    <row r="92" spans="1:43">
      <c r="A92" s="4">
        <f>'Input data'!A147</f>
        <v>2047</v>
      </c>
      <c r="B92" s="4"/>
      <c r="C92" s="769">
        <f>'4A SWD Case 1'!BN117</f>
        <v>345.07432467229125</v>
      </c>
      <c r="D92" s="3">
        <f>'4B Biological treatment '!T145</f>
        <v>0.82237924260426487</v>
      </c>
      <c r="E92" s="1157">
        <f>'4B Biological treatment '!U145</f>
        <v>37.007065917191916</v>
      </c>
      <c r="F92" s="1157">
        <f>'4B Biological treatment '!W145</f>
        <v>2.220423955031515</v>
      </c>
      <c r="G92" s="952">
        <f>'4C2 Open-burning '!R118</f>
        <v>8.5118005743404197</v>
      </c>
      <c r="H92" s="952">
        <f>'4C2 Open-burning '!Z118</f>
        <v>2.8639603013196191</v>
      </c>
      <c r="I92" s="952">
        <f>'4C2 Open-burning '!AH118</f>
        <v>3.9871161221781672E-2</v>
      </c>
      <c r="J92" s="987">
        <f>'4D Wastewater treatment and dis'!AV155</f>
        <v>232.18173521622998</v>
      </c>
      <c r="K92" s="770">
        <f>'4D Wastewater treatment and dis'!AW155</f>
        <v>3.753288481385181</v>
      </c>
      <c r="L92" s="771">
        <f t="shared" si="101"/>
        <v>7246.560818118116</v>
      </c>
      <c r="M92" s="772">
        <f t="shared" si="102"/>
        <v>17.269964094689563</v>
      </c>
      <c r="N92" s="771">
        <f t="shared" si="103"/>
        <v>1465.4798103208</v>
      </c>
      <c r="O92" s="773">
        <f t="shared" si="104"/>
        <v>81.01502688080474</v>
      </c>
      <c r="P92" s="771">
        <f t="shared" si="105"/>
        <v>6039.3358687702357</v>
      </c>
      <c r="Q92" s="519">
        <f t="shared" si="106"/>
        <v>7246.560818118116</v>
      </c>
      <c r="R92" s="521">
        <f t="shared" si="107"/>
        <v>1482.7497744154896</v>
      </c>
      <c r="S92" s="518">
        <f t="shared" si="108"/>
        <v>81.01502688080474</v>
      </c>
      <c r="T92" s="519">
        <f t="shared" si="109"/>
        <v>6039.3358687702357</v>
      </c>
      <c r="U92" s="519">
        <f t="shared" si="110"/>
        <v>14849.661488184647</v>
      </c>
    </row>
    <row r="93" spans="1:43">
      <c r="A93" s="4">
        <f>'Input data'!A148</f>
        <v>2048</v>
      </c>
      <c r="B93" s="4"/>
      <c r="C93" s="769">
        <f>'4A SWD Case 1'!BN118</f>
        <v>336.07590411159862</v>
      </c>
      <c r="D93" s="3">
        <f>'4B Biological treatment '!T146</f>
        <v>0.82612161881670654</v>
      </c>
      <c r="E93" s="1157">
        <f>'4B Biological treatment '!U146</f>
        <v>37.175472846751788</v>
      </c>
      <c r="F93" s="1157">
        <f>'4B Biological treatment '!W146</f>
        <v>2.2305283708051076</v>
      </c>
      <c r="G93" s="952">
        <f>'4C2 Open-burning '!R119</f>
        <v>8.5007057884237334</v>
      </c>
      <c r="H93" s="952">
        <f>'4C2 Open-burning '!Z119</f>
        <v>2.8602272455296589</v>
      </c>
      <c r="I93" s="952">
        <f>'4C2 Open-burning '!AH119</f>
        <v>3.9819190784487965E-2</v>
      </c>
      <c r="J93" s="987">
        <f>'4D Wastewater treatment and dis'!AV156</f>
        <v>235.34228677758742</v>
      </c>
      <c r="K93" s="770">
        <f>'4D Wastewater treatment and dis'!AW156</f>
        <v>3.7721849345366727</v>
      </c>
      <c r="L93" s="771">
        <f t="shared" si="101"/>
        <v>7057.5939863435706</v>
      </c>
      <c r="M93" s="772">
        <f t="shared" si="102"/>
        <v>17.348553995150837</v>
      </c>
      <c r="N93" s="771">
        <f t="shared" si="103"/>
        <v>1472.1487247313707</v>
      </c>
      <c r="O93" s="773">
        <f t="shared" si="104"/>
        <v>80.909427087737839</v>
      </c>
      <c r="P93" s="771">
        <f t="shared" si="105"/>
        <v>6111.5653520357046</v>
      </c>
      <c r="Q93" s="519">
        <f t="shared" si="106"/>
        <v>7057.5939863435706</v>
      </c>
      <c r="R93" s="521">
        <f t="shared" si="107"/>
        <v>1489.4972787265215</v>
      </c>
      <c r="S93" s="518">
        <f t="shared" si="108"/>
        <v>80.909427087737839</v>
      </c>
      <c r="T93" s="519">
        <f t="shared" si="109"/>
        <v>6111.5653520357046</v>
      </c>
      <c r="U93" s="519">
        <f t="shared" si="110"/>
        <v>14739.566044193534</v>
      </c>
    </row>
    <row r="94" spans="1:43">
      <c r="A94" s="4">
        <f>'Input data'!A149</f>
        <v>2049</v>
      </c>
      <c r="B94" s="4"/>
      <c r="C94" s="769">
        <f>'4A SWD Case 1'!BN119</f>
        <v>327.48504709592271</v>
      </c>
      <c r="D94" s="3">
        <f>'4B Biological treatment '!T147</f>
        <v>0.83010952013846251</v>
      </c>
      <c r="E94" s="1157">
        <f>'4B Biological treatment '!U147</f>
        <v>37.354928406230812</v>
      </c>
      <c r="F94" s="1157">
        <f>'4B Biological treatment '!W147</f>
        <v>2.2412957043738486</v>
      </c>
      <c r="G94" s="952">
        <f>'4C2 Open-burning '!R120</f>
        <v>8.4901819677224086</v>
      </c>
      <c r="H94" s="952">
        <f>'4C2 Open-burning '!Z120</f>
        <v>2.8566863020543547</v>
      </c>
      <c r="I94" s="952">
        <f>'4C2 Open-burning '!AH120</f>
        <v>3.9769894874863793E-2</v>
      </c>
      <c r="J94" s="987">
        <f>'4D Wastewater treatment and dis'!AV157</f>
        <v>238.4756378801587</v>
      </c>
      <c r="K94" s="770">
        <f>'4D Wastewater treatment and dis'!AW157</f>
        <v>3.790331922338789</v>
      </c>
      <c r="L94" s="771">
        <f t="shared" si="101"/>
        <v>6877.1859890143769</v>
      </c>
      <c r="M94" s="772">
        <f t="shared" si="102"/>
        <v>17.432299922907713</v>
      </c>
      <c r="N94" s="771">
        <f t="shared" si="103"/>
        <v>1479.2551648867402</v>
      </c>
      <c r="O94" s="773">
        <f t="shared" si="104"/>
        <v>80.809261722071639</v>
      </c>
      <c r="P94" s="771">
        <f t="shared" si="105"/>
        <v>6182.9912914083579</v>
      </c>
      <c r="Q94" s="519">
        <f t="shared" si="106"/>
        <v>6877.1859890143769</v>
      </c>
      <c r="R94" s="521">
        <f t="shared" si="107"/>
        <v>1496.687464809648</v>
      </c>
      <c r="S94" s="518">
        <f t="shared" si="108"/>
        <v>80.809261722071639</v>
      </c>
      <c r="T94" s="519">
        <f t="shared" si="109"/>
        <v>6182.9912914083579</v>
      </c>
      <c r="U94" s="519">
        <f t="shared" si="110"/>
        <v>14637.674006954454</v>
      </c>
    </row>
    <row r="95" spans="1:43">
      <c r="A95" s="4">
        <f>'Input data'!A150</f>
        <v>2050</v>
      </c>
      <c r="B95" s="4"/>
      <c r="C95" s="769">
        <f>'4A SWD Case 1'!BN120</f>
        <v>319.29294629460651</v>
      </c>
      <c r="D95" s="3">
        <f>'4B Biological treatment '!T148</f>
        <v>0.83382995828643747</v>
      </c>
      <c r="E95" s="1157">
        <f>'4B Biological treatment '!U148</f>
        <v>37.522348122889682</v>
      </c>
      <c r="F95" s="1157">
        <f>'4B Biological treatment '!W148</f>
        <v>2.2513408873733809</v>
      </c>
      <c r="G95" s="952">
        <f>'4C2 Open-burning '!R121</f>
        <v>8.4802178368946208</v>
      </c>
      <c r="H95" s="952">
        <f>'4C2 Open-burning '!Z121</f>
        <v>2.8533336770863817</v>
      </c>
      <c r="I95" s="952">
        <f>'4C2 Open-burning '!AH121</f>
        <v>3.9723220676707957E-2</v>
      </c>
      <c r="J95" s="987">
        <f>'4D Wastewater treatment and dis'!AV158</f>
        <v>241.57984647045004</v>
      </c>
      <c r="K95" s="770">
        <f>'4D Wastewater treatment and dis'!AW158</f>
        <v>3.8077175451869141</v>
      </c>
      <c r="L95" s="771">
        <f t="shared" si="101"/>
        <v>6705.1518721867369</v>
      </c>
      <c r="M95" s="772">
        <f t="shared" si="102"/>
        <v>17.510429124015186</v>
      </c>
      <c r="N95" s="771">
        <f t="shared" si="103"/>
        <v>1485.8849856664315</v>
      </c>
      <c r="O95" s="773">
        <f t="shared" si="104"/>
        <v>80.714423465488096</v>
      </c>
      <c r="P95" s="771">
        <f t="shared" si="105"/>
        <v>6253.5692148873932</v>
      </c>
      <c r="Q95" s="471">
        <f t="shared" si="106"/>
        <v>6705.1518721867369</v>
      </c>
      <c r="R95" s="517">
        <f t="shared" si="107"/>
        <v>1503.3954147904467</v>
      </c>
      <c r="S95" s="514">
        <f t="shared" si="108"/>
        <v>80.714423465488096</v>
      </c>
      <c r="T95" s="471">
        <f t="shared" si="109"/>
        <v>6253.5692148873932</v>
      </c>
      <c r="U95" s="471">
        <f t="shared" si="110"/>
        <v>14542.830925330065</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820.5169947820342</v>
      </c>
      <c r="D97" s="3">
        <f>'4B Biological treatment '!T150</f>
        <v>0.32115863087580998</v>
      </c>
      <c r="E97" s="1157">
        <f>'4B Biological treatment '!U150</f>
        <v>20.384176057159792</v>
      </c>
      <c r="F97" s="1157">
        <f>'4B Biological treatment '!W150</f>
        <v>1.2230505634295874</v>
      </c>
      <c r="G97" s="952">
        <f>'4C2 Open-burning '!R123</f>
        <v>32.917048058163878</v>
      </c>
      <c r="H97" s="952">
        <f>'4C2 Open-burning '!Z123</f>
        <v>11.075578903881526</v>
      </c>
      <c r="I97" s="952">
        <f>'4C2 Open-burning '!AH123</f>
        <v>0.15419075184029304</v>
      </c>
      <c r="J97" s="987">
        <f>'4D Wastewater treatment and dis'!AV160</f>
        <v>137.16052165703309</v>
      </c>
      <c r="K97" s="770">
        <f>'4D Wastewater treatment and dis'!AW160</f>
        <v>2.8960026873618072</v>
      </c>
      <c r="L97" s="771">
        <f t="shared" ref="L97:L129" si="111">C97*$B$3</f>
        <v>17230.856890422718</v>
      </c>
      <c r="M97" s="772">
        <f t="shared" ref="M97:M129" si="112">D97*$B$3</f>
        <v>6.7443312483920099</v>
      </c>
      <c r="N97" s="771">
        <f t="shared" ref="N97:N129" si="113">E97*$B$3+F97*$C$3</f>
        <v>807.21337186352775</v>
      </c>
      <c r="O97" s="773">
        <f t="shared" ref="O97:O129" si="114">G97+H97*$B$3+I97*$C$3</f>
        <v>313.30333811016675</v>
      </c>
      <c r="P97" s="771">
        <f t="shared" ref="P97:P129" si="115">J97*$B$3+K97*$C$3</f>
        <v>3778.1317878798554</v>
      </c>
      <c r="Q97" s="471">
        <f t="shared" si="74"/>
        <v>17230.856890422718</v>
      </c>
      <c r="R97" s="517">
        <f t="shared" si="75"/>
        <v>813.95770311191973</v>
      </c>
      <c r="S97" s="514">
        <f t="shared" si="76"/>
        <v>313.30333811016675</v>
      </c>
      <c r="T97" s="471">
        <f t="shared" si="77"/>
        <v>3778.1317878798554</v>
      </c>
      <c r="U97" s="471">
        <f t="shared" si="78"/>
        <v>22136.249719524658</v>
      </c>
    </row>
    <row r="98" spans="1:21">
      <c r="A98" s="4">
        <f>'Input data'!A119</f>
        <v>2019</v>
      </c>
      <c r="B98" s="4"/>
      <c r="C98" s="769">
        <f>'4A SWD Case 2'!BG89</f>
        <v>801.89995091572371</v>
      </c>
      <c r="D98" s="3">
        <f>'4B Biological treatment '!T151</f>
        <v>0.37426178802245613</v>
      </c>
      <c r="E98" s="1157">
        <f>'4B Biological treatment '!U151</f>
        <v>21.654826968258032</v>
      </c>
      <c r="F98" s="1157">
        <f>'4B Biological treatment '!W151</f>
        <v>1.2992896180954818</v>
      </c>
      <c r="G98" s="952">
        <f>'4C2 Open-burning '!R124</f>
        <v>32.340305277661429</v>
      </c>
      <c r="H98" s="952">
        <f>'4C2 Open-burning '!Z124</f>
        <v>10.881522615437561</v>
      </c>
      <c r="I98" s="952">
        <f>'4C2 Open-burning '!AH124</f>
        <v>0.15148916077456326</v>
      </c>
      <c r="J98" s="987">
        <f>'4D Wastewater treatment and dis'!AV161</f>
        <v>143.32271319274017</v>
      </c>
      <c r="K98" s="770">
        <f>'4D Wastewater treatment and dis'!AW161</f>
        <v>2.9428357992270668</v>
      </c>
      <c r="L98" s="771">
        <f t="shared" si="111"/>
        <v>16839.898969230198</v>
      </c>
      <c r="M98" s="772">
        <f t="shared" si="112"/>
        <v>7.8594975484715786</v>
      </c>
      <c r="N98" s="771">
        <f t="shared" si="113"/>
        <v>857.53114794301803</v>
      </c>
      <c r="O98" s="773">
        <f t="shared" si="114"/>
        <v>307.81392004196488</v>
      </c>
      <c r="P98" s="771">
        <f t="shared" si="115"/>
        <v>3922.0560748079342</v>
      </c>
      <c r="Q98" s="519">
        <f t="shared" si="74"/>
        <v>16839.898969230198</v>
      </c>
      <c r="R98" s="521">
        <f t="shared" si="75"/>
        <v>865.39064549148964</v>
      </c>
      <c r="S98" s="518">
        <f t="shared" si="76"/>
        <v>307.81392004196488</v>
      </c>
      <c r="T98" s="519">
        <f t="shared" si="77"/>
        <v>3922.0560748079342</v>
      </c>
      <c r="U98" s="519">
        <f t="shared" si="78"/>
        <v>21935.159609571587</v>
      </c>
    </row>
    <row r="99" spans="1:21">
      <c r="A99" s="4">
        <f>'Input data'!A120</f>
        <v>2020</v>
      </c>
      <c r="B99" s="4"/>
      <c r="C99" s="769">
        <f>'4A SWD Case 2'!BG90</f>
        <v>781.94797363989505</v>
      </c>
      <c r="D99" s="3">
        <f>'4B Biological treatment '!T152</f>
        <v>0.44860818131405655</v>
      </c>
      <c r="E99" s="1157">
        <f>'4B Biological treatment '!U152</f>
        <v>23.881423505879212</v>
      </c>
      <c r="F99" s="1157">
        <f>'4B Biological treatment '!W152</f>
        <v>1.4328854103527526</v>
      </c>
      <c r="G99" s="952">
        <f>'4C2 Open-burning '!R125</f>
        <v>31.469339877453482</v>
      </c>
      <c r="H99" s="952">
        <f>'4C2 Open-burning '!Z125</f>
        <v>10.588469423197822</v>
      </c>
      <c r="I99" s="952">
        <f>'4C2 Open-burning '!AH125</f>
        <v>0.14740936571980473</v>
      </c>
      <c r="J99" s="987">
        <f>'4D Wastewater treatment and dis'!AV162</f>
        <v>149.64833972612956</v>
      </c>
      <c r="K99" s="770">
        <f>'4D Wastewater treatment and dis'!AW162</f>
        <v>2.9904262793007734</v>
      </c>
      <c r="L99" s="771">
        <f t="shared" si="111"/>
        <v>16420.907446437795</v>
      </c>
      <c r="M99" s="772">
        <f t="shared" si="112"/>
        <v>9.4207718075951874</v>
      </c>
      <c r="N99" s="771">
        <f t="shared" si="113"/>
        <v>945.70437083281672</v>
      </c>
      <c r="O99" s="773">
        <f t="shared" si="114"/>
        <v>299.52410113774715</v>
      </c>
      <c r="P99" s="771">
        <f t="shared" si="115"/>
        <v>4069.6472808319609</v>
      </c>
      <c r="Q99" s="519">
        <f t="shared" si="74"/>
        <v>16420.907446437795</v>
      </c>
      <c r="R99" s="521">
        <f t="shared" si="75"/>
        <v>955.12514264041192</v>
      </c>
      <c r="S99" s="518">
        <f t="shared" si="76"/>
        <v>299.52410113774715</v>
      </c>
      <c r="T99" s="519">
        <f t="shared" si="77"/>
        <v>4069.6472808319609</v>
      </c>
      <c r="U99" s="519">
        <f t="shared" si="78"/>
        <v>21745.203971047915</v>
      </c>
    </row>
    <row r="100" spans="1:21">
      <c r="A100" s="4">
        <f>'Input data'!A121</f>
        <v>2021</v>
      </c>
      <c r="B100" s="4"/>
      <c r="C100" s="769">
        <f>'4A SWD Case 2'!BG91</f>
        <v>760.77928592111698</v>
      </c>
      <c r="D100" s="3">
        <f>'4B Biological treatment '!T153</f>
        <v>0.60010728850330064</v>
      </c>
      <c r="E100" s="1157">
        <f>'4B Biological treatment '!U153</f>
        <v>29.337213331270192</v>
      </c>
      <c r="F100" s="1157">
        <f>'4B Biological treatment '!W153</f>
        <v>1.7602327998762117</v>
      </c>
      <c r="G100" s="952">
        <f>'4C2 Open-burning '!R126</f>
        <v>28.917178618582938</v>
      </c>
      <c r="H100" s="952">
        <f>'4C2 Open-burning '!Z126</f>
        <v>9.7297452949557144</v>
      </c>
      <c r="I100" s="952">
        <f>'4C2 Open-burning '!AH126</f>
        <v>0.13545447648953185</v>
      </c>
      <c r="J100" s="987">
        <f>'4D Wastewater treatment and dis'!AV163</f>
        <v>155.70081087254809</v>
      </c>
      <c r="K100" s="770">
        <f>'4D Wastewater treatment and dis'!AW163</f>
        <v>3.0302180288466625</v>
      </c>
      <c r="L100" s="771">
        <f t="shared" si="111"/>
        <v>15976.365004343457</v>
      </c>
      <c r="M100" s="772">
        <f t="shared" si="112"/>
        <v>12.602253058569314</v>
      </c>
      <c r="N100" s="771">
        <f t="shared" si="113"/>
        <v>1161.7536479182995</v>
      </c>
      <c r="O100" s="773">
        <f t="shared" si="114"/>
        <v>275.2327175244078</v>
      </c>
      <c r="P100" s="771">
        <f t="shared" si="115"/>
        <v>4209.0846172659749</v>
      </c>
      <c r="Q100" s="519">
        <f t="shared" si="74"/>
        <v>15976.365004343457</v>
      </c>
      <c r="R100" s="521">
        <f t="shared" si="75"/>
        <v>1174.3559009768687</v>
      </c>
      <c r="S100" s="518">
        <f t="shared" si="76"/>
        <v>275.2327175244078</v>
      </c>
      <c r="T100" s="519">
        <f t="shared" si="77"/>
        <v>4209.0846172659749</v>
      </c>
      <c r="U100" s="519">
        <f t="shared" si="78"/>
        <v>21635.038240110705</v>
      </c>
    </row>
    <row r="101" spans="1:21">
      <c r="A101" s="4">
        <f>'Input data'!A122</f>
        <v>2022</v>
      </c>
      <c r="B101" s="4"/>
      <c r="C101" s="769">
        <f>'4A SWD Case 2'!BG92</f>
        <v>734.88950377867604</v>
      </c>
      <c r="D101" s="3">
        <f>'4B Biological treatment '!T154</f>
        <v>0.71024378995452375</v>
      </c>
      <c r="E101" s="1157">
        <f>'4B Biological treatment '!U154</f>
        <v>31.960970547953565</v>
      </c>
      <c r="F101" s="1157">
        <f>'4B Biological treatment '!W154</f>
        <v>1.9176582328772138</v>
      </c>
      <c r="G101" s="952">
        <f>'4C2 Open-burning '!R127</f>
        <v>24.055225494229198</v>
      </c>
      <c r="H101" s="952">
        <f>'4C2 Open-burning '!Z127</f>
        <v>8.0938469191170608</v>
      </c>
      <c r="I101" s="952">
        <f>'4C2 Open-burning '!AH127</f>
        <v>0.11268001000846364</v>
      </c>
      <c r="J101" s="987">
        <f>'4D Wastewater treatment and dis'!AV164</f>
        <v>161.73905140290367</v>
      </c>
      <c r="K101" s="770">
        <f>'4D Wastewater treatment and dis'!AW164</f>
        <v>3.0677168311206198</v>
      </c>
      <c r="L101" s="771">
        <f t="shared" si="111"/>
        <v>15432.679579352196</v>
      </c>
      <c r="M101" s="772">
        <f t="shared" si="112"/>
        <v>14.915119589044998</v>
      </c>
      <c r="N101" s="771">
        <f t="shared" si="113"/>
        <v>1265.6544336989612</v>
      </c>
      <c r="O101" s="773">
        <f t="shared" si="114"/>
        <v>228.95681389831122</v>
      </c>
      <c r="P101" s="771">
        <f t="shared" si="115"/>
        <v>4347.5122971083692</v>
      </c>
      <c r="Q101" s="519">
        <f t="shared" si="74"/>
        <v>15432.679579352196</v>
      </c>
      <c r="R101" s="521">
        <f t="shared" si="75"/>
        <v>1280.5695532880061</v>
      </c>
      <c r="S101" s="518">
        <f t="shared" si="76"/>
        <v>228.95681389831122</v>
      </c>
      <c r="T101" s="519">
        <f t="shared" si="77"/>
        <v>4347.5122971083692</v>
      </c>
      <c r="U101" s="519">
        <f t="shared" si="78"/>
        <v>21289.718243646883</v>
      </c>
    </row>
    <row r="102" spans="1:21">
      <c r="A102" s="4">
        <f>'Input data'!A123</f>
        <v>2023</v>
      </c>
      <c r="B102" s="4"/>
      <c r="C102" s="769">
        <f>'4A SWD Case 2'!BG93</f>
        <v>707.30884306786834</v>
      </c>
      <c r="D102" s="3">
        <f>'4B Biological treatment '!T155</f>
        <v>0.71287957138710145</v>
      </c>
      <c r="E102" s="1157">
        <f>'4B Biological treatment '!U155</f>
        <v>32.079580712419563</v>
      </c>
      <c r="F102" s="1157">
        <f>'4B Biological treatment '!W155</f>
        <v>1.9247748427451739</v>
      </c>
      <c r="G102" s="952">
        <f>'4C2 Open-burning '!R128</f>
        <v>22.813748044585125</v>
      </c>
      <c r="H102" s="952">
        <f>'4C2 Open-burning '!Z128</f>
        <v>7.6761277656065046</v>
      </c>
      <c r="I102" s="952">
        <f>'4C2 Open-burning '!AH128</f>
        <v>0.10686465436007302</v>
      </c>
      <c r="J102" s="987">
        <f>'4D Wastewater treatment and dis'!AV165</f>
        <v>167.7484159872983</v>
      </c>
      <c r="K102" s="770">
        <f>'4D Wastewater treatment and dis'!AW165</f>
        <v>3.1028223203879186</v>
      </c>
      <c r="L102" s="771">
        <f t="shared" si="111"/>
        <v>14853.485704425235</v>
      </c>
      <c r="M102" s="772">
        <f t="shared" si="112"/>
        <v>14.97047099912913</v>
      </c>
      <c r="N102" s="771">
        <f t="shared" si="113"/>
        <v>1270.3513962118147</v>
      </c>
      <c r="O102" s="773">
        <f t="shared" si="114"/>
        <v>217.14047397394438</v>
      </c>
      <c r="P102" s="771">
        <f t="shared" si="115"/>
        <v>4484.5916550535185</v>
      </c>
      <c r="Q102" s="519">
        <f t="shared" si="74"/>
        <v>14853.485704425235</v>
      </c>
      <c r="R102" s="521">
        <f t="shared" si="75"/>
        <v>1285.3218672109438</v>
      </c>
      <c r="S102" s="518">
        <f t="shared" si="76"/>
        <v>217.14047397394438</v>
      </c>
      <c r="T102" s="519">
        <f t="shared" si="77"/>
        <v>4484.5916550535185</v>
      </c>
      <c r="U102" s="519">
        <f t="shared" si="78"/>
        <v>20840.539700663641</v>
      </c>
    </row>
    <row r="103" spans="1:21">
      <c r="A103" s="4">
        <f>'Input data'!A124</f>
        <v>2024</v>
      </c>
      <c r="B103" s="4"/>
      <c r="C103" s="769">
        <f>'4A SWD Case 2'!BG94</f>
        <v>680.8512456782031</v>
      </c>
      <c r="D103" s="3">
        <f>'4B Biological treatment '!T156</f>
        <v>0.71585222621439981</v>
      </c>
      <c r="E103" s="1157">
        <f>'4B Biological treatment '!U156</f>
        <v>32.213350179647989</v>
      </c>
      <c r="F103" s="1157">
        <f>'4B Biological treatment '!W156</f>
        <v>1.9328010107788791</v>
      </c>
      <c r="G103" s="952">
        <f>'4C2 Open-burning '!R129</f>
        <v>21.553469378195615</v>
      </c>
      <c r="H103" s="952">
        <f>'4C2 Open-burning '!Z129</f>
        <v>7.2520825782673644</v>
      </c>
      <c r="I103" s="952">
        <f>'4C2 Open-burning '!AH129</f>
        <v>0.10096122964363084</v>
      </c>
      <c r="J103" s="987">
        <f>'4D Wastewater treatment and dis'!AV166</f>
        <v>173.8168021189118</v>
      </c>
      <c r="K103" s="770">
        <f>'4D Wastewater treatment and dis'!AW166</f>
        <v>3.1372946822597805</v>
      </c>
      <c r="L103" s="771">
        <f t="shared" si="111"/>
        <v>14297.876159242265</v>
      </c>
      <c r="M103" s="772">
        <f t="shared" si="112"/>
        <v>15.032896750502395</v>
      </c>
      <c r="N103" s="771">
        <f t="shared" si="113"/>
        <v>1275.6486671140601</v>
      </c>
      <c r="O103" s="773">
        <f t="shared" si="114"/>
        <v>205.14518471133582</v>
      </c>
      <c r="P103" s="771">
        <f t="shared" si="115"/>
        <v>4622.7141959976798</v>
      </c>
      <c r="Q103" s="519">
        <f t="shared" si="74"/>
        <v>14297.876159242265</v>
      </c>
      <c r="R103" s="521">
        <f t="shared" si="75"/>
        <v>1290.6815638645626</v>
      </c>
      <c r="S103" s="518">
        <f t="shared" si="76"/>
        <v>205.14518471133582</v>
      </c>
      <c r="T103" s="519">
        <f t="shared" si="77"/>
        <v>4622.7141959976798</v>
      </c>
      <c r="U103" s="519">
        <f t="shared" si="78"/>
        <v>20416.417103815846</v>
      </c>
    </row>
    <row r="104" spans="1:21">
      <c r="A104" s="4">
        <f>'Input data'!A125</f>
        <v>2025</v>
      </c>
      <c r="B104" s="4"/>
      <c r="C104" s="769">
        <f>'4A SWD Case 2'!BG95</f>
        <v>655.43505186337313</v>
      </c>
      <c r="D104" s="3">
        <f>'4B Biological treatment '!T157</f>
        <v>0.71853266596958443</v>
      </c>
      <c r="E104" s="1157">
        <f>'4B Biological treatment '!U157</f>
        <v>32.333969968631294</v>
      </c>
      <c r="F104" s="1157">
        <f>'4B Biological treatment '!W157</f>
        <v>1.9400381981178778</v>
      </c>
      <c r="G104" s="952">
        <f>'4C2 Open-burning '!R130</f>
        <v>20.273146589060335</v>
      </c>
      <c r="H104" s="952">
        <f>'4C2 Open-burning '!Z130</f>
        <v>6.8212931572825566</v>
      </c>
      <c r="I104" s="952">
        <f>'4C2 Open-burning '!AH130</f>
        <v>9.4963913811840467E-2</v>
      </c>
      <c r="J104" s="987">
        <f>'4D Wastewater treatment and dis'!AV167</f>
        <v>179.93994827249293</v>
      </c>
      <c r="K104" s="770">
        <f>'4D Wastewater treatment and dis'!AW167</f>
        <v>3.1711036769819763</v>
      </c>
      <c r="L104" s="771">
        <f t="shared" si="111"/>
        <v>13764.136089130836</v>
      </c>
      <c r="M104" s="772">
        <f t="shared" si="112"/>
        <v>15.089185985361272</v>
      </c>
      <c r="N104" s="771">
        <f t="shared" si="113"/>
        <v>1280.4252107577993</v>
      </c>
      <c r="O104" s="773">
        <f t="shared" si="114"/>
        <v>192.95911617366457</v>
      </c>
      <c r="P104" s="771">
        <f t="shared" si="115"/>
        <v>4761.7810535867638</v>
      </c>
      <c r="Q104" s="519">
        <f t="shared" si="74"/>
        <v>13764.136089130836</v>
      </c>
      <c r="R104" s="521">
        <f t="shared" si="75"/>
        <v>1295.5143967431607</v>
      </c>
      <c r="S104" s="518">
        <f t="shared" si="76"/>
        <v>192.95911617366457</v>
      </c>
      <c r="T104" s="519">
        <f t="shared" si="77"/>
        <v>4761.7810535867638</v>
      </c>
      <c r="U104" s="519">
        <f t="shared" si="78"/>
        <v>20014.390655634426</v>
      </c>
    </row>
    <row r="105" spans="1:21">
      <c r="A105" s="4">
        <f>'Input data'!A126</f>
        <v>2026</v>
      </c>
      <c r="B105" s="4"/>
      <c r="C105" s="769">
        <f>'4A SWD Case 2'!BG96</f>
        <v>630.98219836007399</v>
      </c>
      <c r="D105" s="3">
        <f>'4B Biological treatment '!T158</f>
        <v>0.72158766481974967</v>
      </c>
      <c r="E105" s="1157">
        <f>'4B Biological treatment '!U158</f>
        <v>32.471444916888736</v>
      </c>
      <c r="F105" s="1157">
        <f>'4B Biological treatment '!W158</f>
        <v>1.9482866950133242</v>
      </c>
      <c r="G105" s="952">
        <f>'4C2 Open-burning '!R131</f>
        <v>18.971496879845734</v>
      </c>
      <c r="H105" s="952">
        <f>'4C2 Open-burning '!Z131</f>
        <v>6.3833278806226641</v>
      </c>
      <c r="I105" s="952">
        <f>'4C2 Open-burning '!AH131</f>
        <v>8.8866697957555474E-2</v>
      </c>
      <c r="J105" s="987">
        <f>'4D Wastewater treatment and dis'!AV168</f>
        <v>186.11344926250865</v>
      </c>
      <c r="K105" s="770">
        <f>'4D Wastewater treatment and dis'!AW168</f>
        <v>3.2042193824925169</v>
      </c>
      <c r="L105" s="771">
        <f t="shared" si="111"/>
        <v>13250.626165561554</v>
      </c>
      <c r="M105" s="772">
        <f t="shared" si="112"/>
        <v>15.153340961214743</v>
      </c>
      <c r="N105" s="771">
        <f t="shared" si="113"/>
        <v>1285.8692187087941</v>
      </c>
      <c r="O105" s="773">
        <f t="shared" si="114"/>
        <v>180.57005873976388</v>
      </c>
      <c r="P105" s="771">
        <f t="shared" si="115"/>
        <v>4901.6904430853619</v>
      </c>
      <c r="Q105" s="519">
        <f t="shared" si="74"/>
        <v>13250.626165561554</v>
      </c>
      <c r="R105" s="521">
        <f t="shared" si="75"/>
        <v>1301.0225596700088</v>
      </c>
      <c r="S105" s="518">
        <f t="shared" si="76"/>
        <v>180.57005873976388</v>
      </c>
      <c r="T105" s="519">
        <f t="shared" si="77"/>
        <v>4901.6904430853619</v>
      </c>
      <c r="U105" s="519">
        <f t="shared" si="78"/>
        <v>19633.909227056691</v>
      </c>
    </row>
    <row r="106" spans="1:21">
      <c r="A106" s="4">
        <f>'Input data'!A127</f>
        <v>2027</v>
      </c>
      <c r="B106" s="4"/>
      <c r="C106" s="769">
        <f>'4A SWD Case 2'!BG97</f>
        <v>607.4180352626463</v>
      </c>
      <c r="D106" s="3">
        <f>'4B Biological treatment '!T159</f>
        <v>0.72463100072834497</v>
      </c>
      <c r="E106" s="1157">
        <f>'4B Biological treatment '!U159</f>
        <v>32.608395032775519</v>
      </c>
      <c r="F106" s="1157">
        <f>'4B Biological treatment '!W159</f>
        <v>1.956503701966531</v>
      </c>
      <c r="G106" s="952">
        <f>'4C2 Open-burning '!R132</f>
        <v>17.647192953731018</v>
      </c>
      <c r="H106" s="952">
        <f>'4C2 Open-burning '!Z132</f>
        <v>5.9377401535431718</v>
      </c>
      <c r="I106" s="952">
        <f>'4C2 Open-burning '!AH132</f>
        <v>8.2663364728164129E-2</v>
      </c>
      <c r="J106" s="987">
        <f>'4D Wastewater treatment and dis'!AV169</f>
        <v>192.33276096021439</v>
      </c>
      <c r="K106" s="770">
        <f>'4D Wastewater treatment and dis'!AW169</f>
        <v>3.2366122379757729</v>
      </c>
      <c r="L106" s="771">
        <f t="shared" si="111"/>
        <v>12755.778740515572</v>
      </c>
      <c r="M106" s="772">
        <f t="shared" si="112"/>
        <v>15.217251015295243</v>
      </c>
      <c r="N106" s="771">
        <f t="shared" si="113"/>
        <v>1291.2924432979105</v>
      </c>
      <c r="O106" s="773">
        <f t="shared" si="114"/>
        <v>167.96537924386851</v>
      </c>
      <c r="P106" s="771">
        <f t="shared" si="115"/>
        <v>5042.3377739369917</v>
      </c>
      <c r="Q106" s="519">
        <f t="shared" si="74"/>
        <v>12755.778740515572</v>
      </c>
      <c r="R106" s="521">
        <f t="shared" si="75"/>
        <v>1306.5096943132057</v>
      </c>
      <c r="S106" s="518">
        <f t="shared" si="76"/>
        <v>167.96537924386851</v>
      </c>
      <c r="T106" s="519">
        <f t="shared" si="77"/>
        <v>5042.3377739369917</v>
      </c>
      <c r="U106" s="519">
        <f t="shared" si="78"/>
        <v>19272.591588009636</v>
      </c>
    </row>
    <row r="107" spans="1:21">
      <c r="A107" s="4">
        <f>'Input data'!A128</f>
        <v>2028</v>
      </c>
      <c r="B107" s="4"/>
      <c r="C107" s="769">
        <f>'4A SWD Case 2'!BG98</f>
        <v>584.6711506492494</v>
      </c>
      <c r="D107" s="3">
        <f>'4B Biological treatment '!T160</f>
        <v>0.72675352029146922</v>
      </c>
      <c r="E107" s="1157">
        <f>'4B Biological treatment '!U160</f>
        <v>32.70390841311611</v>
      </c>
      <c r="F107" s="1157">
        <f>'4B Biological treatment '!W160</f>
        <v>1.9622345047869667</v>
      </c>
      <c r="G107" s="952">
        <f>'4C2 Open-burning '!R133</f>
        <v>16.29885814022575</v>
      </c>
      <c r="H107" s="952">
        <f>'4C2 Open-burning '!Z133</f>
        <v>5.4840667685713314</v>
      </c>
      <c r="I107" s="952">
        <f>'4C2 Open-burning '!AH133</f>
        <v>7.6347465493838473E-2</v>
      </c>
      <c r="J107" s="987">
        <f>'4D Wastewater treatment and dis'!AV170</f>
        <v>198.59320535463905</v>
      </c>
      <c r="K107" s="770">
        <f>'4D Wastewater treatment and dis'!AW170</f>
        <v>3.2682530873125892</v>
      </c>
      <c r="L107" s="771">
        <f t="shared" si="111"/>
        <v>12278.094163634238</v>
      </c>
      <c r="M107" s="772">
        <f t="shared" si="112"/>
        <v>15.261823926120854</v>
      </c>
      <c r="N107" s="771">
        <f t="shared" si="113"/>
        <v>1295.0747731593981</v>
      </c>
      <c r="O107" s="773">
        <f t="shared" si="114"/>
        <v>155.13197458331362</v>
      </c>
      <c r="P107" s="771">
        <f t="shared" si="115"/>
        <v>5183.6157695143229</v>
      </c>
      <c r="Q107" s="519">
        <f t="shared" si="74"/>
        <v>12278.094163634238</v>
      </c>
      <c r="R107" s="521">
        <f t="shared" si="75"/>
        <v>1310.3365970855189</v>
      </c>
      <c r="S107" s="518">
        <f t="shared" si="76"/>
        <v>155.13197458331362</v>
      </c>
      <c r="T107" s="519">
        <f t="shared" si="77"/>
        <v>5183.6157695143229</v>
      </c>
      <c r="U107" s="519">
        <f t="shared" si="78"/>
        <v>18927.178504817392</v>
      </c>
    </row>
    <row r="108" spans="1:21">
      <c r="A108" s="4">
        <f>'Input data'!A129</f>
        <v>2029</v>
      </c>
      <c r="B108" s="4"/>
      <c r="C108" s="769">
        <f>'4A SWD Case 2'!BG99</f>
        <v>562.67320254696847</v>
      </c>
      <c r="D108" s="3">
        <f>'4B Biological treatment '!T161</f>
        <v>0.72903999144245279</v>
      </c>
      <c r="E108" s="1157">
        <f>'4B Biological treatment '!U161</f>
        <v>32.806799614910375</v>
      </c>
      <c r="F108" s="1157">
        <f>'4B Biological treatment '!W161</f>
        <v>1.9684079768946225</v>
      </c>
      <c r="G108" s="952">
        <f>'4C2 Open-burning '!R134</f>
        <v>14.92468441873071</v>
      </c>
      <c r="H108" s="952">
        <f>'4C2 Open-burning '!Z134</f>
        <v>5.0216993821287268</v>
      </c>
      <c r="I108" s="952">
        <f>'4C2 Open-burning '!AH134</f>
        <v>6.9910531085197181E-2</v>
      </c>
      <c r="J108" s="987">
        <f>'4D Wastewater treatment and dis'!AV171</f>
        <v>204.90440828341107</v>
      </c>
      <c r="K108" s="770">
        <f>'4D Wastewater treatment and dis'!AW171</f>
        <v>3.2993456099811418</v>
      </c>
      <c r="L108" s="771">
        <f t="shared" si="111"/>
        <v>11816.137253486339</v>
      </c>
      <c r="M108" s="772">
        <f t="shared" si="112"/>
        <v>15.309839820291508</v>
      </c>
      <c r="N108" s="771">
        <f t="shared" si="113"/>
        <v>1299.1492647504508</v>
      </c>
      <c r="O108" s="773">
        <f t="shared" si="114"/>
        <v>142.05263607984509</v>
      </c>
      <c r="P108" s="771">
        <f t="shared" si="115"/>
        <v>5325.7897130457868</v>
      </c>
      <c r="Q108" s="519">
        <f t="shared" si="74"/>
        <v>11816.137253486339</v>
      </c>
      <c r="R108" s="521">
        <f t="shared" si="75"/>
        <v>1314.4591045707423</v>
      </c>
      <c r="S108" s="518">
        <f t="shared" si="76"/>
        <v>142.05263607984509</v>
      </c>
      <c r="T108" s="519">
        <f t="shared" si="77"/>
        <v>5325.7897130457868</v>
      </c>
      <c r="U108" s="519">
        <f t="shared" si="78"/>
        <v>18598.438707182711</v>
      </c>
    </row>
    <row r="109" spans="1:21">
      <c r="A109" s="4">
        <f>'Input data'!A130</f>
        <v>2030</v>
      </c>
      <c r="B109" s="4"/>
      <c r="C109" s="769">
        <f>'4A SWD Case 2'!BG100</f>
        <v>541.35889958953237</v>
      </c>
      <c r="D109" s="3">
        <f>'4B Biological treatment '!T162</f>
        <v>0.73179650732474122</v>
      </c>
      <c r="E109" s="1157">
        <f>'4B Biological treatment '!U162</f>
        <v>32.930842829613354</v>
      </c>
      <c r="F109" s="1157">
        <f>'4B Biological treatment '!W162</f>
        <v>1.9758505697768012</v>
      </c>
      <c r="G109" s="952">
        <f>'4C2 Open-burning '!R135</f>
        <v>13.523284883131048</v>
      </c>
      <c r="H109" s="952">
        <f>'4C2 Open-burning '!Z135</f>
        <v>4.550171342768361</v>
      </c>
      <c r="I109" s="952">
        <f>'4C2 Open-burning '!AH135</f>
        <v>6.3346064926477999E-2</v>
      </c>
      <c r="J109" s="987">
        <f>'4D Wastewater treatment and dis'!AV172</f>
        <v>211.26278968541391</v>
      </c>
      <c r="K109" s="770">
        <f>'4D Wastewater treatment and dis'!AW172</f>
        <v>3.3298681271770771</v>
      </c>
      <c r="L109" s="771">
        <f t="shared" si="111"/>
        <v>11368.536891380179</v>
      </c>
      <c r="M109" s="772">
        <f t="shared" si="112"/>
        <v>15.367726653819565</v>
      </c>
      <c r="N109" s="771">
        <f t="shared" si="113"/>
        <v>1304.061376052689</v>
      </c>
      <c r="O109" s="773">
        <f t="shared" si="114"/>
        <v>128.71416320847482</v>
      </c>
      <c r="P109" s="771">
        <f t="shared" si="115"/>
        <v>5468.7777028185865</v>
      </c>
      <c r="Q109" s="519">
        <f t="shared" si="74"/>
        <v>11368.536891380179</v>
      </c>
      <c r="R109" s="521">
        <f t="shared" si="75"/>
        <v>1319.4291027065085</v>
      </c>
      <c r="S109" s="518">
        <f t="shared" si="76"/>
        <v>128.71416320847482</v>
      </c>
      <c r="T109" s="519">
        <f t="shared" si="77"/>
        <v>5468.7777028185865</v>
      </c>
      <c r="U109" s="519">
        <f t="shared" si="78"/>
        <v>18285.457860113747</v>
      </c>
    </row>
    <row r="110" spans="1:21">
      <c r="A110" s="4">
        <f>'Input data'!A131</f>
        <v>2031</v>
      </c>
      <c r="B110" s="4"/>
      <c r="C110" s="769">
        <f>'4A SWD Case 2'!BG101</f>
        <v>520.66567597421101</v>
      </c>
      <c r="D110" s="3">
        <f>'4B Biological treatment '!T163</f>
        <v>0.73563240497558691</v>
      </c>
      <c r="E110" s="1157">
        <f>'4B Biological treatment '!U163</f>
        <v>33.103458223901406</v>
      </c>
      <c r="F110" s="1157">
        <f>'4B Biological treatment '!W163</f>
        <v>1.9862074934340841</v>
      </c>
      <c r="G110" s="952">
        <f>'4C2 Open-burning '!R136</f>
        <v>11.9247783720383</v>
      </c>
      <c r="H110" s="952">
        <f>'4C2 Open-burning '!Z136</f>
        <v>4.0123228406580633</v>
      </c>
      <c r="I110" s="952">
        <f>'4C2 Open-burning '!AH136</f>
        <v>5.5858305989787291E-2</v>
      </c>
      <c r="J110" s="987">
        <f>'4D Wastewater treatment and dis'!AV173</f>
        <v>213.16176016925567</v>
      </c>
      <c r="K110" s="770">
        <f>'4D Wastewater treatment and dis'!AW173</f>
        <v>3.3597991969031304</v>
      </c>
      <c r="L110" s="771">
        <f t="shared" si="111"/>
        <v>10933.979195458431</v>
      </c>
      <c r="M110" s="772">
        <f t="shared" si="112"/>
        <v>15.448280504487325</v>
      </c>
      <c r="N110" s="771">
        <f t="shared" si="113"/>
        <v>1310.8969456664956</v>
      </c>
      <c r="O110" s="773">
        <f t="shared" si="114"/>
        <v>113.4996328826917</v>
      </c>
      <c r="P110" s="771">
        <f t="shared" si="115"/>
        <v>5517.9347145943393</v>
      </c>
      <c r="Q110" s="519">
        <f t="shared" si="74"/>
        <v>10933.979195458431</v>
      </c>
      <c r="R110" s="521">
        <f t="shared" si="75"/>
        <v>1326.3452261709829</v>
      </c>
      <c r="S110" s="518">
        <f t="shared" si="76"/>
        <v>113.4996328826917</v>
      </c>
      <c r="T110" s="519">
        <f t="shared" si="77"/>
        <v>5517.9347145943393</v>
      </c>
      <c r="U110" s="519">
        <f t="shared" si="78"/>
        <v>17891.758769106444</v>
      </c>
    </row>
    <row r="111" spans="1:21">
      <c r="A111" s="4">
        <f>'Input data'!A132</f>
        <v>2032</v>
      </c>
      <c r="B111" s="4"/>
      <c r="C111" s="769">
        <f>'4A SWD Case 2'!BG102</f>
        <v>500.41067573853678</v>
      </c>
      <c r="D111" s="3">
        <f>'4B Biological treatment '!T164</f>
        <v>0.73918048799562719</v>
      </c>
      <c r="E111" s="1157">
        <f>'4B Biological treatment '!U164</f>
        <v>33.263121959803222</v>
      </c>
      <c r="F111" s="1157">
        <f>'4B Biological treatment '!W164</f>
        <v>1.9957873175881933</v>
      </c>
      <c r="G111" s="952">
        <f>'4C2 Open-burning '!R137</f>
        <v>10.337663470484436</v>
      </c>
      <c r="H111" s="952">
        <f>'4C2 Open-burning '!Z137</f>
        <v>3.4783072663992307</v>
      </c>
      <c r="I111" s="952">
        <f>'4C2 Open-burning '!AH137</f>
        <v>4.8423907878051703E-2</v>
      </c>
      <c r="J111" s="987">
        <f>'4D Wastewater treatment and dis'!AV174</f>
        <v>215.02186260752731</v>
      </c>
      <c r="K111" s="770">
        <f>'4D Wastewater treatment and dis'!AW174</f>
        <v>3.3891176387911139</v>
      </c>
      <c r="L111" s="771">
        <f t="shared" si="111"/>
        <v>10508.624190509272</v>
      </c>
      <c r="M111" s="772">
        <f t="shared" si="112"/>
        <v>15.522790247908171</v>
      </c>
      <c r="N111" s="771">
        <f t="shared" si="113"/>
        <v>1317.2196296082075</v>
      </c>
      <c r="O111" s="773">
        <f t="shared" si="114"/>
        <v>98.393527507064306</v>
      </c>
      <c r="P111" s="771">
        <f t="shared" si="115"/>
        <v>5566.0855827833184</v>
      </c>
      <c r="Q111" s="519">
        <f t="shared" si="74"/>
        <v>10508.624190509272</v>
      </c>
      <c r="R111" s="521">
        <f t="shared" si="75"/>
        <v>1332.7424198561157</v>
      </c>
      <c r="S111" s="518">
        <f t="shared" si="76"/>
        <v>98.393527507064306</v>
      </c>
      <c r="T111" s="519">
        <f t="shared" si="77"/>
        <v>5566.0855827833184</v>
      </c>
      <c r="U111" s="519">
        <f t="shared" si="78"/>
        <v>17505.845720655772</v>
      </c>
    </row>
    <row r="112" spans="1:21">
      <c r="A112" s="4">
        <f>'Input data'!A133</f>
        <v>2033</v>
      </c>
      <c r="B112" s="4"/>
      <c r="C112" s="769">
        <f>'4A SWD Case 2'!BG103</f>
        <v>480.56967517315502</v>
      </c>
      <c r="D112" s="3">
        <f>'4B Biological treatment '!T165</f>
        <v>0.74338020399469795</v>
      </c>
      <c r="E112" s="1157">
        <f>'4B Biological treatment '!U165</f>
        <v>33.452109179761408</v>
      </c>
      <c r="F112" s="1157">
        <f>'4B Biological treatment '!W165</f>
        <v>2.0071265507856841</v>
      </c>
      <c r="G112" s="952">
        <f>'4C2 Open-burning '!R138</f>
        <v>10.307348544671918</v>
      </c>
      <c r="H112" s="952">
        <f>'4C2 Open-burning '!Z138</f>
        <v>3.4681072219660662</v>
      </c>
      <c r="I112" s="952">
        <f>'4C2 Open-burning '!AH138</f>
        <v>4.8281906043781644E-2</v>
      </c>
      <c r="J112" s="987">
        <f>'4D Wastewater treatment and dis'!AV175</f>
        <v>216.84177138362475</v>
      </c>
      <c r="K112" s="770">
        <f>'4D Wastewater treatment and dis'!AW175</f>
        <v>3.4178025588232726</v>
      </c>
      <c r="L112" s="771">
        <f t="shared" si="111"/>
        <v>10091.963178636255</v>
      </c>
      <c r="M112" s="772">
        <f t="shared" si="112"/>
        <v>15.610984283888657</v>
      </c>
      <c r="N112" s="771">
        <f t="shared" si="113"/>
        <v>1324.7035235185517</v>
      </c>
      <c r="O112" s="773">
        <f t="shared" si="114"/>
        <v>98.104991079531615</v>
      </c>
      <c r="P112" s="771">
        <f t="shared" si="115"/>
        <v>5613.1959922913338</v>
      </c>
      <c r="Q112" s="519">
        <f t="shared" si="74"/>
        <v>10091.963178636255</v>
      </c>
      <c r="R112" s="521">
        <f t="shared" si="75"/>
        <v>1340.3145078024404</v>
      </c>
      <c r="S112" s="518">
        <f t="shared" si="76"/>
        <v>98.104991079531615</v>
      </c>
      <c r="T112" s="519">
        <f t="shared" si="77"/>
        <v>5613.1959922913338</v>
      </c>
      <c r="U112" s="519">
        <f t="shared" si="78"/>
        <v>17143.578669809562</v>
      </c>
    </row>
    <row r="113" spans="1:21">
      <c r="A113" s="4">
        <f>'Input data'!A134</f>
        <v>2034</v>
      </c>
      <c r="B113" s="4"/>
      <c r="C113" s="769">
        <f>'4A SWD Case 2'!BG104</f>
        <v>461.70777562811043</v>
      </c>
      <c r="D113" s="3">
        <f>'4B Biological treatment '!T166</f>
        <v>0.7486518792097463</v>
      </c>
      <c r="E113" s="1157">
        <f>'4B Biological treatment '!U166</f>
        <v>33.689334564438575</v>
      </c>
      <c r="F113" s="1157">
        <f>'4B Biological treatment '!W166</f>
        <v>2.0213600738663144</v>
      </c>
      <c r="G113" s="952">
        <f>'4C2 Open-burning '!R139</f>
        <v>10.278310353710506</v>
      </c>
      <c r="H113" s="952">
        <f>'4C2 Open-burning '!Z139</f>
        <v>3.4583367597225863</v>
      </c>
      <c r="I113" s="952">
        <f>'4C2 Open-burning '!AH139</f>
        <v>4.8145884718646087E-2</v>
      </c>
      <c r="J113" s="987">
        <f>'4D Wastewater treatment and dis'!AV176</f>
        <v>218.62447642392758</v>
      </c>
      <c r="K113" s="770">
        <f>'4D Wastewater treatment and dis'!AW176</f>
        <v>3.4459010834271635</v>
      </c>
      <c r="L113" s="771">
        <f t="shared" si="111"/>
        <v>9695.8632881903195</v>
      </c>
      <c r="M113" s="772">
        <f t="shared" si="112"/>
        <v>15.721689463404672</v>
      </c>
      <c r="N113" s="771">
        <f t="shared" si="113"/>
        <v>1334.0976487517676</v>
      </c>
      <c r="O113" s="773">
        <f t="shared" si="114"/>
        <v>97.828606570665116</v>
      </c>
      <c r="P113" s="771">
        <f t="shared" si="115"/>
        <v>5659.343340764899</v>
      </c>
      <c r="Q113" s="519">
        <f t="shared" si="74"/>
        <v>9695.8632881903195</v>
      </c>
      <c r="R113" s="521">
        <f t="shared" si="75"/>
        <v>1349.8193382151721</v>
      </c>
      <c r="S113" s="518">
        <f t="shared" si="76"/>
        <v>97.828606570665116</v>
      </c>
      <c r="T113" s="519">
        <f t="shared" si="77"/>
        <v>5659.343340764899</v>
      </c>
      <c r="U113" s="519">
        <f t="shared" si="78"/>
        <v>16802.854573741053</v>
      </c>
    </row>
    <row r="114" spans="1:21">
      <c r="A114" s="4">
        <f>'Input data'!A135</f>
        <v>2035</v>
      </c>
      <c r="B114" s="4"/>
      <c r="C114" s="769">
        <f>'4A SWD Case 2'!BG105</f>
        <v>443.77685501532568</v>
      </c>
      <c r="D114" s="3">
        <f>'4B Biological treatment '!T167</f>
        <v>0.75297190092807709</v>
      </c>
      <c r="E114" s="1157">
        <f>'4B Biological treatment '!U167</f>
        <v>33.883735541763464</v>
      </c>
      <c r="F114" s="1157">
        <f>'4B Biological treatment '!W167</f>
        <v>2.0330241325058078</v>
      </c>
      <c r="G114" s="952">
        <f>'4C2 Open-burning '!R140</f>
        <v>10.250506321682792</v>
      </c>
      <c r="H114" s="952">
        <f>'4C2 Open-burning '!Z140</f>
        <v>3.4489815541760613</v>
      </c>
      <c r="I114" s="952">
        <f>'4C2 Open-burning '!AH140</f>
        <v>4.8015644467607498E-2</v>
      </c>
      <c r="J114" s="987">
        <f>'4D Wastewater treatment and dis'!AV177</f>
        <v>220.36879785205323</v>
      </c>
      <c r="K114" s="770">
        <f>'4D Wastewater treatment and dis'!AW177</f>
        <v>3.4733946157037967</v>
      </c>
      <c r="L114" s="771">
        <f t="shared" si="111"/>
        <v>9319.3139553218389</v>
      </c>
      <c r="M114" s="772">
        <f t="shared" si="112"/>
        <v>15.812409919489619</v>
      </c>
      <c r="N114" s="771">
        <f t="shared" si="113"/>
        <v>1341.7959274538332</v>
      </c>
      <c r="O114" s="773">
        <f t="shared" si="114"/>
        <v>97.563968744338396</v>
      </c>
      <c r="P114" s="771">
        <f t="shared" si="115"/>
        <v>5704.4970857612952</v>
      </c>
      <c r="Q114" s="519">
        <f t="shared" si="74"/>
        <v>9319.3139553218389</v>
      </c>
      <c r="R114" s="521">
        <f t="shared" si="75"/>
        <v>1357.6083373733229</v>
      </c>
      <c r="S114" s="518">
        <f t="shared" si="76"/>
        <v>97.563968744338396</v>
      </c>
      <c r="T114" s="519">
        <f t="shared" si="77"/>
        <v>5704.4970857612952</v>
      </c>
      <c r="U114" s="519">
        <f t="shared" si="78"/>
        <v>16478.983347200796</v>
      </c>
    </row>
    <row r="115" spans="1:21">
      <c r="A115" s="4">
        <f>'Input data'!A136</f>
        <v>2036</v>
      </c>
      <c r="B115" s="4"/>
      <c r="C115" s="769">
        <f>'4A SWD Case 2'!BG106</f>
        <v>426.73114177495717</v>
      </c>
      <c r="D115" s="3">
        <f>'4B Biological treatment '!T168</f>
        <v>0.75732725509805898</v>
      </c>
      <c r="E115" s="1157">
        <f>'4B Biological treatment '!U168</f>
        <v>34.079726479412649</v>
      </c>
      <c r="F115" s="1157">
        <f>'4B Biological treatment '!W168</f>
        <v>2.044783588764759</v>
      </c>
      <c r="G115" s="952">
        <f>'4C2 Open-burning '!R141</f>
        <v>10.22389630366953</v>
      </c>
      <c r="H115" s="952">
        <f>'4C2 Open-burning '!Z141</f>
        <v>3.440028097790214</v>
      </c>
      <c r="I115" s="952">
        <f>'4C2 Open-burning '!AH141</f>
        <v>4.7890997242962724E-2</v>
      </c>
      <c r="J115" s="987">
        <f>'4D Wastewater treatment and dis'!AV178</f>
        <v>222.07357374163959</v>
      </c>
      <c r="K115" s="770">
        <f>'4D Wastewater treatment and dis'!AW178</f>
        <v>3.5002648416776503</v>
      </c>
      <c r="L115" s="771">
        <f t="shared" si="111"/>
        <v>8961.3539772741005</v>
      </c>
      <c r="M115" s="772">
        <f t="shared" si="112"/>
        <v>15.903872357059239</v>
      </c>
      <c r="N115" s="771">
        <f t="shared" si="113"/>
        <v>1349.5571685847408</v>
      </c>
      <c r="O115" s="773">
        <f t="shared" si="114"/>
        <v>97.310695502582462</v>
      </c>
      <c r="P115" s="771">
        <f t="shared" si="115"/>
        <v>5748.6271494945031</v>
      </c>
      <c r="Q115" s="519">
        <f t="shared" si="74"/>
        <v>8961.3539772741005</v>
      </c>
      <c r="R115" s="521">
        <f t="shared" si="75"/>
        <v>1365.4610409418001</v>
      </c>
      <c r="S115" s="518">
        <f t="shared" si="76"/>
        <v>97.310695502582462</v>
      </c>
      <c r="T115" s="519">
        <f t="shared" si="77"/>
        <v>5748.6271494945031</v>
      </c>
      <c r="U115" s="519">
        <f t="shared" si="78"/>
        <v>16172.752863212987</v>
      </c>
    </row>
    <row r="116" spans="1:21">
      <c r="A116" s="4">
        <f>'Input data'!A137</f>
        <v>2037</v>
      </c>
      <c r="B116" s="4"/>
      <c r="C116" s="769">
        <f>'4A SWD Case 2'!BG107</f>
        <v>410.5270999067784</v>
      </c>
      <c r="D116" s="3">
        <f>'4B Biological treatment '!T169</f>
        <v>0.76256229044400659</v>
      </c>
      <c r="E116" s="1157">
        <f>'4B Biological treatment '!U169</f>
        <v>34.315303069980288</v>
      </c>
      <c r="F116" s="1157">
        <f>'4B Biological treatment '!W169</f>
        <v>2.0589181841988173</v>
      </c>
      <c r="G116" s="952">
        <f>'4C2 Open-burning '!R142</f>
        <v>10.198442445945371</v>
      </c>
      <c r="H116" s="952">
        <f>'4C2 Open-burning '!Z142</f>
        <v>3.4314636539453733</v>
      </c>
      <c r="I116" s="952">
        <f>'4C2 Open-burning '!AH142</f>
        <v>4.777176572946891E-2</v>
      </c>
      <c r="J116" s="987">
        <f>'4D Wastewater treatment and dis'!AV179</f>
        <v>223.73766139583338</v>
      </c>
      <c r="K116" s="770">
        <f>'4D Wastewater treatment and dis'!AW179</f>
        <v>3.5264937504636227</v>
      </c>
      <c r="L116" s="771">
        <f t="shared" si="111"/>
        <v>8621.069098042346</v>
      </c>
      <c r="M116" s="772">
        <f t="shared" si="112"/>
        <v>16.013808099324137</v>
      </c>
      <c r="N116" s="771">
        <f t="shared" si="113"/>
        <v>1358.8860015712194</v>
      </c>
      <c r="O116" s="773">
        <f t="shared" si="114"/>
        <v>97.068426554933581</v>
      </c>
      <c r="P116" s="771">
        <f t="shared" si="115"/>
        <v>5791.703951956224</v>
      </c>
      <c r="Q116" s="519">
        <f t="shared" si="74"/>
        <v>8621.069098042346</v>
      </c>
      <c r="R116" s="521">
        <f t="shared" si="75"/>
        <v>1374.8998096705436</v>
      </c>
      <c r="S116" s="518">
        <f t="shared" si="76"/>
        <v>97.068426554933581</v>
      </c>
      <c r="T116" s="519">
        <f t="shared" si="77"/>
        <v>5791.703951956224</v>
      </c>
      <c r="U116" s="519">
        <f t="shared" si="78"/>
        <v>15884.741286224047</v>
      </c>
    </row>
    <row r="117" spans="1:21">
      <c r="A117" s="4">
        <f>'Input data'!A138</f>
        <v>2038</v>
      </c>
      <c r="B117" s="4"/>
      <c r="C117" s="769">
        <f>'4A SWD Case 2'!BG108</f>
        <v>395.49044890414825</v>
      </c>
      <c r="D117" s="3">
        <f>'4B Biological treatment '!T170</f>
        <v>0.76813555668865674</v>
      </c>
      <c r="E117" s="1157">
        <f>'4B Biological treatment '!U170</f>
        <v>34.566100050989547</v>
      </c>
      <c r="F117" s="1157">
        <f>'4B Biological treatment '!W170</f>
        <v>2.0739660030593727</v>
      </c>
      <c r="G117" s="952">
        <f>'4C2 Open-burning '!R143</f>
        <v>10.174109056797926</v>
      </c>
      <c r="H117" s="952">
        <f>'4C2 Open-burning '!Z143</f>
        <v>3.423276213473033</v>
      </c>
      <c r="I117" s="952">
        <f>'4C2 Open-burning '!AH143</f>
        <v>4.7657782739231228E-2</v>
      </c>
      <c r="J117" s="987">
        <f>'4D Wastewater treatment and dis'!AV180</f>
        <v>225.35993861428059</v>
      </c>
      <c r="K117" s="770">
        <f>'4D Wastewater treatment and dis'!AW180</f>
        <v>3.5520636542370059</v>
      </c>
      <c r="L117" s="771">
        <f t="shared" si="111"/>
        <v>8305.2994269871124</v>
      </c>
      <c r="M117" s="772">
        <f t="shared" si="112"/>
        <v>16.130846690461791</v>
      </c>
      <c r="N117" s="771">
        <f t="shared" si="113"/>
        <v>1368.817562019186</v>
      </c>
      <c r="O117" s="773">
        <f t="shared" si="114"/>
        <v>96.836822188893308</v>
      </c>
      <c r="P117" s="771">
        <f t="shared" si="115"/>
        <v>5833.6984437133642</v>
      </c>
      <c r="Q117" s="519">
        <f t="shared" si="74"/>
        <v>8305.2994269871124</v>
      </c>
      <c r="R117" s="521">
        <f t="shared" si="75"/>
        <v>1384.9484087096478</v>
      </c>
      <c r="S117" s="518">
        <f t="shared" si="76"/>
        <v>96.836822188893308</v>
      </c>
      <c r="T117" s="519">
        <f t="shared" si="77"/>
        <v>5833.6984437133642</v>
      </c>
      <c r="U117" s="519">
        <f t="shared" si="78"/>
        <v>15620.78310159902</v>
      </c>
    </row>
    <row r="118" spans="1:21">
      <c r="A118" s="4">
        <f>'Input data'!A139</f>
        <v>2039</v>
      </c>
      <c r="B118" s="4"/>
      <c r="C118" s="769">
        <f>'4A SWD Case 2'!BG109</f>
        <v>381.69023666858777</v>
      </c>
      <c r="D118" s="3">
        <f>'4B Biological treatment '!T171</f>
        <v>0.77405355684576127</v>
      </c>
      <c r="E118" s="1157">
        <f>'4B Biological treatment '!U171</f>
        <v>34.832410058059253</v>
      </c>
      <c r="F118" s="1157">
        <f>'4B Biological treatment '!W171</f>
        <v>2.0899446034835552</v>
      </c>
      <c r="G118" s="952">
        <f>'4C2 Open-burning '!R144</f>
        <v>10.150794866315531</v>
      </c>
      <c r="H118" s="952">
        <f>'4C2 Open-burning '!Z144</f>
        <v>3.415431702148334</v>
      </c>
      <c r="I118" s="952">
        <f>'4C2 Open-burning '!AH144</f>
        <v>4.7548573901528751E-2</v>
      </c>
      <c r="J118" s="987">
        <f>'4D Wastewater treatment and dis'!AV181</f>
        <v>226.94394200253512</v>
      </c>
      <c r="K118" s="770">
        <f>'4D Wastewater treatment and dis'!AW181</f>
        <v>3.5770302960376927</v>
      </c>
      <c r="L118" s="771">
        <f t="shared" si="111"/>
        <v>8015.4949700403431</v>
      </c>
      <c r="M118" s="772">
        <f t="shared" si="112"/>
        <v>16.255124693760987</v>
      </c>
      <c r="N118" s="771">
        <f t="shared" si="113"/>
        <v>1379.3634382991463</v>
      </c>
      <c r="O118" s="773">
        <f t="shared" si="114"/>
        <v>96.614918520904467</v>
      </c>
      <c r="P118" s="771">
        <f t="shared" si="115"/>
        <v>5874.7021738249223</v>
      </c>
      <c r="Q118" s="519">
        <f t="shared" si="74"/>
        <v>8015.4949700403431</v>
      </c>
      <c r="R118" s="521">
        <f t="shared" si="75"/>
        <v>1395.6185629929073</v>
      </c>
      <c r="S118" s="518">
        <f t="shared" si="76"/>
        <v>96.614918520904467</v>
      </c>
      <c r="T118" s="519">
        <f t="shared" si="77"/>
        <v>5874.7021738249223</v>
      </c>
      <c r="U118" s="519">
        <f t="shared" si="78"/>
        <v>15382.430625379078</v>
      </c>
    </row>
    <row r="119" spans="1:21">
      <c r="A119" s="4">
        <f>'Input data'!A140</f>
        <v>2040</v>
      </c>
      <c r="B119" s="4"/>
      <c r="C119" s="769">
        <f>'4A SWD Case 2'!BG110</f>
        <v>369.08081160459614</v>
      </c>
      <c r="D119" s="3">
        <f>'4B Biological treatment '!T172</f>
        <v>0.78023599446200143</v>
      </c>
      <c r="E119" s="1157">
        <f>'4B Biological treatment '!U172</f>
        <v>35.110619750790065</v>
      </c>
      <c r="F119" s="1157">
        <f>'4B Biological treatment '!W172</f>
        <v>2.1066371850474037</v>
      </c>
      <c r="G119" s="952">
        <f>'4C2 Open-burning '!R145</f>
        <v>10.128470376692018</v>
      </c>
      <c r="H119" s="952">
        <f>'4C2 Open-burning '!Z145</f>
        <v>3.4079201948625895</v>
      </c>
      <c r="I119" s="952">
        <f>'4C2 Open-burning '!AH145</f>
        <v>4.7444001042096826E-2</v>
      </c>
      <c r="J119" s="987">
        <f>'4D Wastewater treatment and dis'!AV182</f>
        <v>228.48869065252686</v>
      </c>
      <c r="K119" s="770">
        <f>'4D Wastewater treatment and dis'!AW182</f>
        <v>3.6013782150525211</v>
      </c>
      <c r="L119" s="771">
        <f t="shared" si="111"/>
        <v>7750.6970436965184</v>
      </c>
      <c r="M119" s="772">
        <f t="shared" si="112"/>
        <v>16.38495588370203</v>
      </c>
      <c r="N119" s="771">
        <f t="shared" si="113"/>
        <v>1390.3805421312863</v>
      </c>
      <c r="O119" s="773">
        <f t="shared" si="114"/>
        <v>96.402434791856422</v>
      </c>
      <c r="P119" s="771">
        <f t="shared" si="115"/>
        <v>5914.6897503693453</v>
      </c>
      <c r="Q119" s="519">
        <f t="shared" si="74"/>
        <v>7750.6970436965184</v>
      </c>
      <c r="R119" s="521">
        <f t="shared" si="75"/>
        <v>1406.7654980149885</v>
      </c>
      <c r="S119" s="518">
        <f t="shared" si="76"/>
        <v>96.402434791856422</v>
      </c>
      <c r="T119" s="519">
        <f t="shared" si="77"/>
        <v>5914.6897503693453</v>
      </c>
      <c r="U119" s="519">
        <f t="shared" si="78"/>
        <v>15168.55472687271</v>
      </c>
    </row>
    <row r="120" spans="1:21">
      <c r="A120" s="4">
        <f>'Input data'!A141</f>
        <v>2041</v>
      </c>
      <c r="B120" s="4"/>
      <c r="C120" s="769">
        <f>'4A SWD Case 2'!BG111</f>
        <v>357.61823680354127</v>
      </c>
      <c r="D120" s="3">
        <f>'4B Biological treatment '!T173</f>
        <v>0.78662529538008119</v>
      </c>
      <c r="E120" s="1157">
        <f>'4B Biological treatment '!U173</f>
        <v>35.398138292103653</v>
      </c>
      <c r="F120" s="1157">
        <f>'4B Biological treatment '!W173</f>
        <v>2.1238882975262192</v>
      </c>
      <c r="G120" s="952">
        <f>'4C2 Open-burning '!R146</f>
        <v>10.107107705652387</v>
      </c>
      <c r="H120" s="952">
        <f>'4C2 Open-burning '!Z146</f>
        <v>3.4007323100838871</v>
      </c>
      <c r="I120" s="952">
        <f>'4C2 Open-burning '!AH146</f>
        <v>4.7343933554176973E-2</v>
      </c>
      <c r="J120" s="987">
        <f>'4D Wastewater treatment and dis'!AV183</f>
        <v>229.99322269099028</v>
      </c>
      <c r="K120" s="770">
        <f>'4D Wastewater treatment and dis'!AW183</f>
        <v>3.6250922504898839</v>
      </c>
      <c r="L120" s="771">
        <f t="shared" si="111"/>
        <v>7509.9829728743662</v>
      </c>
      <c r="M120" s="772">
        <f t="shared" si="112"/>
        <v>16.519131202981704</v>
      </c>
      <c r="N120" s="771">
        <f t="shared" si="113"/>
        <v>1401.7662763673047</v>
      </c>
      <c r="O120" s="773">
        <f t="shared" si="114"/>
        <v>96.199105619208879</v>
      </c>
      <c r="P120" s="771">
        <f t="shared" si="115"/>
        <v>5953.6362741626599</v>
      </c>
      <c r="Q120" s="519">
        <f t="shared" si="74"/>
        <v>7509.9829728743662</v>
      </c>
      <c r="R120" s="521">
        <f t="shared" si="75"/>
        <v>1418.2854075702865</v>
      </c>
      <c r="S120" s="518">
        <f t="shared" si="76"/>
        <v>96.199105619208879</v>
      </c>
      <c r="T120" s="519">
        <f t="shared" si="77"/>
        <v>5953.6362741626599</v>
      </c>
      <c r="U120" s="519">
        <f t="shared" si="78"/>
        <v>14978.103760226522</v>
      </c>
    </row>
    <row r="121" spans="1:21">
      <c r="A121" s="4">
        <f>'Input data'!A142</f>
        <v>2042</v>
      </c>
      <c r="B121" s="4"/>
      <c r="C121" s="769">
        <f>'4A SWD Case 2'!BG112</f>
        <v>346.87836211393034</v>
      </c>
      <c r="D121" s="3">
        <f>'4B Biological treatment '!T174</f>
        <v>0.79262090447921696</v>
      </c>
      <c r="E121" s="1157">
        <f>'4B Biological treatment '!U174</f>
        <v>35.66794070156476</v>
      </c>
      <c r="F121" s="1157">
        <f>'4B Biological treatment '!W174</f>
        <v>2.1400764420938856</v>
      </c>
      <c r="G121" s="952">
        <f>'4C2 Open-burning '!R147</f>
        <v>10.086680504195472</v>
      </c>
      <c r="H121" s="952">
        <f>'4C2 Open-burning '!Z147</f>
        <v>3.3938591821800186</v>
      </c>
      <c r="I121" s="952">
        <f>'4C2 Open-burning '!AH147</f>
        <v>4.7248248013205332E-2</v>
      </c>
      <c r="J121" s="987">
        <f>'4D Wastewater treatment and dis'!AV184</f>
        <v>231.45659627174089</v>
      </c>
      <c r="K121" s="770">
        <f>'4D Wastewater treatment and dis'!AW184</f>
        <v>3.6481575572197178</v>
      </c>
      <c r="L121" s="771">
        <f t="shared" si="111"/>
        <v>7284.4456043925375</v>
      </c>
      <c r="M121" s="772">
        <f t="shared" si="112"/>
        <v>16.645038994063555</v>
      </c>
      <c r="N121" s="771">
        <f t="shared" si="113"/>
        <v>1412.4504517819644</v>
      </c>
      <c r="O121" s="773">
        <f t="shared" si="114"/>
        <v>96.004680214069509</v>
      </c>
      <c r="P121" s="771">
        <f t="shared" si="115"/>
        <v>5991.5173644446713</v>
      </c>
      <c r="Q121" s="519">
        <f t="shared" si="74"/>
        <v>7284.4456043925375</v>
      </c>
      <c r="R121" s="521">
        <f t="shared" si="75"/>
        <v>1429.0954907760279</v>
      </c>
      <c r="S121" s="518">
        <f t="shared" si="76"/>
        <v>96.004680214069509</v>
      </c>
      <c r="T121" s="519">
        <f t="shared" si="77"/>
        <v>5991.5173644446713</v>
      </c>
      <c r="U121" s="519">
        <f t="shared" si="78"/>
        <v>14801.063139827307</v>
      </c>
    </row>
    <row r="122" spans="1:21">
      <c r="A122" s="4">
        <f>'Input data'!A143</f>
        <v>2043</v>
      </c>
      <c r="B122" s="4"/>
      <c r="C122" s="769">
        <f>'4A SWD Case 2'!BG113</f>
        <v>336.82567042036868</v>
      </c>
      <c r="D122" s="3">
        <f>'4B Biological treatment '!T175</f>
        <v>0.79874349386992249</v>
      </c>
      <c r="E122" s="1157">
        <f>'4B Biological treatment '!U175</f>
        <v>35.943457224146513</v>
      </c>
      <c r="F122" s="1157">
        <f>'4B Biological treatment '!W175</f>
        <v>2.1566074334487908</v>
      </c>
      <c r="G122" s="952">
        <f>'4C2 Open-burning '!R148</f>
        <v>10.067163880196841</v>
      </c>
      <c r="H122" s="952">
        <f>'4C2 Open-burning '!Z148</f>
        <v>3.3872924357131948</v>
      </c>
      <c r="I122" s="952">
        <f>'4C2 Open-burning '!AH148</f>
        <v>4.715682781895171E-2</v>
      </c>
      <c r="J122" s="987">
        <f>'4D Wastewater treatment and dis'!AV185</f>
        <v>232.87789055291285</v>
      </c>
      <c r="K122" s="770">
        <f>'4D Wastewater treatment and dis'!AW185</f>
        <v>3.6705596211764653</v>
      </c>
      <c r="L122" s="771">
        <f t="shared" si="111"/>
        <v>7073.339078827742</v>
      </c>
      <c r="M122" s="772">
        <f t="shared" si="112"/>
        <v>16.773613371268372</v>
      </c>
      <c r="N122" s="771">
        <f t="shared" si="113"/>
        <v>1423.3609060762019</v>
      </c>
      <c r="O122" s="773">
        <f t="shared" si="114"/>
        <v>95.818921654048964</v>
      </c>
      <c r="P122" s="771">
        <f t="shared" si="115"/>
        <v>6028.3091841758742</v>
      </c>
      <c r="Q122" s="519">
        <f t="shared" si="74"/>
        <v>7073.339078827742</v>
      </c>
      <c r="R122" s="521">
        <f t="shared" si="75"/>
        <v>1440.1345194474702</v>
      </c>
      <c r="S122" s="518">
        <f t="shared" si="76"/>
        <v>95.818921654048964</v>
      </c>
      <c r="T122" s="519">
        <f t="shared" si="77"/>
        <v>6028.3091841758742</v>
      </c>
      <c r="U122" s="519">
        <f t="shared" si="78"/>
        <v>14637.601704105135</v>
      </c>
    </row>
    <row r="123" spans="1:21">
      <c r="A123" s="4">
        <f>'Input data'!A144</f>
        <v>2044</v>
      </c>
      <c r="B123" s="4"/>
      <c r="C123" s="769">
        <f>'4A SWD Case 2'!BG114</f>
        <v>327.4284930470609</v>
      </c>
      <c r="D123" s="3">
        <f>'4B Biological treatment '!T176</f>
        <v>0.80499972150822696</v>
      </c>
      <c r="E123" s="1157">
        <f>'4B Biological treatment '!U176</f>
        <v>36.224987467870207</v>
      </c>
      <c r="F123" s="1157">
        <f>'4B Biological treatment '!W176</f>
        <v>2.1734992480722126</v>
      </c>
      <c r="G123" s="952">
        <f>'4C2 Open-burning '!R149</f>
        <v>10.048531743159943</v>
      </c>
      <c r="H123" s="952">
        <f>'4C2 Open-burning '!Z149</f>
        <v>3.381023292030096</v>
      </c>
      <c r="I123" s="952">
        <f>'4C2 Open-burning '!AH149</f>
        <v>4.7069550757745181E-2</v>
      </c>
      <c r="J123" s="987">
        <f>'4D Wastewater treatment and dis'!AV186</f>
        <v>234.25639934533061</v>
      </c>
      <c r="K123" s="770">
        <f>'4D Wastewater treatment and dis'!AW186</f>
        <v>3.6922873115934127</v>
      </c>
      <c r="L123" s="771">
        <f t="shared" si="111"/>
        <v>6875.9983539882787</v>
      </c>
      <c r="M123" s="772">
        <f t="shared" si="112"/>
        <v>16.904994151672767</v>
      </c>
      <c r="N123" s="771">
        <f t="shared" si="113"/>
        <v>1434.5095037276603</v>
      </c>
      <c r="O123" s="773">
        <f t="shared" si="114"/>
        <v>95.641581610692967</v>
      </c>
      <c r="P123" s="771">
        <f t="shared" si="115"/>
        <v>6063.9934528459007</v>
      </c>
      <c r="Q123" s="519">
        <f t="shared" si="74"/>
        <v>6875.9983539882787</v>
      </c>
      <c r="R123" s="521">
        <f t="shared" si="75"/>
        <v>1451.4144978793331</v>
      </c>
      <c r="S123" s="518">
        <f t="shared" si="76"/>
        <v>95.641581610692967</v>
      </c>
      <c r="T123" s="519">
        <f t="shared" si="77"/>
        <v>6063.9934528459007</v>
      </c>
      <c r="U123" s="519">
        <f t="shared" si="78"/>
        <v>14487.047886324206</v>
      </c>
    </row>
    <row r="124" spans="1:21">
      <c r="A124" s="4">
        <f>'Input data'!A145</f>
        <v>2045</v>
      </c>
      <c r="B124" s="4"/>
      <c r="C124" s="769">
        <f>'4A SWD Case 2'!BG115</f>
        <v>318.6566067631947</v>
      </c>
      <c r="D124" s="3">
        <f>'4B Biological treatment '!T177</f>
        <v>0.81154150901403643</v>
      </c>
      <c r="E124" s="1157">
        <f>'4B Biological treatment '!U177</f>
        <v>36.51936790563164</v>
      </c>
      <c r="F124" s="1157">
        <f>'4B Biological treatment '!W177</f>
        <v>2.1911620743378983</v>
      </c>
      <c r="G124" s="952">
        <f>'4C2 Open-burning '!R150</f>
        <v>10.030761976872286</v>
      </c>
      <c r="H124" s="952">
        <f>'4C2 Open-burning '!Z150</f>
        <v>3.3750443097023153</v>
      </c>
      <c r="I124" s="952">
        <f>'4C2 Open-burning '!AH150</f>
        <v>4.6986313232342578E-2</v>
      </c>
      <c r="J124" s="987">
        <f>'4D Wastewater treatment and dis'!AV187</f>
        <v>235.59125005915769</v>
      </c>
      <c r="K124" s="770">
        <f>'4D Wastewater treatment and dis'!AW187</f>
        <v>3.7133268749407069</v>
      </c>
      <c r="L124" s="771">
        <f t="shared" si="111"/>
        <v>6691.788742027089</v>
      </c>
      <c r="M124" s="772">
        <f t="shared" si="112"/>
        <v>17.042371689294765</v>
      </c>
      <c r="N124" s="771">
        <f t="shared" si="113"/>
        <v>1446.1669690630129</v>
      </c>
      <c r="O124" s="773">
        <f t="shared" si="114"/>
        <v>95.472449582647101</v>
      </c>
      <c r="P124" s="771">
        <f t="shared" si="115"/>
        <v>6098.5475824739315</v>
      </c>
      <c r="Q124" s="519">
        <f t="shared" si="74"/>
        <v>6691.788742027089</v>
      </c>
      <c r="R124" s="521">
        <f t="shared" si="75"/>
        <v>1463.2093407523075</v>
      </c>
      <c r="S124" s="518">
        <f t="shared" si="76"/>
        <v>95.472449582647101</v>
      </c>
      <c r="T124" s="519">
        <f t="shared" si="77"/>
        <v>6098.5475824739315</v>
      </c>
      <c r="U124" s="519">
        <f t="shared" si="78"/>
        <v>14349.018114835975</v>
      </c>
    </row>
    <row r="125" spans="1:21">
      <c r="A125" s="4">
        <f>'Input data'!A146</f>
        <v>2046</v>
      </c>
      <c r="B125" s="4"/>
      <c r="C125" s="769">
        <f>'4A SWD Case 2'!BG116</f>
        <v>310.48179775092262</v>
      </c>
      <c r="D125" s="3">
        <f>'4B Biological treatment '!T178</f>
        <v>0.8182540803242544</v>
      </c>
      <c r="E125" s="1157">
        <f>'4B Biological treatment '!U178</f>
        <v>36.821433614591442</v>
      </c>
      <c r="F125" s="1157">
        <f>'4B Biological treatment '!W178</f>
        <v>2.2092860168754864</v>
      </c>
      <c r="G125" s="952">
        <f>'4C2 Open-burning '!R151</f>
        <v>10.013833716749662</v>
      </c>
      <c r="H125" s="952">
        <f>'4C2 Open-burning '!Z151</f>
        <v>3.3693484684360433</v>
      </c>
      <c r="I125" s="952">
        <f>'4C2 Open-burning '!AH151</f>
        <v>4.6907017508405147E-2</v>
      </c>
      <c r="J125" s="987">
        <f>'4D Wastewater treatment and dis'!AV188</f>
        <v>236.88159371811045</v>
      </c>
      <c r="K125" s="770">
        <f>'4D Wastewater treatment and dis'!AW188</f>
        <v>3.7336649298790605</v>
      </c>
      <c r="L125" s="771">
        <f t="shared" si="111"/>
        <v>6520.1177527693753</v>
      </c>
      <c r="M125" s="772">
        <f t="shared" si="112"/>
        <v>17.183335686809343</v>
      </c>
      <c r="N125" s="771">
        <f t="shared" si="113"/>
        <v>1458.1287711378209</v>
      </c>
      <c r="O125" s="773">
        <f t="shared" si="114"/>
        <v>95.311326981512167</v>
      </c>
      <c r="P125" s="771">
        <f t="shared" si="115"/>
        <v>6131.949596342828</v>
      </c>
      <c r="Q125" s="519">
        <f t="shared" si="74"/>
        <v>6520.1177527693753</v>
      </c>
      <c r="R125" s="521">
        <f t="shared" si="75"/>
        <v>1475.3121068246303</v>
      </c>
      <c r="S125" s="518">
        <f t="shared" si="76"/>
        <v>95.311326981512167</v>
      </c>
      <c r="T125" s="519">
        <f t="shared" si="77"/>
        <v>6131.949596342828</v>
      </c>
      <c r="U125" s="519">
        <f t="shared" si="78"/>
        <v>14222.690782918346</v>
      </c>
    </row>
    <row r="126" spans="1:21">
      <c r="A126" s="4">
        <f>'Input data'!A147</f>
        <v>2047</v>
      </c>
      <c r="B126" s="4"/>
      <c r="C126" s="769">
        <f>'4A SWD Case 2'!BG117</f>
        <v>302.83498557685289</v>
      </c>
      <c r="D126" s="3">
        <f>'4B Biological treatment '!T179</f>
        <v>0.82237924260426487</v>
      </c>
      <c r="E126" s="1157">
        <f>'4B Biological treatment '!U179</f>
        <v>37.007065917191916</v>
      </c>
      <c r="F126" s="1157">
        <f>'4B Biological treatment '!W179</f>
        <v>2.220423955031515</v>
      </c>
      <c r="G126" s="952">
        <f>'4C2 Open-burning '!R152</f>
        <v>9.9977272932780483</v>
      </c>
      <c r="H126" s="952">
        <f>'4C2 Open-burning '!Z152</f>
        <v>3.3639291500419994</v>
      </c>
      <c r="I126" s="952">
        <f>'4C2 Open-burning '!AH152</f>
        <v>4.6831571449567837E-2</v>
      </c>
      <c r="J126" s="987">
        <f>'4D Wastewater treatment and dis'!AV189</f>
        <v>238.12660585564302</v>
      </c>
      <c r="K126" s="770">
        <f>'4D Wastewater treatment and dis'!AW189</f>
        <v>3.753288481385181</v>
      </c>
      <c r="L126" s="771">
        <f t="shared" si="111"/>
        <v>6359.5346971139106</v>
      </c>
      <c r="M126" s="772">
        <f t="shared" si="112"/>
        <v>17.269964094689563</v>
      </c>
      <c r="N126" s="771">
        <f t="shared" si="113"/>
        <v>1465.4798103208</v>
      </c>
      <c r="O126" s="773">
        <f t="shared" si="114"/>
        <v>95.15802659352606</v>
      </c>
      <c r="P126" s="771">
        <f t="shared" si="115"/>
        <v>6164.1781521979101</v>
      </c>
      <c r="Q126" s="519">
        <f t="shared" ref="Q126:Q129" si="116">L126</f>
        <v>6359.5346971139106</v>
      </c>
      <c r="R126" s="521">
        <f t="shared" ref="R126:R129" si="117">M126+N126</f>
        <v>1482.7497744154896</v>
      </c>
      <c r="S126" s="518">
        <f t="shared" ref="S126:S129" si="118">O126</f>
        <v>95.15802659352606</v>
      </c>
      <c r="T126" s="519">
        <f t="shared" ref="T126:T129" si="119">P126</f>
        <v>6164.1781521979101</v>
      </c>
      <c r="U126" s="519">
        <f t="shared" ref="U126:U129" si="120">SUM(Q126:T126)</f>
        <v>14101.620650320838</v>
      </c>
    </row>
    <row r="127" spans="1:21">
      <c r="A127" s="4">
        <f>'Input data'!A148</f>
        <v>2048</v>
      </c>
      <c r="B127" s="4"/>
      <c r="C127" s="769">
        <f>'4A SWD Case 2'!BG118</f>
        <v>295.67959822036636</v>
      </c>
      <c r="D127" s="3">
        <f>'4B Biological treatment '!T180</f>
        <v>0.82612161881670654</v>
      </c>
      <c r="E127" s="1157">
        <f>'4B Biological treatment '!U180</f>
        <v>37.175472846751788</v>
      </c>
      <c r="F127" s="1157">
        <f>'4B Biological treatment '!W180</f>
        <v>2.2305283708051076</v>
      </c>
      <c r="G127" s="952">
        <f>'4C2 Open-burning '!R153</f>
        <v>9.9824241794746182</v>
      </c>
      <c r="H127" s="952">
        <f>'4C2 Open-burning '!Z153</f>
        <v>3.3587801207576762</v>
      </c>
      <c r="I127" s="952">
        <f>'4C2 Open-burning '!AH153</f>
        <v>4.675988827133512E-2</v>
      </c>
      <c r="J127" s="987">
        <f>'4D Wastewater treatment and dis'!AV190</f>
        <v>239.32548738952781</v>
      </c>
      <c r="K127" s="770">
        <f>'4D Wastewater treatment and dis'!AW190</f>
        <v>3.7721849345366727</v>
      </c>
      <c r="L127" s="771">
        <f t="shared" si="111"/>
        <v>6209.2715626276931</v>
      </c>
      <c r="M127" s="772">
        <f t="shared" si="112"/>
        <v>17.348553995150837</v>
      </c>
      <c r="N127" s="771">
        <f t="shared" si="113"/>
        <v>1472.1487247313707</v>
      </c>
      <c r="O127" s="773">
        <f t="shared" si="114"/>
        <v>95.012372079499713</v>
      </c>
      <c r="P127" s="771">
        <f t="shared" si="115"/>
        <v>6195.212564886453</v>
      </c>
      <c r="Q127" s="519">
        <f t="shared" si="116"/>
        <v>6209.2715626276931</v>
      </c>
      <c r="R127" s="521">
        <f t="shared" si="117"/>
        <v>1489.4972787265215</v>
      </c>
      <c r="S127" s="518">
        <f t="shared" si="118"/>
        <v>95.012372079499713</v>
      </c>
      <c r="T127" s="519">
        <f t="shared" si="119"/>
        <v>6195.212564886453</v>
      </c>
      <c r="U127" s="519">
        <f t="shared" si="120"/>
        <v>13988.993778320168</v>
      </c>
    </row>
    <row r="128" spans="1:21">
      <c r="A128" s="4">
        <f>'Input data'!A149</f>
        <v>2049</v>
      </c>
      <c r="B128" s="4"/>
      <c r="C128" s="769">
        <f>'4A SWD Case 2'!BG119</f>
        <v>288.99027876853836</v>
      </c>
      <c r="D128" s="3">
        <f>'4B Biological treatment '!T181</f>
        <v>0.83010952013846251</v>
      </c>
      <c r="E128" s="1157">
        <f>'4B Biological treatment '!U181</f>
        <v>37.354928406230812</v>
      </c>
      <c r="F128" s="1157">
        <f>'4B Biological treatment '!W181</f>
        <v>2.2412957043738486</v>
      </c>
      <c r="G128" s="952">
        <f>'4C2 Open-burning '!R154</f>
        <v>9.9679150350377022</v>
      </c>
      <c r="H128" s="952">
        <f>'4C2 Open-burning '!Z154</f>
        <v>3.3538982378575177</v>
      </c>
      <c r="I128" s="952">
        <f>'4C2 Open-burning '!AH154</f>
        <v>4.669192422166292E-2</v>
      </c>
      <c r="J128" s="987">
        <f>'4D Wastewater treatment and dis'!AV191</f>
        <v>240.47681925044208</v>
      </c>
      <c r="K128" s="770">
        <f>'4D Wastewater treatment and dis'!AW191</f>
        <v>3.790331922338789</v>
      </c>
      <c r="L128" s="771">
        <f t="shared" si="111"/>
        <v>6068.7958541393054</v>
      </c>
      <c r="M128" s="772">
        <f t="shared" si="112"/>
        <v>17.432299922907713</v>
      </c>
      <c r="N128" s="771">
        <f t="shared" si="113"/>
        <v>1479.2551648867402</v>
      </c>
      <c r="O128" s="773">
        <f t="shared" si="114"/>
        <v>94.874274538761085</v>
      </c>
      <c r="P128" s="771">
        <f t="shared" si="115"/>
        <v>6225.016100184308</v>
      </c>
      <c r="Q128" s="519">
        <f t="shared" si="116"/>
        <v>6068.7958541393054</v>
      </c>
      <c r="R128" s="521">
        <f t="shared" si="117"/>
        <v>1496.687464809648</v>
      </c>
      <c r="S128" s="518">
        <f t="shared" si="118"/>
        <v>94.874274538761085</v>
      </c>
      <c r="T128" s="519">
        <f t="shared" si="119"/>
        <v>6225.016100184308</v>
      </c>
      <c r="U128" s="519">
        <f t="shared" si="120"/>
        <v>13885.373693672023</v>
      </c>
    </row>
    <row r="129" spans="1:21">
      <c r="A129" s="4">
        <f>'Input data'!A150</f>
        <v>2050</v>
      </c>
      <c r="B129" s="4"/>
      <c r="C129" s="769">
        <f>'4A SWD Case 2'!BG120</f>
        <v>282.74553413183037</v>
      </c>
      <c r="D129" s="3">
        <f>'4B Biological treatment '!T182</f>
        <v>0.83382995828643747</v>
      </c>
      <c r="E129" s="1157">
        <f>'4B Biological treatment '!U182</f>
        <v>37.522348122889682</v>
      </c>
      <c r="F129" s="1157">
        <f>'4B Biological treatment '!W182</f>
        <v>2.2513408873733809</v>
      </c>
      <c r="G129" s="952">
        <f>'4C2 Open-burning '!R155</f>
        <v>9.9541833012431571</v>
      </c>
      <c r="H129" s="952">
        <f>'4C2 Open-burning '!Z155</f>
        <v>3.3492779298377999</v>
      </c>
      <c r="I129" s="952">
        <f>'4C2 Open-burning '!AH155</f>
        <v>4.662760173581576E-2</v>
      </c>
      <c r="J129" s="987">
        <f>'4D Wastewater treatment and dis'!AV192</f>
        <v>241.57984647045004</v>
      </c>
      <c r="K129" s="770">
        <f>'4D Wastewater treatment and dis'!AW192</f>
        <v>3.8077175451869141</v>
      </c>
      <c r="L129" s="771">
        <f t="shared" si="111"/>
        <v>5937.6562167684378</v>
      </c>
      <c r="M129" s="772">
        <f t="shared" si="112"/>
        <v>17.510429124015186</v>
      </c>
      <c r="N129" s="771">
        <f t="shared" si="113"/>
        <v>1485.8849856664315</v>
      </c>
      <c r="O129" s="773">
        <f t="shared" si="114"/>
        <v>94.743576365939845</v>
      </c>
      <c r="P129" s="771">
        <f t="shared" si="115"/>
        <v>6253.5692148873932</v>
      </c>
      <c r="Q129" s="471">
        <f t="shared" si="116"/>
        <v>5937.6562167684378</v>
      </c>
      <c r="R129" s="517">
        <f t="shared" si="117"/>
        <v>1503.3954147904467</v>
      </c>
      <c r="S129" s="514">
        <f t="shared" si="118"/>
        <v>94.743576365939845</v>
      </c>
      <c r="T129" s="471">
        <f t="shared" si="119"/>
        <v>6253.5692148873932</v>
      </c>
      <c r="U129" s="471">
        <f t="shared" si="120"/>
        <v>13789.364422812218</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820.5169947820342</v>
      </c>
      <c r="D131" s="3">
        <f>'4B Biological treatment '!T184</f>
        <v>0.32115863087580998</v>
      </c>
      <c r="E131" s="1157">
        <f>'4B Biological treatment '!U184</f>
        <v>20.384176057159792</v>
      </c>
      <c r="F131" s="1157">
        <f>'4B Biological treatment '!W184</f>
        <v>1.2230505634295874</v>
      </c>
      <c r="G131" s="952">
        <f>'4C2 Open-burning '!R123</f>
        <v>32.917048058163878</v>
      </c>
      <c r="H131" s="952">
        <f>'4C2 Open-burning '!Z123</f>
        <v>11.075578903881526</v>
      </c>
      <c r="I131" s="952">
        <f>'4C2 Open-burning '!AH123</f>
        <v>0.15419075184029304</v>
      </c>
      <c r="J131" s="987">
        <f>'4D Wastewater treatment and dis'!AV160</f>
        <v>137.16052165703309</v>
      </c>
      <c r="K131" s="770">
        <f>'4D Wastewater treatment and dis'!AW160</f>
        <v>2.8960026873618072</v>
      </c>
      <c r="L131" s="771">
        <f t="shared" ref="L131:L163" si="121">C131*$B$3</f>
        <v>17230.856890422718</v>
      </c>
      <c r="M131" s="772">
        <f t="shared" ref="M131:M163" si="122">D131*$B$3</f>
        <v>6.7443312483920099</v>
      </c>
      <c r="N131" s="771">
        <f t="shared" ref="N131:N163" si="123">E131*$B$3+F131*$C$3</f>
        <v>807.21337186352775</v>
      </c>
      <c r="O131" s="773">
        <f t="shared" ref="O131:O163" si="124">G131+H131*$B$3+I131*$C$3</f>
        <v>313.30333811016675</v>
      </c>
      <c r="P131" s="771">
        <f t="shared" ref="P131:P163" si="125">J131*$B$3+K131*$C$3</f>
        <v>3778.1317878798554</v>
      </c>
      <c r="Q131" s="471">
        <f t="shared" ref="Q131:Q163" si="126">L131</f>
        <v>17230.856890422718</v>
      </c>
      <c r="R131" s="517">
        <f t="shared" ref="R131:R163" si="127">M131+N131</f>
        <v>813.95770311191973</v>
      </c>
      <c r="S131" s="514">
        <f t="shared" ref="S131:S163" si="128">O131</f>
        <v>313.30333811016675</v>
      </c>
      <c r="T131" s="471">
        <f t="shared" ref="T131:T163" si="129">P131</f>
        <v>3778.1317878798554</v>
      </c>
      <c r="U131" s="471">
        <f t="shared" ref="U131:U163" si="130">SUM(Q131:T131)</f>
        <v>22136.249719524658</v>
      </c>
    </row>
    <row r="132" spans="1:21">
      <c r="A132" s="4">
        <f>'Input data'!A119</f>
        <v>2019</v>
      </c>
      <c r="B132" s="4"/>
      <c r="C132" s="769">
        <f>'4A SWD Case 2'!BN89</f>
        <v>801.89995091572371</v>
      </c>
      <c r="D132" s="3">
        <f>'4B Biological treatment '!T185</f>
        <v>0.37426178802245613</v>
      </c>
      <c r="E132" s="1157">
        <f>'4B Biological treatment '!U185</f>
        <v>21.654826968258032</v>
      </c>
      <c r="F132" s="1157">
        <f>'4B Biological treatment '!W185</f>
        <v>1.2992896180954818</v>
      </c>
      <c r="G132" s="952">
        <f>'4C2 Open-burning '!R124</f>
        <v>32.340305277661429</v>
      </c>
      <c r="H132" s="952">
        <f>'4C2 Open-burning '!Z124</f>
        <v>10.881522615437561</v>
      </c>
      <c r="I132" s="952">
        <f>'4C2 Open-burning '!AH124</f>
        <v>0.15148916077456326</v>
      </c>
      <c r="J132" s="987">
        <f>'4D Wastewater treatment and dis'!AV161</f>
        <v>143.32271319274017</v>
      </c>
      <c r="K132" s="770">
        <f>'4D Wastewater treatment and dis'!AW161</f>
        <v>2.9428357992270668</v>
      </c>
      <c r="L132" s="771">
        <f t="shared" si="121"/>
        <v>16839.898969230198</v>
      </c>
      <c r="M132" s="772">
        <f t="shared" si="122"/>
        <v>7.8594975484715786</v>
      </c>
      <c r="N132" s="771">
        <f t="shared" si="123"/>
        <v>857.53114794301803</v>
      </c>
      <c r="O132" s="773">
        <f t="shared" si="124"/>
        <v>307.81392004196488</v>
      </c>
      <c r="P132" s="771">
        <f t="shared" si="125"/>
        <v>3922.0560748079342</v>
      </c>
      <c r="Q132" s="519">
        <f t="shared" si="126"/>
        <v>16839.898969230198</v>
      </c>
      <c r="R132" s="521">
        <f t="shared" si="127"/>
        <v>865.39064549148964</v>
      </c>
      <c r="S132" s="518">
        <f t="shared" si="128"/>
        <v>307.81392004196488</v>
      </c>
      <c r="T132" s="519">
        <f t="shared" si="129"/>
        <v>3922.0560748079342</v>
      </c>
      <c r="U132" s="519">
        <f t="shared" si="130"/>
        <v>21935.159609571587</v>
      </c>
    </row>
    <row r="133" spans="1:21">
      <c r="A133" s="4">
        <f>'Input data'!A120</f>
        <v>2020</v>
      </c>
      <c r="B133" s="4"/>
      <c r="C133" s="769">
        <f>'4A SWD Case 2'!BN90</f>
        <v>781.94797363989505</v>
      </c>
      <c r="D133" s="3">
        <f>'4B Biological treatment '!T186</f>
        <v>0.44860818131405655</v>
      </c>
      <c r="E133" s="1157">
        <f>'4B Biological treatment '!U186</f>
        <v>23.881423505879212</v>
      </c>
      <c r="F133" s="1157">
        <f>'4B Biological treatment '!W186</f>
        <v>1.4328854103527526</v>
      </c>
      <c r="G133" s="952">
        <f>'4C2 Open-burning '!R125</f>
        <v>31.469339877453482</v>
      </c>
      <c r="H133" s="952">
        <f>'4C2 Open-burning '!Z125</f>
        <v>10.588469423197822</v>
      </c>
      <c r="I133" s="952">
        <f>'4C2 Open-burning '!AH125</f>
        <v>0.14740936571980473</v>
      </c>
      <c r="J133" s="987">
        <f>'4D Wastewater treatment and dis'!AV162</f>
        <v>149.64833972612956</v>
      </c>
      <c r="K133" s="770">
        <f>'4D Wastewater treatment and dis'!AW162</f>
        <v>2.9904262793007734</v>
      </c>
      <c r="L133" s="771">
        <f t="shared" si="121"/>
        <v>16420.907446437795</v>
      </c>
      <c r="M133" s="772">
        <f t="shared" si="122"/>
        <v>9.4207718075951874</v>
      </c>
      <c r="N133" s="771">
        <f t="shared" si="123"/>
        <v>945.70437083281672</v>
      </c>
      <c r="O133" s="773">
        <f t="shared" si="124"/>
        <v>299.52410113774715</v>
      </c>
      <c r="P133" s="771">
        <f t="shared" si="125"/>
        <v>4069.6472808319609</v>
      </c>
      <c r="Q133" s="519">
        <f t="shared" si="126"/>
        <v>16420.907446437795</v>
      </c>
      <c r="R133" s="521">
        <f t="shared" si="127"/>
        <v>955.12514264041192</v>
      </c>
      <c r="S133" s="518">
        <f t="shared" si="128"/>
        <v>299.52410113774715</v>
      </c>
      <c r="T133" s="519">
        <f t="shared" si="129"/>
        <v>4069.6472808319609</v>
      </c>
      <c r="U133" s="519">
        <f t="shared" si="130"/>
        <v>21745.203971047915</v>
      </c>
    </row>
    <row r="134" spans="1:21">
      <c r="A134" s="4">
        <f>'Input data'!A121</f>
        <v>2021</v>
      </c>
      <c r="B134" s="4"/>
      <c r="C134" s="769">
        <f>'4A SWD Case 2'!BN91</f>
        <v>760.77928592111698</v>
      </c>
      <c r="D134" s="3">
        <f>'4B Biological treatment '!T187</f>
        <v>0.60010728850330064</v>
      </c>
      <c r="E134" s="1157">
        <f>'4B Biological treatment '!U187</f>
        <v>29.337213331270192</v>
      </c>
      <c r="F134" s="1157">
        <f>'4B Biological treatment '!W187</f>
        <v>1.7602327998762117</v>
      </c>
      <c r="G134" s="952">
        <f>'4C2 Open-burning '!R126</f>
        <v>28.917178618582938</v>
      </c>
      <c r="H134" s="952">
        <f>'4C2 Open-burning '!Z126</f>
        <v>9.7297452949557144</v>
      </c>
      <c r="I134" s="952">
        <f>'4C2 Open-burning '!AH126</f>
        <v>0.13545447648953185</v>
      </c>
      <c r="J134" s="987">
        <f>'4D Wastewater treatment and dis'!AV163</f>
        <v>155.70081087254809</v>
      </c>
      <c r="K134" s="770">
        <f>'4D Wastewater treatment and dis'!AW163</f>
        <v>3.0302180288466625</v>
      </c>
      <c r="L134" s="771">
        <f t="shared" si="121"/>
        <v>15976.365004343457</v>
      </c>
      <c r="M134" s="772">
        <f t="shared" si="122"/>
        <v>12.602253058569314</v>
      </c>
      <c r="N134" s="771">
        <f t="shared" si="123"/>
        <v>1161.7536479182995</v>
      </c>
      <c r="O134" s="773">
        <f t="shared" si="124"/>
        <v>275.2327175244078</v>
      </c>
      <c r="P134" s="771">
        <f t="shared" si="125"/>
        <v>4209.0846172659749</v>
      </c>
      <c r="Q134" s="519">
        <f t="shared" si="126"/>
        <v>15976.365004343457</v>
      </c>
      <c r="R134" s="521">
        <f t="shared" si="127"/>
        <v>1174.3559009768687</v>
      </c>
      <c r="S134" s="518">
        <f t="shared" si="128"/>
        <v>275.2327175244078</v>
      </c>
      <c r="T134" s="519">
        <f t="shared" si="129"/>
        <v>4209.0846172659749</v>
      </c>
      <c r="U134" s="519">
        <f t="shared" si="130"/>
        <v>21635.038240110705</v>
      </c>
    </row>
    <row r="135" spans="1:21">
      <c r="A135" s="4">
        <f>'Input data'!A122</f>
        <v>2022</v>
      </c>
      <c r="B135" s="4"/>
      <c r="C135" s="769">
        <f>'4A SWD Case 2'!BN92</f>
        <v>734.88950377867604</v>
      </c>
      <c r="D135" s="3">
        <f>'4B Biological treatment '!T188</f>
        <v>0.71024378995452375</v>
      </c>
      <c r="E135" s="1157">
        <f>'4B Biological treatment '!U188</f>
        <v>31.960970547953565</v>
      </c>
      <c r="F135" s="1157">
        <f>'4B Biological treatment '!W188</f>
        <v>1.9176582328772138</v>
      </c>
      <c r="G135" s="952">
        <f>'4C2 Open-burning '!R127</f>
        <v>24.055225494229198</v>
      </c>
      <c r="H135" s="952">
        <f>'4C2 Open-burning '!Z127</f>
        <v>8.0938469191170608</v>
      </c>
      <c r="I135" s="952">
        <f>'4C2 Open-burning '!AH127</f>
        <v>0.11268001000846364</v>
      </c>
      <c r="J135" s="987">
        <f>'4D Wastewater treatment and dis'!AV164</f>
        <v>161.73905140290367</v>
      </c>
      <c r="K135" s="770">
        <f>'4D Wastewater treatment and dis'!AW164</f>
        <v>3.0677168311206198</v>
      </c>
      <c r="L135" s="771">
        <f t="shared" si="121"/>
        <v>15432.679579352196</v>
      </c>
      <c r="M135" s="772">
        <f t="shared" si="122"/>
        <v>14.915119589044998</v>
      </c>
      <c r="N135" s="771">
        <f t="shared" si="123"/>
        <v>1265.6544336989612</v>
      </c>
      <c r="O135" s="773">
        <f t="shared" si="124"/>
        <v>228.95681389831122</v>
      </c>
      <c r="P135" s="771">
        <f t="shared" si="125"/>
        <v>4347.5122971083692</v>
      </c>
      <c r="Q135" s="519">
        <f t="shared" si="126"/>
        <v>15432.679579352196</v>
      </c>
      <c r="R135" s="521">
        <f t="shared" si="127"/>
        <v>1280.5695532880061</v>
      </c>
      <c r="S135" s="518">
        <f t="shared" si="128"/>
        <v>228.95681389831122</v>
      </c>
      <c r="T135" s="519">
        <f t="shared" si="129"/>
        <v>4347.5122971083692</v>
      </c>
      <c r="U135" s="519">
        <f t="shared" si="130"/>
        <v>21289.718243646883</v>
      </c>
    </row>
    <row r="136" spans="1:21">
      <c r="A136" s="4">
        <f>'Input data'!A123</f>
        <v>2023</v>
      </c>
      <c r="B136" s="4"/>
      <c r="C136" s="769">
        <f>'4A SWD Case 2'!BN93</f>
        <v>707.30884306786834</v>
      </c>
      <c r="D136" s="3">
        <f>'4B Biological treatment '!T189</f>
        <v>0.71287957138710145</v>
      </c>
      <c r="E136" s="1157">
        <f>'4B Biological treatment '!U189</f>
        <v>32.079580712419563</v>
      </c>
      <c r="F136" s="1157">
        <f>'4B Biological treatment '!W189</f>
        <v>1.9247748427451739</v>
      </c>
      <c r="G136" s="952">
        <f>'4C2 Open-burning '!R128</f>
        <v>22.813748044585125</v>
      </c>
      <c r="H136" s="952">
        <f>'4C2 Open-burning '!Z128</f>
        <v>7.6761277656065046</v>
      </c>
      <c r="I136" s="952">
        <f>'4C2 Open-burning '!AH128</f>
        <v>0.10686465436007302</v>
      </c>
      <c r="J136" s="987">
        <f>'4D Wastewater treatment and dis'!AV165</f>
        <v>167.7484159872983</v>
      </c>
      <c r="K136" s="770">
        <f>'4D Wastewater treatment and dis'!AW165</f>
        <v>3.1028223203879186</v>
      </c>
      <c r="L136" s="771">
        <f t="shared" si="121"/>
        <v>14853.485704425235</v>
      </c>
      <c r="M136" s="772">
        <f t="shared" si="122"/>
        <v>14.97047099912913</v>
      </c>
      <c r="N136" s="771">
        <f t="shared" si="123"/>
        <v>1270.3513962118147</v>
      </c>
      <c r="O136" s="773">
        <f t="shared" si="124"/>
        <v>217.14047397394438</v>
      </c>
      <c r="P136" s="771">
        <f t="shared" si="125"/>
        <v>4484.5916550535185</v>
      </c>
      <c r="Q136" s="519">
        <f t="shared" si="126"/>
        <v>14853.485704425235</v>
      </c>
      <c r="R136" s="521">
        <f t="shared" si="127"/>
        <v>1285.3218672109438</v>
      </c>
      <c r="S136" s="518">
        <f t="shared" si="128"/>
        <v>217.14047397394438</v>
      </c>
      <c r="T136" s="519">
        <f t="shared" si="129"/>
        <v>4484.5916550535185</v>
      </c>
      <c r="U136" s="519">
        <f t="shared" si="130"/>
        <v>20840.539700663641</v>
      </c>
    </row>
    <row r="137" spans="1:21">
      <c r="A137" s="4">
        <f>'Input data'!A124</f>
        <v>2024</v>
      </c>
      <c r="B137" s="4"/>
      <c r="C137" s="769">
        <f>'4A SWD Case 2'!BN94</f>
        <v>680.8512456782031</v>
      </c>
      <c r="D137" s="3">
        <f>'4B Biological treatment '!T190</f>
        <v>0.71585222621439981</v>
      </c>
      <c r="E137" s="1157">
        <f>'4B Biological treatment '!U190</f>
        <v>32.213350179647989</v>
      </c>
      <c r="F137" s="1157">
        <f>'4B Biological treatment '!W190</f>
        <v>1.9328010107788791</v>
      </c>
      <c r="G137" s="952">
        <f>'4C2 Open-burning '!R129</f>
        <v>21.553469378195615</v>
      </c>
      <c r="H137" s="952">
        <f>'4C2 Open-burning '!Z129</f>
        <v>7.2520825782673644</v>
      </c>
      <c r="I137" s="952">
        <f>'4C2 Open-burning '!AH129</f>
        <v>0.10096122964363084</v>
      </c>
      <c r="J137" s="987">
        <f>'4D Wastewater treatment and dis'!AV166</f>
        <v>173.8168021189118</v>
      </c>
      <c r="K137" s="770">
        <f>'4D Wastewater treatment and dis'!AW166</f>
        <v>3.1372946822597805</v>
      </c>
      <c r="L137" s="771">
        <f t="shared" si="121"/>
        <v>14297.876159242265</v>
      </c>
      <c r="M137" s="772">
        <f t="shared" si="122"/>
        <v>15.032896750502395</v>
      </c>
      <c r="N137" s="771">
        <f t="shared" si="123"/>
        <v>1275.6486671140601</v>
      </c>
      <c r="O137" s="773">
        <f t="shared" si="124"/>
        <v>205.14518471133582</v>
      </c>
      <c r="P137" s="771">
        <f t="shared" si="125"/>
        <v>4622.7141959976798</v>
      </c>
      <c r="Q137" s="519">
        <f t="shared" si="126"/>
        <v>14297.876159242265</v>
      </c>
      <c r="R137" s="521">
        <f t="shared" si="127"/>
        <v>1290.6815638645626</v>
      </c>
      <c r="S137" s="518">
        <f t="shared" si="128"/>
        <v>205.14518471133582</v>
      </c>
      <c r="T137" s="519">
        <f t="shared" si="129"/>
        <v>4622.7141959976798</v>
      </c>
      <c r="U137" s="519">
        <f t="shared" si="130"/>
        <v>20416.417103815846</v>
      </c>
    </row>
    <row r="138" spans="1:21">
      <c r="A138" s="4">
        <f>'Input data'!A125</f>
        <v>2025</v>
      </c>
      <c r="B138" s="4"/>
      <c r="C138" s="769">
        <f>'4A SWD Case 2'!BN95</f>
        <v>655.43505186337313</v>
      </c>
      <c r="D138" s="3">
        <f>'4B Biological treatment '!T191</f>
        <v>0.71853266596958443</v>
      </c>
      <c r="E138" s="1157">
        <f>'4B Biological treatment '!U191</f>
        <v>32.333969968631294</v>
      </c>
      <c r="F138" s="1157">
        <f>'4B Biological treatment '!W191</f>
        <v>1.9400381981178778</v>
      </c>
      <c r="G138" s="952">
        <f>'4C2 Open-burning '!R130</f>
        <v>20.273146589060335</v>
      </c>
      <c r="H138" s="952">
        <f>'4C2 Open-burning '!Z130</f>
        <v>6.8212931572825566</v>
      </c>
      <c r="I138" s="952">
        <f>'4C2 Open-burning '!AH130</f>
        <v>9.4963913811840467E-2</v>
      </c>
      <c r="J138" s="987">
        <f>'4D Wastewater treatment and dis'!AV167</f>
        <v>179.93994827249293</v>
      </c>
      <c r="K138" s="770">
        <f>'4D Wastewater treatment and dis'!AW167</f>
        <v>3.1711036769819763</v>
      </c>
      <c r="L138" s="771">
        <f t="shared" si="121"/>
        <v>13764.136089130836</v>
      </c>
      <c r="M138" s="772">
        <f t="shared" si="122"/>
        <v>15.089185985361272</v>
      </c>
      <c r="N138" s="771">
        <f t="shared" si="123"/>
        <v>1280.4252107577993</v>
      </c>
      <c r="O138" s="773">
        <f t="shared" si="124"/>
        <v>192.95911617366457</v>
      </c>
      <c r="P138" s="771">
        <f t="shared" si="125"/>
        <v>4761.7810535867638</v>
      </c>
      <c r="Q138" s="519">
        <f t="shared" si="126"/>
        <v>13764.136089130836</v>
      </c>
      <c r="R138" s="521">
        <f t="shared" si="127"/>
        <v>1295.5143967431607</v>
      </c>
      <c r="S138" s="518">
        <f t="shared" si="128"/>
        <v>192.95911617366457</v>
      </c>
      <c r="T138" s="519">
        <f t="shared" si="129"/>
        <v>4761.7810535867638</v>
      </c>
      <c r="U138" s="519">
        <f t="shared" si="130"/>
        <v>20014.390655634426</v>
      </c>
    </row>
    <row r="139" spans="1:21">
      <c r="A139" s="4">
        <f>'Input data'!A126</f>
        <v>2026</v>
      </c>
      <c r="B139" s="4"/>
      <c r="C139" s="769">
        <f>'4A SWD Case 2'!BN96</f>
        <v>630.98219836007399</v>
      </c>
      <c r="D139" s="3">
        <f>'4B Biological treatment '!T192</f>
        <v>0.72158766481974967</v>
      </c>
      <c r="E139" s="1157">
        <f>'4B Biological treatment '!U192</f>
        <v>32.471444916888736</v>
      </c>
      <c r="F139" s="1157">
        <f>'4B Biological treatment '!W192</f>
        <v>1.9482866950133242</v>
      </c>
      <c r="G139" s="952">
        <f>'4C2 Open-burning '!R131</f>
        <v>18.971496879845734</v>
      </c>
      <c r="H139" s="952">
        <f>'4C2 Open-burning '!Z131</f>
        <v>6.3833278806226641</v>
      </c>
      <c r="I139" s="952">
        <f>'4C2 Open-burning '!AH131</f>
        <v>8.8866697957555474E-2</v>
      </c>
      <c r="J139" s="987">
        <f>'4D Wastewater treatment and dis'!AV168</f>
        <v>186.11344926250865</v>
      </c>
      <c r="K139" s="770">
        <f>'4D Wastewater treatment and dis'!AW168</f>
        <v>3.2042193824925169</v>
      </c>
      <c r="L139" s="771">
        <f t="shared" si="121"/>
        <v>13250.626165561554</v>
      </c>
      <c r="M139" s="772">
        <f t="shared" si="122"/>
        <v>15.153340961214743</v>
      </c>
      <c r="N139" s="771">
        <f t="shared" si="123"/>
        <v>1285.8692187087941</v>
      </c>
      <c r="O139" s="773">
        <f t="shared" si="124"/>
        <v>180.57005873976388</v>
      </c>
      <c r="P139" s="771">
        <f t="shared" si="125"/>
        <v>4901.6904430853619</v>
      </c>
      <c r="Q139" s="519">
        <f t="shared" si="126"/>
        <v>13250.626165561554</v>
      </c>
      <c r="R139" s="521">
        <f t="shared" si="127"/>
        <v>1301.0225596700088</v>
      </c>
      <c r="S139" s="518">
        <f t="shared" si="128"/>
        <v>180.57005873976388</v>
      </c>
      <c r="T139" s="519">
        <f t="shared" si="129"/>
        <v>4901.6904430853619</v>
      </c>
      <c r="U139" s="519">
        <f t="shared" si="130"/>
        <v>19633.909227056691</v>
      </c>
    </row>
    <row r="140" spans="1:21">
      <c r="A140" s="4">
        <f>'Input data'!A127</f>
        <v>2027</v>
      </c>
      <c r="B140" s="4"/>
      <c r="C140" s="769">
        <f>'4A SWD Case 2'!BN97</f>
        <v>607.4180352626463</v>
      </c>
      <c r="D140" s="3">
        <f>'4B Biological treatment '!T193</f>
        <v>0.72463100072834497</v>
      </c>
      <c r="E140" s="1157">
        <f>'4B Biological treatment '!U193</f>
        <v>32.608395032775519</v>
      </c>
      <c r="F140" s="1157">
        <f>'4B Biological treatment '!W193</f>
        <v>1.956503701966531</v>
      </c>
      <c r="G140" s="952">
        <f>'4C2 Open-burning '!R132</f>
        <v>17.647192953731018</v>
      </c>
      <c r="H140" s="952">
        <f>'4C2 Open-burning '!Z132</f>
        <v>5.9377401535431718</v>
      </c>
      <c r="I140" s="952">
        <f>'4C2 Open-burning '!AH132</f>
        <v>8.2663364728164129E-2</v>
      </c>
      <c r="J140" s="987">
        <f>'4D Wastewater treatment and dis'!AV169</f>
        <v>192.33276096021439</v>
      </c>
      <c r="K140" s="770">
        <f>'4D Wastewater treatment and dis'!AW169</f>
        <v>3.2366122379757729</v>
      </c>
      <c r="L140" s="771">
        <f t="shared" si="121"/>
        <v>12755.778740515572</v>
      </c>
      <c r="M140" s="772">
        <f t="shared" si="122"/>
        <v>15.217251015295243</v>
      </c>
      <c r="N140" s="771">
        <f t="shared" si="123"/>
        <v>1291.2924432979105</v>
      </c>
      <c r="O140" s="773">
        <f t="shared" si="124"/>
        <v>167.96537924386851</v>
      </c>
      <c r="P140" s="771">
        <f t="shared" si="125"/>
        <v>5042.3377739369917</v>
      </c>
      <c r="Q140" s="519">
        <f t="shared" si="126"/>
        <v>12755.778740515572</v>
      </c>
      <c r="R140" s="521">
        <f t="shared" si="127"/>
        <v>1306.5096943132057</v>
      </c>
      <c r="S140" s="518">
        <f t="shared" si="128"/>
        <v>167.96537924386851</v>
      </c>
      <c r="T140" s="519">
        <f t="shared" si="129"/>
        <v>5042.3377739369917</v>
      </c>
      <c r="U140" s="519">
        <f t="shared" si="130"/>
        <v>19272.591588009636</v>
      </c>
    </row>
    <row r="141" spans="1:21">
      <c r="A141" s="4">
        <f>'Input data'!A128</f>
        <v>2028</v>
      </c>
      <c r="B141" s="4"/>
      <c r="C141" s="769">
        <f>'4A SWD Case 2'!BN98</f>
        <v>584.6711506492494</v>
      </c>
      <c r="D141" s="3">
        <f>'4B Biological treatment '!T194</f>
        <v>0.72675352029146922</v>
      </c>
      <c r="E141" s="1157">
        <f>'4B Biological treatment '!U194</f>
        <v>32.70390841311611</v>
      </c>
      <c r="F141" s="1157">
        <f>'4B Biological treatment '!W194</f>
        <v>1.9622345047869667</v>
      </c>
      <c r="G141" s="952">
        <f>'4C2 Open-burning '!R133</f>
        <v>16.29885814022575</v>
      </c>
      <c r="H141" s="952">
        <f>'4C2 Open-burning '!Z133</f>
        <v>5.4840667685713314</v>
      </c>
      <c r="I141" s="952">
        <f>'4C2 Open-burning '!AH133</f>
        <v>7.6347465493838473E-2</v>
      </c>
      <c r="J141" s="987">
        <f>'4D Wastewater treatment and dis'!AV170</f>
        <v>198.59320535463905</v>
      </c>
      <c r="K141" s="770">
        <f>'4D Wastewater treatment and dis'!AW170</f>
        <v>3.2682530873125892</v>
      </c>
      <c r="L141" s="771">
        <f t="shared" si="121"/>
        <v>12278.094163634238</v>
      </c>
      <c r="M141" s="772">
        <f t="shared" si="122"/>
        <v>15.261823926120854</v>
      </c>
      <c r="N141" s="771">
        <f t="shared" si="123"/>
        <v>1295.0747731593981</v>
      </c>
      <c r="O141" s="773">
        <f t="shared" si="124"/>
        <v>155.13197458331362</v>
      </c>
      <c r="P141" s="771">
        <f t="shared" si="125"/>
        <v>5183.6157695143229</v>
      </c>
      <c r="Q141" s="519">
        <f t="shared" si="126"/>
        <v>12278.094163634238</v>
      </c>
      <c r="R141" s="521">
        <f t="shared" si="127"/>
        <v>1310.3365970855189</v>
      </c>
      <c r="S141" s="518">
        <f t="shared" si="128"/>
        <v>155.13197458331362</v>
      </c>
      <c r="T141" s="519">
        <f t="shared" si="129"/>
        <v>5183.6157695143229</v>
      </c>
      <c r="U141" s="519">
        <f t="shared" si="130"/>
        <v>18927.178504817392</v>
      </c>
    </row>
    <row r="142" spans="1:21">
      <c r="A142" s="4">
        <f>'Input data'!A129</f>
        <v>2029</v>
      </c>
      <c r="B142" s="4"/>
      <c r="C142" s="769">
        <f>'4A SWD Case 2'!BN99</f>
        <v>562.67320254696847</v>
      </c>
      <c r="D142" s="3">
        <f>'4B Biological treatment '!T195</f>
        <v>0.72903999144245279</v>
      </c>
      <c r="E142" s="1157">
        <f>'4B Biological treatment '!U195</f>
        <v>32.806799614910375</v>
      </c>
      <c r="F142" s="1157">
        <f>'4B Biological treatment '!W195</f>
        <v>1.9684079768946225</v>
      </c>
      <c r="G142" s="952">
        <f>'4C2 Open-burning '!R134</f>
        <v>14.92468441873071</v>
      </c>
      <c r="H142" s="952">
        <f>'4C2 Open-burning '!Z134</f>
        <v>5.0216993821287268</v>
      </c>
      <c r="I142" s="952">
        <f>'4C2 Open-burning '!AH134</f>
        <v>6.9910531085197181E-2</v>
      </c>
      <c r="J142" s="987">
        <f>'4D Wastewater treatment and dis'!AV171</f>
        <v>204.90440828341107</v>
      </c>
      <c r="K142" s="770">
        <f>'4D Wastewater treatment and dis'!AW171</f>
        <v>3.2993456099811418</v>
      </c>
      <c r="L142" s="771">
        <f t="shared" si="121"/>
        <v>11816.137253486339</v>
      </c>
      <c r="M142" s="772">
        <f t="shared" si="122"/>
        <v>15.309839820291508</v>
      </c>
      <c r="N142" s="771">
        <f t="shared" si="123"/>
        <v>1299.1492647504508</v>
      </c>
      <c r="O142" s="773">
        <f t="shared" si="124"/>
        <v>142.05263607984509</v>
      </c>
      <c r="P142" s="771">
        <f t="shared" si="125"/>
        <v>5325.7897130457868</v>
      </c>
      <c r="Q142" s="519">
        <f t="shared" si="126"/>
        <v>11816.137253486339</v>
      </c>
      <c r="R142" s="521">
        <f t="shared" si="127"/>
        <v>1314.4591045707423</v>
      </c>
      <c r="S142" s="518">
        <f t="shared" si="128"/>
        <v>142.05263607984509</v>
      </c>
      <c r="T142" s="519">
        <f t="shared" si="129"/>
        <v>5325.7897130457868</v>
      </c>
      <c r="U142" s="519">
        <f t="shared" si="130"/>
        <v>18598.438707182711</v>
      </c>
    </row>
    <row r="143" spans="1:21">
      <c r="A143" s="4">
        <f>'Input data'!A130</f>
        <v>2030</v>
      </c>
      <c r="B143" s="4"/>
      <c r="C143" s="769">
        <f>'4A SWD Case 2'!BN100</f>
        <v>541.35889958953237</v>
      </c>
      <c r="D143" s="3">
        <f>'4B Biological treatment '!T196</f>
        <v>0.73179650732474122</v>
      </c>
      <c r="E143" s="1157">
        <f>'4B Biological treatment '!U196</f>
        <v>32.930842829613354</v>
      </c>
      <c r="F143" s="1157">
        <f>'4B Biological treatment '!W196</f>
        <v>1.9758505697768012</v>
      </c>
      <c r="G143" s="952">
        <f>'4C2 Open-burning '!R135</f>
        <v>13.523284883131048</v>
      </c>
      <c r="H143" s="952">
        <f>'4C2 Open-burning '!Z135</f>
        <v>4.550171342768361</v>
      </c>
      <c r="I143" s="952">
        <f>'4C2 Open-burning '!AH135</f>
        <v>6.3346064926477999E-2</v>
      </c>
      <c r="J143" s="987">
        <f>'4D Wastewater treatment and dis'!AV172</f>
        <v>211.26278968541391</v>
      </c>
      <c r="K143" s="770">
        <f>'4D Wastewater treatment and dis'!AW172</f>
        <v>3.3298681271770771</v>
      </c>
      <c r="L143" s="771">
        <f t="shared" si="121"/>
        <v>11368.536891380179</v>
      </c>
      <c r="M143" s="772">
        <f t="shared" si="122"/>
        <v>15.367726653819565</v>
      </c>
      <c r="N143" s="771">
        <f t="shared" si="123"/>
        <v>1304.061376052689</v>
      </c>
      <c r="O143" s="773">
        <f t="shared" si="124"/>
        <v>128.71416320847482</v>
      </c>
      <c r="P143" s="771">
        <f t="shared" si="125"/>
        <v>5468.7777028185865</v>
      </c>
      <c r="Q143" s="519">
        <f t="shared" si="126"/>
        <v>11368.536891380179</v>
      </c>
      <c r="R143" s="521">
        <f t="shared" si="127"/>
        <v>1319.4291027065085</v>
      </c>
      <c r="S143" s="518">
        <f t="shared" si="128"/>
        <v>128.71416320847482</v>
      </c>
      <c r="T143" s="519">
        <f t="shared" si="129"/>
        <v>5468.7777028185865</v>
      </c>
      <c r="U143" s="519">
        <f t="shared" si="130"/>
        <v>18285.457860113747</v>
      </c>
    </row>
    <row r="144" spans="1:21">
      <c r="A144" s="4">
        <f>'Input data'!A131</f>
        <v>2031</v>
      </c>
      <c r="B144" s="4"/>
      <c r="C144" s="769">
        <f>'4A SWD Case 2'!BN101</f>
        <v>520.66567597421101</v>
      </c>
      <c r="D144" s="3">
        <f>'4B Biological treatment '!T197</f>
        <v>0.73563240497558691</v>
      </c>
      <c r="E144" s="1157">
        <f>'4B Biological treatment '!U197</f>
        <v>33.103458223901406</v>
      </c>
      <c r="F144" s="1157">
        <f>'4B Biological treatment '!W197</f>
        <v>1.9862074934340841</v>
      </c>
      <c r="G144" s="952">
        <f>'4C2 Open-burning '!R136</f>
        <v>11.9247783720383</v>
      </c>
      <c r="H144" s="952">
        <f>'4C2 Open-burning '!Z136</f>
        <v>4.0123228406580633</v>
      </c>
      <c r="I144" s="952">
        <f>'4C2 Open-burning '!AH136</f>
        <v>5.5858305989787291E-2</v>
      </c>
      <c r="J144" s="987">
        <f>'4D Wastewater treatment and dis'!AV173</f>
        <v>213.16176016925567</v>
      </c>
      <c r="K144" s="770">
        <f>'4D Wastewater treatment and dis'!AW173</f>
        <v>3.3597991969031304</v>
      </c>
      <c r="L144" s="771">
        <f t="shared" si="121"/>
        <v>10933.979195458431</v>
      </c>
      <c r="M144" s="772">
        <f t="shared" si="122"/>
        <v>15.448280504487325</v>
      </c>
      <c r="N144" s="771">
        <f t="shared" si="123"/>
        <v>1310.8969456664956</v>
      </c>
      <c r="O144" s="773">
        <f t="shared" si="124"/>
        <v>113.4996328826917</v>
      </c>
      <c r="P144" s="771">
        <f t="shared" si="125"/>
        <v>5517.9347145943393</v>
      </c>
      <c r="Q144" s="519">
        <f t="shared" si="126"/>
        <v>10933.979195458431</v>
      </c>
      <c r="R144" s="521">
        <f t="shared" si="127"/>
        <v>1326.3452261709829</v>
      </c>
      <c r="S144" s="518">
        <f t="shared" si="128"/>
        <v>113.4996328826917</v>
      </c>
      <c r="T144" s="519">
        <f t="shared" si="129"/>
        <v>5517.9347145943393</v>
      </c>
      <c r="U144" s="519">
        <f t="shared" si="130"/>
        <v>17891.758769106444</v>
      </c>
    </row>
    <row r="145" spans="1:21">
      <c r="A145" s="4">
        <f>'Input data'!A132</f>
        <v>2032</v>
      </c>
      <c r="B145" s="4"/>
      <c r="C145" s="769">
        <f>'4A SWD Case 2'!BN102</f>
        <v>500.41067573853678</v>
      </c>
      <c r="D145" s="3">
        <f>'4B Biological treatment '!T198</f>
        <v>0.73918048799562719</v>
      </c>
      <c r="E145" s="1157">
        <f>'4B Biological treatment '!U198</f>
        <v>33.263121959803222</v>
      </c>
      <c r="F145" s="1157">
        <f>'4B Biological treatment '!W198</f>
        <v>1.9957873175881933</v>
      </c>
      <c r="G145" s="952">
        <f>'4C2 Open-burning '!R137</f>
        <v>10.337663470484436</v>
      </c>
      <c r="H145" s="952">
        <f>'4C2 Open-burning '!Z137</f>
        <v>3.4783072663992307</v>
      </c>
      <c r="I145" s="952">
        <f>'4C2 Open-burning '!AH137</f>
        <v>4.8423907878051703E-2</v>
      </c>
      <c r="J145" s="987">
        <f>'4D Wastewater treatment and dis'!AV174</f>
        <v>215.02186260752731</v>
      </c>
      <c r="K145" s="770">
        <f>'4D Wastewater treatment and dis'!AW174</f>
        <v>3.3891176387911139</v>
      </c>
      <c r="L145" s="771">
        <f t="shared" si="121"/>
        <v>10508.624190509272</v>
      </c>
      <c r="M145" s="772">
        <f t="shared" si="122"/>
        <v>15.522790247908171</v>
      </c>
      <c r="N145" s="771">
        <f t="shared" si="123"/>
        <v>1317.2196296082075</v>
      </c>
      <c r="O145" s="773">
        <f t="shared" si="124"/>
        <v>98.393527507064306</v>
      </c>
      <c r="P145" s="771">
        <f t="shared" si="125"/>
        <v>5566.0855827833184</v>
      </c>
      <c r="Q145" s="519">
        <f t="shared" si="126"/>
        <v>10508.624190509272</v>
      </c>
      <c r="R145" s="521">
        <f t="shared" si="127"/>
        <v>1332.7424198561157</v>
      </c>
      <c r="S145" s="518">
        <f t="shared" si="128"/>
        <v>98.393527507064306</v>
      </c>
      <c r="T145" s="519">
        <f t="shared" si="129"/>
        <v>5566.0855827833184</v>
      </c>
      <c r="U145" s="519">
        <f t="shared" si="130"/>
        <v>17505.845720655772</v>
      </c>
    </row>
    <row r="146" spans="1:21">
      <c r="A146" s="4">
        <f>'Input data'!A133</f>
        <v>2033</v>
      </c>
      <c r="B146" s="4"/>
      <c r="C146" s="769">
        <f>'4A SWD Case 2'!BN103</f>
        <v>480.56967517315502</v>
      </c>
      <c r="D146" s="3">
        <f>'4B Biological treatment '!T199</f>
        <v>0.74338020399469795</v>
      </c>
      <c r="E146" s="1157">
        <f>'4B Biological treatment '!U199</f>
        <v>33.452109179761408</v>
      </c>
      <c r="F146" s="1157">
        <f>'4B Biological treatment '!W199</f>
        <v>2.0071265507856841</v>
      </c>
      <c r="G146" s="952">
        <f>'4C2 Open-burning '!R138</f>
        <v>10.307348544671918</v>
      </c>
      <c r="H146" s="952">
        <f>'4C2 Open-burning '!Z138</f>
        <v>3.4681072219660662</v>
      </c>
      <c r="I146" s="952">
        <f>'4C2 Open-burning '!AH138</f>
        <v>4.8281906043781644E-2</v>
      </c>
      <c r="J146" s="987">
        <f>'4D Wastewater treatment and dis'!AV175</f>
        <v>216.84177138362475</v>
      </c>
      <c r="K146" s="770">
        <f>'4D Wastewater treatment and dis'!AW175</f>
        <v>3.4178025588232726</v>
      </c>
      <c r="L146" s="771">
        <f t="shared" si="121"/>
        <v>10091.963178636255</v>
      </c>
      <c r="M146" s="772">
        <f t="shared" si="122"/>
        <v>15.610984283888657</v>
      </c>
      <c r="N146" s="771">
        <f t="shared" si="123"/>
        <v>1324.7035235185517</v>
      </c>
      <c r="O146" s="773">
        <f t="shared" si="124"/>
        <v>98.104991079531615</v>
      </c>
      <c r="P146" s="771">
        <f t="shared" si="125"/>
        <v>5613.1959922913338</v>
      </c>
      <c r="Q146" s="519">
        <f t="shared" si="126"/>
        <v>10091.963178636255</v>
      </c>
      <c r="R146" s="521">
        <f t="shared" si="127"/>
        <v>1340.3145078024404</v>
      </c>
      <c r="S146" s="518">
        <f t="shared" si="128"/>
        <v>98.104991079531615</v>
      </c>
      <c r="T146" s="519">
        <f t="shared" si="129"/>
        <v>5613.1959922913338</v>
      </c>
      <c r="U146" s="519">
        <f t="shared" si="130"/>
        <v>17143.578669809562</v>
      </c>
    </row>
    <row r="147" spans="1:21">
      <c r="A147" s="4">
        <f>'Input data'!A134</f>
        <v>2034</v>
      </c>
      <c r="B147" s="4"/>
      <c r="C147" s="769">
        <f>'4A SWD Case 2'!BN104</f>
        <v>461.70777562811043</v>
      </c>
      <c r="D147" s="3">
        <f>'4B Biological treatment '!T200</f>
        <v>0.7486518792097463</v>
      </c>
      <c r="E147" s="1157">
        <f>'4B Biological treatment '!U200</f>
        <v>33.689334564438575</v>
      </c>
      <c r="F147" s="1157">
        <f>'4B Biological treatment '!W200</f>
        <v>2.0213600738663144</v>
      </c>
      <c r="G147" s="952">
        <f>'4C2 Open-burning '!R139</f>
        <v>10.278310353710506</v>
      </c>
      <c r="H147" s="952">
        <f>'4C2 Open-burning '!Z139</f>
        <v>3.4583367597225863</v>
      </c>
      <c r="I147" s="952">
        <f>'4C2 Open-burning '!AH139</f>
        <v>4.8145884718646087E-2</v>
      </c>
      <c r="J147" s="987">
        <f>'4D Wastewater treatment and dis'!AV176</f>
        <v>218.62447642392758</v>
      </c>
      <c r="K147" s="770">
        <f>'4D Wastewater treatment and dis'!AW176</f>
        <v>3.4459010834271635</v>
      </c>
      <c r="L147" s="771">
        <f t="shared" si="121"/>
        <v>9695.8632881903195</v>
      </c>
      <c r="M147" s="772">
        <f t="shared" si="122"/>
        <v>15.721689463404672</v>
      </c>
      <c r="N147" s="771">
        <f t="shared" si="123"/>
        <v>1334.0976487517676</v>
      </c>
      <c r="O147" s="773">
        <f t="shared" si="124"/>
        <v>97.828606570665116</v>
      </c>
      <c r="P147" s="771">
        <f t="shared" si="125"/>
        <v>5659.343340764899</v>
      </c>
      <c r="Q147" s="519">
        <f t="shared" si="126"/>
        <v>9695.8632881903195</v>
      </c>
      <c r="R147" s="521">
        <f t="shared" si="127"/>
        <v>1349.8193382151721</v>
      </c>
      <c r="S147" s="518">
        <f t="shared" si="128"/>
        <v>97.828606570665116</v>
      </c>
      <c r="T147" s="519">
        <f t="shared" si="129"/>
        <v>5659.343340764899</v>
      </c>
      <c r="U147" s="519">
        <f t="shared" si="130"/>
        <v>16802.854573741053</v>
      </c>
    </row>
    <row r="148" spans="1:21">
      <c r="A148" s="4">
        <f>'Input data'!A135</f>
        <v>2035</v>
      </c>
      <c r="B148" s="4"/>
      <c r="C148" s="769">
        <f>'4A SWD Case 2'!BN105</f>
        <v>443.77685501532568</v>
      </c>
      <c r="D148" s="3">
        <f>'4B Biological treatment '!T201</f>
        <v>0.75297190092807709</v>
      </c>
      <c r="E148" s="1157">
        <f>'4B Biological treatment '!U201</f>
        <v>33.883735541763464</v>
      </c>
      <c r="F148" s="1157">
        <f>'4B Biological treatment '!W201</f>
        <v>2.0330241325058078</v>
      </c>
      <c r="G148" s="952">
        <f>'4C2 Open-burning '!R140</f>
        <v>10.250506321682792</v>
      </c>
      <c r="H148" s="952">
        <f>'4C2 Open-burning '!Z140</f>
        <v>3.4489815541760613</v>
      </c>
      <c r="I148" s="952">
        <f>'4C2 Open-burning '!AH140</f>
        <v>4.8015644467607498E-2</v>
      </c>
      <c r="J148" s="987">
        <f>'4D Wastewater treatment and dis'!AV177</f>
        <v>220.36879785205323</v>
      </c>
      <c r="K148" s="770">
        <f>'4D Wastewater treatment and dis'!AW177</f>
        <v>3.4733946157037967</v>
      </c>
      <c r="L148" s="771">
        <f t="shared" si="121"/>
        <v>9319.3139553218389</v>
      </c>
      <c r="M148" s="772">
        <f t="shared" si="122"/>
        <v>15.812409919489619</v>
      </c>
      <c r="N148" s="771">
        <f t="shared" si="123"/>
        <v>1341.7959274538332</v>
      </c>
      <c r="O148" s="773">
        <f t="shared" si="124"/>
        <v>97.563968744338396</v>
      </c>
      <c r="P148" s="771">
        <f t="shared" si="125"/>
        <v>5704.4970857612952</v>
      </c>
      <c r="Q148" s="519">
        <f t="shared" si="126"/>
        <v>9319.3139553218389</v>
      </c>
      <c r="R148" s="521">
        <f t="shared" si="127"/>
        <v>1357.6083373733229</v>
      </c>
      <c r="S148" s="518">
        <f t="shared" si="128"/>
        <v>97.563968744338396</v>
      </c>
      <c r="T148" s="519">
        <f t="shared" si="129"/>
        <v>5704.4970857612952</v>
      </c>
      <c r="U148" s="519">
        <f t="shared" si="130"/>
        <v>16478.983347200796</v>
      </c>
    </row>
    <row r="149" spans="1:21">
      <c r="A149" s="4">
        <f>'Input data'!A136</f>
        <v>2036</v>
      </c>
      <c r="B149" s="4"/>
      <c r="C149" s="769">
        <f>'4A SWD Case 2'!BN106</f>
        <v>426.73114177495717</v>
      </c>
      <c r="D149" s="3">
        <f>'4B Biological treatment '!T202</f>
        <v>0.75732725509805898</v>
      </c>
      <c r="E149" s="1157">
        <f>'4B Biological treatment '!U202</f>
        <v>34.079726479412649</v>
      </c>
      <c r="F149" s="1157">
        <f>'4B Biological treatment '!W202</f>
        <v>2.044783588764759</v>
      </c>
      <c r="G149" s="952">
        <f>'4C2 Open-burning '!R141</f>
        <v>10.22389630366953</v>
      </c>
      <c r="H149" s="952">
        <f>'4C2 Open-burning '!Z141</f>
        <v>3.440028097790214</v>
      </c>
      <c r="I149" s="952">
        <f>'4C2 Open-burning '!AH141</f>
        <v>4.7890997242962724E-2</v>
      </c>
      <c r="J149" s="987">
        <f>'4D Wastewater treatment and dis'!AV178</f>
        <v>222.07357374163959</v>
      </c>
      <c r="K149" s="770">
        <f>'4D Wastewater treatment and dis'!AW178</f>
        <v>3.5002648416776503</v>
      </c>
      <c r="L149" s="771">
        <f t="shared" si="121"/>
        <v>8961.3539772741005</v>
      </c>
      <c r="M149" s="772">
        <f t="shared" si="122"/>
        <v>15.903872357059239</v>
      </c>
      <c r="N149" s="771">
        <f t="shared" si="123"/>
        <v>1349.5571685847408</v>
      </c>
      <c r="O149" s="773">
        <f t="shared" si="124"/>
        <v>97.310695502582462</v>
      </c>
      <c r="P149" s="771">
        <f t="shared" si="125"/>
        <v>5748.6271494945031</v>
      </c>
      <c r="Q149" s="519">
        <f t="shared" si="126"/>
        <v>8961.3539772741005</v>
      </c>
      <c r="R149" s="521">
        <f t="shared" si="127"/>
        <v>1365.4610409418001</v>
      </c>
      <c r="S149" s="518">
        <f t="shared" si="128"/>
        <v>97.310695502582462</v>
      </c>
      <c r="T149" s="519">
        <f t="shared" si="129"/>
        <v>5748.6271494945031</v>
      </c>
      <c r="U149" s="519">
        <f t="shared" si="130"/>
        <v>16172.752863212987</v>
      </c>
    </row>
    <row r="150" spans="1:21">
      <c r="A150" s="4">
        <f>'Input data'!A137</f>
        <v>2037</v>
      </c>
      <c r="B150" s="4"/>
      <c r="C150" s="769">
        <f>'4A SWD Case 2'!BN107</f>
        <v>410.5270999067784</v>
      </c>
      <c r="D150" s="3">
        <f>'4B Biological treatment '!T203</f>
        <v>0.76256229044400659</v>
      </c>
      <c r="E150" s="1157">
        <f>'4B Biological treatment '!U203</f>
        <v>34.315303069980288</v>
      </c>
      <c r="F150" s="1157">
        <f>'4B Biological treatment '!W203</f>
        <v>2.0589181841988173</v>
      </c>
      <c r="G150" s="952">
        <f>'4C2 Open-burning '!R142</f>
        <v>10.198442445945371</v>
      </c>
      <c r="H150" s="952">
        <f>'4C2 Open-burning '!Z142</f>
        <v>3.4314636539453733</v>
      </c>
      <c r="I150" s="952">
        <f>'4C2 Open-burning '!AH142</f>
        <v>4.777176572946891E-2</v>
      </c>
      <c r="J150" s="987">
        <f>'4D Wastewater treatment and dis'!AV179</f>
        <v>223.73766139583338</v>
      </c>
      <c r="K150" s="770">
        <f>'4D Wastewater treatment and dis'!AW179</f>
        <v>3.5264937504636227</v>
      </c>
      <c r="L150" s="771">
        <f t="shared" si="121"/>
        <v>8621.069098042346</v>
      </c>
      <c r="M150" s="772">
        <f t="shared" si="122"/>
        <v>16.013808099324137</v>
      </c>
      <c r="N150" s="771">
        <f t="shared" si="123"/>
        <v>1358.8860015712194</v>
      </c>
      <c r="O150" s="773">
        <f t="shared" si="124"/>
        <v>97.068426554933581</v>
      </c>
      <c r="P150" s="771">
        <f t="shared" si="125"/>
        <v>5791.703951956224</v>
      </c>
      <c r="Q150" s="519">
        <f t="shared" si="126"/>
        <v>8621.069098042346</v>
      </c>
      <c r="R150" s="521">
        <f t="shared" si="127"/>
        <v>1374.8998096705436</v>
      </c>
      <c r="S150" s="518">
        <f t="shared" si="128"/>
        <v>97.068426554933581</v>
      </c>
      <c r="T150" s="519">
        <f t="shared" si="129"/>
        <v>5791.703951956224</v>
      </c>
      <c r="U150" s="519">
        <f t="shared" si="130"/>
        <v>15884.741286224047</v>
      </c>
    </row>
    <row r="151" spans="1:21">
      <c r="A151" s="4">
        <f>'Input data'!A138</f>
        <v>2038</v>
      </c>
      <c r="B151" s="4"/>
      <c r="C151" s="769">
        <f>'4A SWD Case 2'!BN108</f>
        <v>395.49044890414825</v>
      </c>
      <c r="D151" s="3">
        <f>'4B Biological treatment '!T204</f>
        <v>0.76813555668865674</v>
      </c>
      <c r="E151" s="1157">
        <f>'4B Biological treatment '!U204</f>
        <v>34.566100050989547</v>
      </c>
      <c r="F151" s="1157">
        <f>'4B Biological treatment '!W204</f>
        <v>2.0739660030593727</v>
      </c>
      <c r="G151" s="952">
        <f>'4C2 Open-burning '!R143</f>
        <v>10.174109056797926</v>
      </c>
      <c r="H151" s="952">
        <f>'4C2 Open-burning '!Z143</f>
        <v>3.423276213473033</v>
      </c>
      <c r="I151" s="952">
        <f>'4C2 Open-burning '!AH143</f>
        <v>4.7657782739231228E-2</v>
      </c>
      <c r="J151" s="987">
        <f>'4D Wastewater treatment and dis'!AV180</f>
        <v>225.35993861428059</v>
      </c>
      <c r="K151" s="770">
        <f>'4D Wastewater treatment and dis'!AW180</f>
        <v>3.5520636542370059</v>
      </c>
      <c r="L151" s="771">
        <f t="shared" si="121"/>
        <v>8305.2994269871124</v>
      </c>
      <c r="M151" s="772">
        <f t="shared" si="122"/>
        <v>16.130846690461791</v>
      </c>
      <c r="N151" s="771">
        <f t="shared" si="123"/>
        <v>1368.817562019186</v>
      </c>
      <c r="O151" s="773">
        <f t="shared" si="124"/>
        <v>96.836822188893308</v>
      </c>
      <c r="P151" s="771">
        <f t="shared" si="125"/>
        <v>5833.6984437133642</v>
      </c>
      <c r="Q151" s="519">
        <f t="shared" si="126"/>
        <v>8305.2994269871124</v>
      </c>
      <c r="R151" s="521">
        <f t="shared" si="127"/>
        <v>1384.9484087096478</v>
      </c>
      <c r="S151" s="518">
        <f t="shared" si="128"/>
        <v>96.836822188893308</v>
      </c>
      <c r="T151" s="519">
        <f t="shared" si="129"/>
        <v>5833.6984437133642</v>
      </c>
      <c r="U151" s="519">
        <f t="shared" si="130"/>
        <v>15620.78310159902</v>
      </c>
    </row>
    <row r="152" spans="1:21">
      <c r="A152" s="4">
        <f>'Input data'!A139</f>
        <v>2039</v>
      </c>
      <c r="B152" s="4"/>
      <c r="C152" s="769">
        <f>'4A SWD Case 2'!BN109</f>
        <v>381.69023666858777</v>
      </c>
      <c r="D152" s="3">
        <f>'4B Biological treatment '!T205</f>
        <v>0.77405355684576127</v>
      </c>
      <c r="E152" s="1157">
        <f>'4B Biological treatment '!U205</f>
        <v>34.832410058059253</v>
      </c>
      <c r="F152" s="1157">
        <f>'4B Biological treatment '!W205</f>
        <v>2.0899446034835552</v>
      </c>
      <c r="G152" s="952">
        <f>'4C2 Open-burning '!R144</f>
        <v>10.150794866315531</v>
      </c>
      <c r="H152" s="952">
        <f>'4C2 Open-burning '!Z144</f>
        <v>3.415431702148334</v>
      </c>
      <c r="I152" s="952">
        <f>'4C2 Open-burning '!AH144</f>
        <v>4.7548573901528751E-2</v>
      </c>
      <c r="J152" s="987">
        <f>'4D Wastewater treatment and dis'!AV181</f>
        <v>226.94394200253512</v>
      </c>
      <c r="K152" s="770">
        <f>'4D Wastewater treatment and dis'!AW181</f>
        <v>3.5770302960376927</v>
      </c>
      <c r="L152" s="771">
        <f t="shared" si="121"/>
        <v>8015.4949700403431</v>
      </c>
      <c r="M152" s="772">
        <f t="shared" si="122"/>
        <v>16.255124693760987</v>
      </c>
      <c r="N152" s="771">
        <f t="shared" si="123"/>
        <v>1379.3634382991463</v>
      </c>
      <c r="O152" s="773">
        <f t="shared" si="124"/>
        <v>96.614918520904467</v>
      </c>
      <c r="P152" s="771">
        <f t="shared" si="125"/>
        <v>5874.7021738249223</v>
      </c>
      <c r="Q152" s="519">
        <f t="shared" si="126"/>
        <v>8015.4949700403431</v>
      </c>
      <c r="R152" s="521">
        <f t="shared" si="127"/>
        <v>1395.6185629929073</v>
      </c>
      <c r="S152" s="518">
        <f t="shared" si="128"/>
        <v>96.614918520904467</v>
      </c>
      <c r="T152" s="519">
        <f t="shared" si="129"/>
        <v>5874.7021738249223</v>
      </c>
      <c r="U152" s="519">
        <f t="shared" si="130"/>
        <v>15382.430625379078</v>
      </c>
    </row>
    <row r="153" spans="1:21">
      <c r="A153" s="4">
        <f>'Input data'!A140</f>
        <v>2040</v>
      </c>
      <c r="B153" s="4"/>
      <c r="C153" s="769">
        <f>'4A SWD Case 2'!BN110</f>
        <v>369.08081160459614</v>
      </c>
      <c r="D153" s="3">
        <f>'4B Biological treatment '!T206</f>
        <v>0.78023599446200143</v>
      </c>
      <c r="E153" s="1157">
        <f>'4B Biological treatment '!U206</f>
        <v>35.110619750790065</v>
      </c>
      <c r="F153" s="1157">
        <f>'4B Biological treatment '!W206</f>
        <v>2.1066371850474037</v>
      </c>
      <c r="G153" s="952">
        <f>'4C2 Open-burning '!R145</f>
        <v>10.128470376692018</v>
      </c>
      <c r="H153" s="952">
        <f>'4C2 Open-burning '!Z145</f>
        <v>3.4079201948625895</v>
      </c>
      <c r="I153" s="952">
        <f>'4C2 Open-burning '!AH145</f>
        <v>4.7444001042096826E-2</v>
      </c>
      <c r="J153" s="987">
        <f>'4D Wastewater treatment and dis'!AV182</f>
        <v>228.48869065252686</v>
      </c>
      <c r="K153" s="770">
        <f>'4D Wastewater treatment and dis'!AW182</f>
        <v>3.6013782150525211</v>
      </c>
      <c r="L153" s="771">
        <f t="shared" si="121"/>
        <v>7750.6970436965184</v>
      </c>
      <c r="M153" s="772">
        <f t="shared" si="122"/>
        <v>16.38495588370203</v>
      </c>
      <c r="N153" s="771">
        <f t="shared" si="123"/>
        <v>1390.3805421312863</v>
      </c>
      <c r="O153" s="773">
        <f t="shared" si="124"/>
        <v>96.402434791856422</v>
      </c>
      <c r="P153" s="771">
        <f t="shared" si="125"/>
        <v>5914.6897503693453</v>
      </c>
      <c r="Q153" s="519">
        <f t="shared" si="126"/>
        <v>7750.6970436965184</v>
      </c>
      <c r="R153" s="521">
        <f t="shared" si="127"/>
        <v>1406.7654980149885</v>
      </c>
      <c r="S153" s="518">
        <f t="shared" si="128"/>
        <v>96.402434791856422</v>
      </c>
      <c r="T153" s="519">
        <f t="shared" si="129"/>
        <v>5914.6897503693453</v>
      </c>
      <c r="U153" s="519">
        <f t="shared" si="130"/>
        <v>15168.55472687271</v>
      </c>
    </row>
    <row r="154" spans="1:21">
      <c r="A154" s="4">
        <f>'Input data'!A141</f>
        <v>2041</v>
      </c>
      <c r="B154" s="4"/>
      <c r="C154" s="769">
        <f>'4A SWD Case 2'!BN111</f>
        <v>357.61823680354127</v>
      </c>
      <c r="D154" s="3">
        <f>'4B Biological treatment '!T207</f>
        <v>0.78662529538008119</v>
      </c>
      <c r="E154" s="1157">
        <f>'4B Biological treatment '!U207</f>
        <v>35.398138292103653</v>
      </c>
      <c r="F154" s="1157">
        <f>'4B Biological treatment '!W207</f>
        <v>2.1238882975262192</v>
      </c>
      <c r="G154" s="952">
        <f>'4C2 Open-burning '!R146</f>
        <v>10.107107705652387</v>
      </c>
      <c r="H154" s="952">
        <f>'4C2 Open-burning '!Z146</f>
        <v>3.4007323100838871</v>
      </c>
      <c r="I154" s="952">
        <f>'4C2 Open-burning '!AH146</f>
        <v>4.7343933554176973E-2</v>
      </c>
      <c r="J154" s="987">
        <f>'4D Wastewater treatment and dis'!AV183</f>
        <v>229.99322269099028</v>
      </c>
      <c r="K154" s="770">
        <f>'4D Wastewater treatment and dis'!AW183</f>
        <v>3.6250922504898839</v>
      </c>
      <c r="L154" s="771">
        <f t="shared" si="121"/>
        <v>7509.9829728743662</v>
      </c>
      <c r="M154" s="772">
        <f t="shared" si="122"/>
        <v>16.519131202981704</v>
      </c>
      <c r="N154" s="771">
        <f t="shared" si="123"/>
        <v>1401.7662763673047</v>
      </c>
      <c r="O154" s="773">
        <f t="shared" si="124"/>
        <v>96.199105619208879</v>
      </c>
      <c r="P154" s="771">
        <f t="shared" si="125"/>
        <v>5953.6362741626599</v>
      </c>
      <c r="Q154" s="519">
        <f t="shared" si="126"/>
        <v>7509.9829728743662</v>
      </c>
      <c r="R154" s="521">
        <f t="shared" si="127"/>
        <v>1418.2854075702865</v>
      </c>
      <c r="S154" s="518">
        <f t="shared" si="128"/>
        <v>96.199105619208879</v>
      </c>
      <c r="T154" s="519">
        <f t="shared" si="129"/>
        <v>5953.6362741626599</v>
      </c>
      <c r="U154" s="519">
        <f t="shared" si="130"/>
        <v>14978.103760226522</v>
      </c>
    </row>
    <row r="155" spans="1:21">
      <c r="A155" s="4">
        <f>'Input data'!A142</f>
        <v>2042</v>
      </c>
      <c r="B155" s="4"/>
      <c r="C155" s="769">
        <f>'4A SWD Case 2'!BN112</f>
        <v>346.87836211393034</v>
      </c>
      <c r="D155" s="3">
        <f>'4B Biological treatment '!T208</f>
        <v>0.79262090447921696</v>
      </c>
      <c r="E155" s="1157">
        <f>'4B Biological treatment '!U208</f>
        <v>35.66794070156476</v>
      </c>
      <c r="F155" s="1157">
        <f>'4B Biological treatment '!W208</f>
        <v>2.1400764420938856</v>
      </c>
      <c r="G155" s="952">
        <f>'4C2 Open-burning '!R147</f>
        <v>10.086680504195472</v>
      </c>
      <c r="H155" s="952">
        <f>'4C2 Open-burning '!Z147</f>
        <v>3.3938591821800186</v>
      </c>
      <c r="I155" s="952">
        <f>'4C2 Open-burning '!AH147</f>
        <v>4.7248248013205332E-2</v>
      </c>
      <c r="J155" s="987">
        <f>'4D Wastewater treatment and dis'!AV184</f>
        <v>231.45659627174089</v>
      </c>
      <c r="K155" s="770">
        <f>'4D Wastewater treatment and dis'!AW184</f>
        <v>3.6481575572197178</v>
      </c>
      <c r="L155" s="771">
        <f t="shared" si="121"/>
        <v>7284.4456043925375</v>
      </c>
      <c r="M155" s="772">
        <f t="shared" si="122"/>
        <v>16.645038994063555</v>
      </c>
      <c r="N155" s="771">
        <f t="shared" si="123"/>
        <v>1412.4504517819644</v>
      </c>
      <c r="O155" s="773">
        <f t="shared" si="124"/>
        <v>96.004680214069509</v>
      </c>
      <c r="P155" s="771">
        <f t="shared" si="125"/>
        <v>5991.5173644446713</v>
      </c>
      <c r="Q155" s="519">
        <f t="shared" si="126"/>
        <v>7284.4456043925375</v>
      </c>
      <c r="R155" s="521">
        <f t="shared" si="127"/>
        <v>1429.0954907760279</v>
      </c>
      <c r="S155" s="518">
        <f t="shared" si="128"/>
        <v>96.004680214069509</v>
      </c>
      <c r="T155" s="519">
        <f t="shared" si="129"/>
        <v>5991.5173644446713</v>
      </c>
      <c r="U155" s="519">
        <f t="shared" si="130"/>
        <v>14801.063139827307</v>
      </c>
    </row>
    <row r="156" spans="1:21">
      <c r="A156" s="4">
        <f>'Input data'!A143</f>
        <v>2043</v>
      </c>
      <c r="B156" s="4"/>
      <c r="C156" s="769">
        <f>'4A SWD Case 2'!BN113</f>
        <v>336.82567042036868</v>
      </c>
      <c r="D156" s="3">
        <f>'4B Biological treatment '!T209</f>
        <v>0.79874349386992249</v>
      </c>
      <c r="E156" s="1157">
        <f>'4B Biological treatment '!U209</f>
        <v>35.943457224146513</v>
      </c>
      <c r="F156" s="1157">
        <f>'4B Biological treatment '!W209</f>
        <v>2.1566074334487908</v>
      </c>
      <c r="G156" s="952">
        <f>'4C2 Open-burning '!R148</f>
        <v>10.067163880196841</v>
      </c>
      <c r="H156" s="952">
        <f>'4C2 Open-burning '!Z148</f>
        <v>3.3872924357131948</v>
      </c>
      <c r="I156" s="952">
        <f>'4C2 Open-burning '!AH148</f>
        <v>4.715682781895171E-2</v>
      </c>
      <c r="J156" s="987">
        <f>'4D Wastewater treatment and dis'!AV185</f>
        <v>232.87789055291285</v>
      </c>
      <c r="K156" s="770">
        <f>'4D Wastewater treatment and dis'!AW185</f>
        <v>3.6705596211764653</v>
      </c>
      <c r="L156" s="771">
        <f t="shared" si="121"/>
        <v>7073.339078827742</v>
      </c>
      <c r="M156" s="772">
        <f t="shared" si="122"/>
        <v>16.773613371268372</v>
      </c>
      <c r="N156" s="771">
        <f t="shared" si="123"/>
        <v>1423.3609060762019</v>
      </c>
      <c r="O156" s="773">
        <f t="shared" si="124"/>
        <v>95.818921654048964</v>
      </c>
      <c r="P156" s="771">
        <f t="shared" si="125"/>
        <v>6028.3091841758742</v>
      </c>
      <c r="Q156" s="519">
        <f t="shared" si="126"/>
        <v>7073.339078827742</v>
      </c>
      <c r="R156" s="521">
        <f t="shared" si="127"/>
        <v>1440.1345194474702</v>
      </c>
      <c r="S156" s="518">
        <f t="shared" si="128"/>
        <v>95.818921654048964</v>
      </c>
      <c r="T156" s="519">
        <f t="shared" si="129"/>
        <v>6028.3091841758742</v>
      </c>
      <c r="U156" s="519">
        <f t="shared" si="130"/>
        <v>14637.601704105135</v>
      </c>
    </row>
    <row r="157" spans="1:21">
      <c r="A157" s="4">
        <f>'Input data'!A144</f>
        <v>2044</v>
      </c>
      <c r="B157" s="4"/>
      <c r="C157" s="769">
        <f>'4A SWD Case 2'!BN114</f>
        <v>327.4284930470609</v>
      </c>
      <c r="D157" s="3">
        <f>'4B Biological treatment '!T210</f>
        <v>0.80499972150822696</v>
      </c>
      <c r="E157" s="1157">
        <f>'4B Biological treatment '!U210</f>
        <v>36.224987467870207</v>
      </c>
      <c r="F157" s="1157">
        <f>'4B Biological treatment '!W210</f>
        <v>2.1734992480722126</v>
      </c>
      <c r="G157" s="952">
        <f>'4C2 Open-burning '!R149</f>
        <v>10.048531743159943</v>
      </c>
      <c r="H157" s="952">
        <f>'4C2 Open-burning '!Z149</f>
        <v>3.381023292030096</v>
      </c>
      <c r="I157" s="952">
        <f>'4C2 Open-burning '!AH149</f>
        <v>4.7069550757745181E-2</v>
      </c>
      <c r="J157" s="987">
        <f>'4D Wastewater treatment and dis'!AV186</f>
        <v>234.25639934533061</v>
      </c>
      <c r="K157" s="770">
        <f>'4D Wastewater treatment and dis'!AW186</f>
        <v>3.6922873115934127</v>
      </c>
      <c r="L157" s="771">
        <f t="shared" si="121"/>
        <v>6875.9983539882787</v>
      </c>
      <c r="M157" s="772">
        <f t="shared" si="122"/>
        <v>16.904994151672767</v>
      </c>
      <c r="N157" s="771">
        <f t="shared" si="123"/>
        <v>1434.5095037276603</v>
      </c>
      <c r="O157" s="773">
        <f t="shared" si="124"/>
        <v>95.641581610692967</v>
      </c>
      <c r="P157" s="771">
        <f t="shared" si="125"/>
        <v>6063.9934528459007</v>
      </c>
      <c r="Q157" s="519">
        <f t="shared" si="126"/>
        <v>6875.9983539882787</v>
      </c>
      <c r="R157" s="521">
        <f t="shared" si="127"/>
        <v>1451.4144978793331</v>
      </c>
      <c r="S157" s="518">
        <f t="shared" si="128"/>
        <v>95.641581610692967</v>
      </c>
      <c r="T157" s="519">
        <f t="shared" si="129"/>
        <v>6063.9934528459007</v>
      </c>
      <c r="U157" s="519">
        <f t="shared" si="130"/>
        <v>14487.047886324206</v>
      </c>
    </row>
    <row r="158" spans="1:21">
      <c r="A158" s="4">
        <f>'Input data'!A145</f>
        <v>2045</v>
      </c>
      <c r="B158" s="4"/>
      <c r="C158" s="769">
        <f>'4A SWD Case 2'!BN115</f>
        <v>318.6566067631947</v>
      </c>
      <c r="D158" s="3">
        <f>'4B Biological treatment '!T211</f>
        <v>0.81154150901403643</v>
      </c>
      <c r="E158" s="1157">
        <f>'4B Biological treatment '!U211</f>
        <v>36.51936790563164</v>
      </c>
      <c r="F158" s="1157">
        <f>'4B Biological treatment '!W211</f>
        <v>2.1911620743378983</v>
      </c>
      <c r="G158" s="952">
        <f>'4C2 Open-burning '!R150</f>
        <v>10.030761976872286</v>
      </c>
      <c r="H158" s="952">
        <f>'4C2 Open-burning '!Z150</f>
        <v>3.3750443097023153</v>
      </c>
      <c r="I158" s="952">
        <f>'4C2 Open-burning '!AH150</f>
        <v>4.6986313232342578E-2</v>
      </c>
      <c r="J158" s="987">
        <f>'4D Wastewater treatment and dis'!AV187</f>
        <v>235.59125005915769</v>
      </c>
      <c r="K158" s="770">
        <f>'4D Wastewater treatment and dis'!AW187</f>
        <v>3.7133268749407069</v>
      </c>
      <c r="L158" s="771">
        <f t="shared" si="121"/>
        <v>6691.788742027089</v>
      </c>
      <c r="M158" s="772">
        <f t="shared" si="122"/>
        <v>17.042371689294765</v>
      </c>
      <c r="N158" s="771">
        <f t="shared" si="123"/>
        <v>1446.1669690630129</v>
      </c>
      <c r="O158" s="773">
        <f t="shared" si="124"/>
        <v>95.472449582647101</v>
      </c>
      <c r="P158" s="771">
        <f t="shared" si="125"/>
        <v>6098.5475824739315</v>
      </c>
      <c r="Q158" s="519">
        <f t="shared" si="126"/>
        <v>6691.788742027089</v>
      </c>
      <c r="R158" s="521">
        <f t="shared" si="127"/>
        <v>1463.2093407523075</v>
      </c>
      <c r="S158" s="518">
        <f t="shared" si="128"/>
        <v>95.472449582647101</v>
      </c>
      <c r="T158" s="519">
        <f t="shared" si="129"/>
        <v>6098.5475824739315</v>
      </c>
      <c r="U158" s="519">
        <f t="shared" si="130"/>
        <v>14349.018114835975</v>
      </c>
    </row>
    <row r="159" spans="1:21">
      <c r="A159" s="4">
        <f>'Input data'!A146</f>
        <v>2046</v>
      </c>
      <c r="B159" s="4"/>
      <c r="C159" s="769">
        <f>'4A SWD Case 2'!BN116</f>
        <v>310.48179775092262</v>
      </c>
      <c r="D159" s="3">
        <f>'4B Biological treatment '!T212</f>
        <v>0.8182540803242544</v>
      </c>
      <c r="E159" s="1157">
        <f>'4B Biological treatment '!U212</f>
        <v>36.821433614591442</v>
      </c>
      <c r="F159" s="1157">
        <f>'4B Biological treatment '!W212</f>
        <v>2.2092860168754864</v>
      </c>
      <c r="G159" s="952">
        <f>'4C2 Open-burning '!R151</f>
        <v>10.013833716749662</v>
      </c>
      <c r="H159" s="952">
        <f>'4C2 Open-burning '!Z151</f>
        <v>3.3693484684360433</v>
      </c>
      <c r="I159" s="952">
        <f>'4C2 Open-burning '!AH151</f>
        <v>4.6907017508405147E-2</v>
      </c>
      <c r="J159" s="987">
        <f>'4D Wastewater treatment and dis'!AV188</f>
        <v>236.88159371811045</v>
      </c>
      <c r="K159" s="770">
        <f>'4D Wastewater treatment and dis'!AW188</f>
        <v>3.7336649298790605</v>
      </c>
      <c r="L159" s="771">
        <f t="shared" si="121"/>
        <v>6520.1177527693753</v>
      </c>
      <c r="M159" s="772">
        <f t="shared" si="122"/>
        <v>17.183335686809343</v>
      </c>
      <c r="N159" s="771">
        <f t="shared" si="123"/>
        <v>1458.1287711378209</v>
      </c>
      <c r="O159" s="773">
        <f t="shared" si="124"/>
        <v>95.311326981512167</v>
      </c>
      <c r="P159" s="771">
        <f t="shared" si="125"/>
        <v>6131.949596342828</v>
      </c>
      <c r="Q159" s="519">
        <f t="shared" si="126"/>
        <v>6520.1177527693753</v>
      </c>
      <c r="R159" s="521">
        <f t="shared" si="127"/>
        <v>1475.3121068246303</v>
      </c>
      <c r="S159" s="518">
        <f t="shared" si="128"/>
        <v>95.311326981512167</v>
      </c>
      <c r="T159" s="519">
        <f t="shared" si="129"/>
        <v>6131.949596342828</v>
      </c>
      <c r="U159" s="519">
        <f t="shared" si="130"/>
        <v>14222.690782918346</v>
      </c>
    </row>
    <row r="160" spans="1:21">
      <c r="A160" s="4">
        <f>'Input data'!A147</f>
        <v>2047</v>
      </c>
      <c r="B160" s="4"/>
      <c r="C160" s="769">
        <f>'4A SWD Case 2'!BN117</f>
        <v>302.83498557685289</v>
      </c>
      <c r="D160" s="3">
        <f>'4B Biological treatment '!T213</f>
        <v>0.82237924260426487</v>
      </c>
      <c r="E160" s="1157">
        <f>'4B Biological treatment '!U213</f>
        <v>37.007065917191916</v>
      </c>
      <c r="F160" s="1157">
        <f>'4B Biological treatment '!W213</f>
        <v>2.220423955031515</v>
      </c>
      <c r="G160" s="952">
        <f>'4C2 Open-burning '!R152</f>
        <v>9.9977272932780483</v>
      </c>
      <c r="H160" s="952">
        <f>'4C2 Open-burning '!Z152</f>
        <v>3.3639291500419994</v>
      </c>
      <c r="I160" s="952">
        <f>'4C2 Open-burning '!AH152</f>
        <v>4.6831571449567837E-2</v>
      </c>
      <c r="J160" s="987">
        <f>'4D Wastewater treatment and dis'!AV189</f>
        <v>238.12660585564302</v>
      </c>
      <c r="K160" s="770">
        <f>'4D Wastewater treatment and dis'!AW189</f>
        <v>3.753288481385181</v>
      </c>
      <c r="L160" s="771">
        <f t="shared" si="121"/>
        <v>6359.5346971139106</v>
      </c>
      <c r="M160" s="772">
        <f t="shared" si="122"/>
        <v>17.269964094689563</v>
      </c>
      <c r="N160" s="771">
        <f t="shared" si="123"/>
        <v>1465.4798103208</v>
      </c>
      <c r="O160" s="773">
        <f t="shared" si="124"/>
        <v>95.15802659352606</v>
      </c>
      <c r="P160" s="771">
        <f t="shared" si="125"/>
        <v>6164.1781521979101</v>
      </c>
      <c r="Q160" s="519">
        <f t="shared" si="126"/>
        <v>6359.5346971139106</v>
      </c>
      <c r="R160" s="521">
        <f t="shared" si="127"/>
        <v>1482.7497744154896</v>
      </c>
      <c r="S160" s="518">
        <f t="shared" si="128"/>
        <v>95.15802659352606</v>
      </c>
      <c r="T160" s="519">
        <f t="shared" si="129"/>
        <v>6164.1781521979101</v>
      </c>
      <c r="U160" s="519">
        <f t="shared" si="130"/>
        <v>14101.620650320838</v>
      </c>
    </row>
    <row r="161" spans="1:21">
      <c r="A161" s="4">
        <f>'Input data'!A148</f>
        <v>2048</v>
      </c>
      <c r="B161" s="4"/>
      <c r="C161" s="769">
        <f>'4A SWD Case 2'!BN118</f>
        <v>295.67959822036636</v>
      </c>
      <c r="D161" s="3">
        <f>'4B Biological treatment '!T214</f>
        <v>0.82612161881670654</v>
      </c>
      <c r="E161" s="1157">
        <f>'4B Biological treatment '!U214</f>
        <v>37.175472846751788</v>
      </c>
      <c r="F161" s="1157">
        <f>'4B Biological treatment '!W214</f>
        <v>2.2305283708051076</v>
      </c>
      <c r="G161" s="952">
        <f>'4C2 Open-burning '!R153</f>
        <v>9.9824241794746182</v>
      </c>
      <c r="H161" s="952">
        <f>'4C2 Open-burning '!Z153</f>
        <v>3.3587801207576762</v>
      </c>
      <c r="I161" s="952">
        <f>'4C2 Open-burning '!AH153</f>
        <v>4.675988827133512E-2</v>
      </c>
      <c r="J161" s="987">
        <f>'4D Wastewater treatment and dis'!AV190</f>
        <v>239.32548738952781</v>
      </c>
      <c r="K161" s="770">
        <f>'4D Wastewater treatment and dis'!AW190</f>
        <v>3.7721849345366727</v>
      </c>
      <c r="L161" s="771">
        <f t="shared" si="121"/>
        <v>6209.2715626276931</v>
      </c>
      <c r="M161" s="772">
        <f t="shared" si="122"/>
        <v>17.348553995150837</v>
      </c>
      <c r="N161" s="771">
        <f t="shared" si="123"/>
        <v>1472.1487247313707</v>
      </c>
      <c r="O161" s="773">
        <f t="shared" si="124"/>
        <v>95.012372079499713</v>
      </c>
      <c r="P161" s="771">
        <f t="shared" si="125"/>
        <v>6195.212564886453</v>
      </c>
      <c r="Q161" s="519">
        <f t="shared" si="126"/>
        <v>6209.2715626276931</v>
      </c>
      <c r="R161" s="521">
        <f t="shared" si="127"/>
        <v>1489.4972787265215</v>
      </c>
      <c r="S161" s="518">
        <f t="shared" si="128"/>
        <v>95.012372079499713</v>
      </c>
      <c r="T161" s="519">
        <f t="shared" si="129"/>
        <v>6195.212564886453</v>
      </c>
      <c r="U161" s="519">
        <f t="shared" si="130"/>
        <v>13988.993778320168</v>
      </c>
    </row>
    <row r="162" spans="1:21">
      <c r="A162" s="4">
        <f>'Input data'!A149</f>
        <v>2049</v>
      </c>
      <c r="B162" s="4"/>
      <c r="C162" s="769">
        <f>'4A SWD Case 2'!BN119</f>
        <v>288.99027876853836</v>
      </c>
      <c r="D162" s="3">
        <f>'4B Biological treatment '!T215</f>
        <v>0.83010952013846251</v>
      </c>
      <c r="E162" s="1157">
        <f>'4B Biological treatment '!U215</f>
        <v>37.354928406230812</v>
      </c>
      <c r="F162" s="1157">
        <f>'4B Biological treatment '!W215</f>
        <v>2.2412957043738486</v>
      </c>
      <c r="G162" s="952">
        <f>'4C2 Open-burning '!R154</f>
        <v>9.9679150350377022</v>
      </c>
      <c r="H162" s="952">
        <f>'4C2 Open-burning '!Z154</f>
        <v>3.3538982378575177</v>
      </c>
      <c r="I162" s="952">
        <f>'4C2 Open-burning '!AH154</f>
        <v>4.669192422166292E-2</v>
      </c>
      <c r="J162" s="987">
        <f>'4D Wastewater treatment and dis'!AV191</f>
        <v>240.47681925044208</v>
      </c>
      <c r="K162" s="770">
        <f>'4D Wastewater treatment and dis'!AW191</f>
        <v>3.790331922338789</v>
      </c>
      <c r="L162" s="771">
        <f t="shared" si="121"/>
        <v>6068.7958541393054</v>
      </c>
      <c r="M162" s="772">
        <f t="shared" si="122"/>
        <v>17.432299922907713</v>
      </c>
      <c r="N162" s="771">
        <f t="shared" si="123"/>
        <v>1479.2551648867402</v>
      </c>
      <c r="O162" s="773">
        <f t="shared" si="124"/>
        <v>94.874274538761085</v>
      </c>
      <c r="P162" s="771">
        <f t="shared" si="125"/>
        <v>6225.016100184308</v>
      </c>
      <c r="Q162" s="519">
        <f t="shared" si="126"/>
        <v>6068.7958541393054</v>
      </c>
      <c r="R162" s="521">
        <f t="shared" si="127"/>
        <v>1496.687464809648</v>
      </c>
      <c r="S162" s="518">
        <f t="shared" si="128"/>
        <v>94.874274538761085</v>
      </c>
      <c r="T162" s="519">
        <f t="shared" si="129"/>
        <v>6225.016100184308</v>
      </c>
      <c r="U162" s="519">
        <f t="shared" si="130"/>
        <v>13885.373693672023</v>
      </c>
    </row>
    <row r="163" spans="1:21">
      <c r="A163" s="4">
        <f>'Input data'!A150</f>
        <v>2050</v>
      </c>
      <c r="B163" s="4"/>
      <c r="C163" s="769">
        <f>'4A SWD Case 2'!BN120</f>
        <v>282.74553413183037</v>
      </c>
      <c r="D163" s="3">
        <f>'4B Biological treatment '!T216</f>
        <v>0.83382995828643747</v>
      </c>
      <c r="E163" s="1157">
        <f>'4B Biological treatment '!U216</f>
        <v>37.522348122889682</v>
      </c>
      <c r="F163" s="1157">
        <f>'4B Biological treatment '!W216</f>
        <v>2.2513408873733809</v>
      </c>
      <c r="G163" s="952">
        <f>'4C2 Open-burning '!R155</f>
        <v>9.9541833012431571</v>
      </c>
      <c r="H163" s="952">
        <f>'4C2 Open-burning '!Z155</f>
        <v>3.3492779298377999</v>
      </c>
      <c r="I163" s="952">
        <f>'4C2 Open-burning '!AH155</f>
        <v>4.662760173581576E-2</v>
      </c>
      <c r="J163" s="987">
        <f>'4D Wastewater treatment and dis'!AV192</f>
        <v>241.57984647045004</v>
      </c>
      <c r="K163" s="770">
        <f>'4D Wastewater treatment and dis'!AW192</f>
        <v>3.8077175451869141</v>
      </c>
      <c r="L163" s="771">
        <f t="shared" si="121"/>
        <v>5937.6562167684378</v>
      </c>
      <c r="M163" s="772">
        <f t="shared" si="122"/>
        <v>17.510429124015186</v>
      </c>
      <c r="N163" s="771">
        <f t="shared" si="123"/>
        <v>1485.8849856664315</v>
      </c>
      <c r="O163" s="773">
        <f t="shared" si="124"/>
        <v>94.743576365939845</v>
      </c>
      <c r="P163" s="771">
        <f t="shared" si="125"/>
        <v>6253.5692148873932</v>
      </c>
      <c r="Q163" s="471">
        <f t="shared" si="126"/>
        <v>5937.6562167684378</v>
      </c>
      <c r="R163" s="517">
        <f t="shared" si="127"/>
        <v>1503.3954147904467</v>
      </c>
      <c r="S163" s="514">
        <f t="shared" si="128"/>
        <v>94.743576365939845</v>
      </c>
      <c r="T163" s="471">
        <f t="shared" si="129"/>
        <v>6253.5692148873932</v>
      </c>
      <c r="U163" s="471">
        <f t="shared" si="130"/>
        <v>13789.364422812218</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820.5169947820342</v>
      </c>
      <c r="D165" s="3">
        <f>'4B Biological treatment '!T218</f>
        <v>0.67299813826043153</v>
      </c>
      <c r="E165" s="178">
        <f>'4B Biological treatment '!U218</f>
        <v>18.624978520236688</v>
      </c>
      <c r="F165" s="178">
        <f>'4B Biological treatment '!W218</f>
        <v>1.1174987112142012</v>
      </c>
      <c r="G165" s="952">
        <f>'4C2 Open-burning '!R157</f>
        <v>32.917048058163878</v>
      </c>
      <c r="H165" s="952">
        <f>'4C2 Open-burning '!Z157</f>
        <v>11.075578903881524</v>
      </c>
      <c r="I165" s="952">
        <f>'4C2 Open-burning '!AH157</f>
        <v>0.15419075184029302</v>
      </c>
      <c r="J165" s="987">
        <f>'4D Wastewater treatment and dis'!AV194</f>
        <v>137.16052165703309</v>
      </c>
      <c r="K165" s="770">
        <f>'4D Wastewater treatment and dis'!AW194</f>
        <v>2.8960026873618072</v>
      </c>
      <c r="L165" s="771">
        <f>C165*$B$3</f>
        <v>17230.856890422718</v>
      </c>
      <c r="M165" s="772">
        <f t="shared" ref="M165:M197" si="131">D165*$B$3</f>
        <v>14.132960903469062</v>
      </c>
      <c r="N165" s="771">
        <f t="shared" ref="N165:N197" si="132">E165*$B$3+F165*$C$3</f>
        <v>737.5491494013728</v>
      </c>
      <c r="O165" s="773">
        <f t="shared" ref="O165:O197" si="133">G165+H165*$B$3+I165*$C$3</f>
        <v>313.30333811016669</v>
      </c>
      <c r="P165" s="771">
        <f t="shared" ref="P165:P197" si="134">J165*$B$3+K165*$C$3</f>
        <v>3778.1317878798554</v>
      </c>
      <c r="Q165" s="471">
        <f t="shared" ref="Q165:Q197" si="135">L165</f>
        <v>17230.856890422718</v>
      </c>
      <c r="R165" s="517">
        <f t="shared" ref="R165:R197" si="136">M165+N165</f>
        <v>751.6821103048419</v>
      </c>
      <c r="S165" s="514">
        <f t="shared" ref="S165:S197" si="137">O165</f>
        <v>313.30333811016669</v>
      </c>
      <c r="T165" s="471">
        <f t="shared" ref="T165:T197" si="138">P165</f>
        <v>3778.1317878798554</v>
      </c>
      <c r="U165" s="471">
        <f t="shared" ref="U165:U197" si="139">SUM(Q165:T165)</f>
        <v>22073.974126717581</v>
      </c>
    </row>
    <row r="166" spans="1:21">
      <c r="A166">
        <f>'Input data'!A119</f>
        <v>2019</v>
      </c>
      <c r="C166" s="314">
        <f>'4A SWD Case 3'!BG89</f>
        <v>801.90031185312534</v>
      </c>
      <c r="D166" s="3">
        <f>'4B Biological treatment '!T219</f>
        <v>1.1270981370903062</v>
      </c>
      <c r="E166" s="178">
        <f>'4B Biological treatment '!U219</f>
        <v>17.890645222918785</v>
      </c>
      <c r="F166" s="178">
        <f>'4B Biological treatment '!W219</f>
        <v>1.0734387133751269</v>
      </c>
      <c r="G166" s="952">
        <f>'4C2 Open-burning '!R158</f>
        <v>32.340305277661429</v>
      </c>
      <c r="H166" s="952">
        <f>'4C2 Open-burning '!Z158</f>
        <v>10.881522615437561</v>
      </c>
      <c r="I166" s="952">
        <f>'4C2 Open-burning '!AH158</f>
        <v>0.15148916077456326</v>
      </c>
      <c r="J166" s="987">
        <f>'4D Wastewater treatment and dis'!AV195</f>
        <v>143.32271319274017</v>
      </c>
      <c r="K166" s="770">
        <f>'4D Wastewater treatment and dis'!AW195</f>
        <v>2.9428357992270668</v>
      </c>
      <c r="L166" s="771">
        <f t="shared" ref="L166:L197" si="140">C166*$B$3</f>
        <v>16839.906548915631</v>
      </c>
      <c r="M166" s="772">
        <f t="shared" si="131"/>
        <v>23.669060878896428</v>
      </c>
      <c r="N166" s="771">
        <f t="shared" si="132"/>
        <v>708.46955082758382</v>
      </c>
      <c r="O166" s="773">
        <f t="shared" si="133"/>
        <v>307.81392004196488</v>
      </c>
      <c r="P166" s="771">
        <f t="shared" si="134"/>
        <v>3922.0560748079342</v>
      </c>
      <c r="Q166" s="519">
        <f t="shared" si="135"/>
        <v>16839.906548915631</v>
      </c>
      <c r="R166" s="521">
        <f t="shared" si="136"/>
        <v>732.13861170648022</v>
      </c>
      <c r="S166" s="518">
        <f t="shared" si="137"/>
        <v>307.81392004196488</v>
      </c>
      <c r="T166" s="519">
        <f t="shared" si="138"/>
        <v>3922.0560748079342</v>
      </c>
      <c r="U166" s="519">
        <f t="shared" si="139"/>
        <v>21801.915155472008</v>
      </c>
    </row>
    <row r="167" spans="1:21">
      <c r="A167">
        <f>'Input data'!A120</f>
        <v>2020</v>
      </c>
      <c r="C167" s="314">
        <f>'4A SWD Case 3'!BG90</f>
        <v>781.94904710664139</v>
      </c>
      <c r="D167" s="3">
        <f>'4B Biological treatment '!T220</f>
        <v>1.7025824731116321</v>
      </c>
      <c r="E167" s="178">
        <f>'4B Biological treatment '!U220</f>
        <v>17.611552046891337</v>
      </c>
      <c r="F167" s="178">
        <f>'4B Biological treatment '!W220</f>
        <v>1.0566931228134799</v>
      </c>
      <c r="G167" s="952">
        <f>'4C2 Open-burning '!R159</f>
        <v>31.469339877453482</v>
      </c>
      <c r="H167" s="952">
        <f>'4C2 Open-burning '!Z159</f>
        <v>10.588469423197822</v>
      </c>
      <c r="I167" s="952">
        <f>'4C2 Open-burning '!AH159</f>
        <v>0.14740936571980473</v>
      </c>
      <c r="J167" s="987">
        <f>'4D Wastewater treatment and dis'!AV196</f>
        <v>149.64833972612956</v>
      </c>
      <c r="K167" s="770">
        <f>'4D Wastewater treatment and dis'!AW196</f>
        <v>2.9904262793007734</v>
      </c>
      <c r="L167" s="771">
        <f t="shared" si="140"/>
        <v>16420.92998923947</v>
      </c>
      <c r="M167" s="772">
        <f t="shared" si="131"/>
        <v>35.754231935344272</v>
      </c>
      <c r="N167" s="771">
        <f t="shared" si="132"/>
        <v>697.41746105689685</v>
      </c>
      <c r="O167" s="773">
        <f t="shared" si="133"/>
        <v>299.52410113774715</v>
      </c>
      <c r="P167" s="771">
        <f t="shared" si="134"/>
        <v>4069.6472808319609</v>
      </c>
      <c r="Q167" s="519">
        <f t="shared" si="135"/>
        <v>16420.92998923947</v>
      </c>
      <c r="R167" s="521">
        <f t="shared" si="136"/>
        <v>733.17169299224111</v>
      </c>
      <c r="S167" s="518">
        <f t="shared" si="137"/>
        <v>299.52410113774715</v>
      </c>
      <c r="T167" s="519">
        <f t="shared" si="138"/>
        <v>4069.6472808319609</v>
      </c>
      <c r="U167" s="519">
        <f t="shared" si="139"/>
        <v>21523.273064201418</v>
      </c>
    </row>
    <row r="168" spans="1:21">
      <c r="A168">
        <f>'Input data'!A121</f>
        <v>2021</v>
      </c>
      <c r="C168" s="314">
        <f>'4A SWD Case 3'!BG91</f>
        <v>760.78141499110848</v>
      </c>
      <c r="D168" s="3">
        <f>'4B Biological treatment '!T221</f>
        <v>2.6697232740256496</v>
      </c>
      <c r="E168" s="178">
        <f>'4B Biological treatment '!U221</f>
        <v>18.98913340365845</v>
      </c>
      <c r="F168" s="178">
        <f>'4B Biological treatment '!W221</f>
        <v>1.139348004219507</v>
      </c>
      <c r="G168" s="952">
        <f>'4C2 Open-burning '!R160</f>
        <v>28.917178618582938</v>
      </c>
      <c r="H168" s="952">
        <f>'4C2 Open-burning '!Z160</f>
        <v>9.7297452949557144</v>
      </c>
      <c r="I168" s="952">
        <f>'4C2 Open-burning '!AH160</f>
        <v>0.13545447648953185</v>
      </c>
      <c r="J168" s="987">
        <f>'4D Wastewater treatment and dis'!AV197</f>
        <v>155.70081087254809</v>
      </c>
      <c r="K168" s="770">
        <f>'4D Wastewater treatment and dis'!AW197</f>
        <v>3.0302180288466625</v>
      </c>
      <c r="L168" s="771">
        <f t="shared" si="140"/>
        <v>15976.409714813279</v>
      </c>
      <c r="M168" s="772">
        <f t="shared" si="131"/>
        <v>56.064188754538641</v>
      </c>
      <c r="N168" s="771">
        <f t="shared" si="132"/>
        <v>751.96968278487452</v>
      </c>
      <c r="O168" s="773">
        <f t="shared" si="133"/>
        <v>275.2327175244078</v>
      </c>
      <c r="P168" s="771">
        <f t="shared" si="134"/>
        <v>4209.0846172659749</v>
      </c>
      <c r="Q168" s="519">
        <f t="shared" si="135"/>
        <v>15976.409714813279</v>
      </c>
      <c r="R168" s="521">
        <f t="shared" si="136"/>
        <v>808.03387153941321</v>
      </c>
      <c r="S168" s="518">
        <f t="shared" si="137"/>
        <v>275.2327175244078</v>
      </c>
      <c r="T168" s="519">
        <f t="shared" si="138"/>
        <v>4209.0846172659749</v>
      </c>
      <c r="U168" s="519">
        <f t="shared" si="139"/>
        <v>21268.760921143075</v>
      </c>
    </row>
    <row r="169" spans="1:21">
      <c r="A169">
        <f>'Input data'!A122</f>
        <v>2022</v>
      </c>
      <c r="C169" s="314">
        <f>'4A SWD Case 3'!BG92</f>
        <v>734.89301952151425</v>
      </c>
      <c r="D169" s="3">
        <f>'4B Biological treatment '!T222</f>
        <v>3.5512189497726188</v>
      </c>
      <c r="E169" s="178">
        <f>'4B Biological treatment '!U222</f>
        <v>17.756094748863092</v>
      </c>
      <c r="F169" s="178">
        <f>'4B Biological treatment '!W222</f>
        <v>1.0653656849317854</v>
      </c>
      <c r="G169" s="952">
        <f>'4C2 Open-burning '!R161</f>
        <v>24.055225494229198</v>
      </c>
      <c r="H169" s="952">
        <f>'4C2 Open-burning '!Z161</f>
        <v>8.0938469191170608</v>
      </c>
      <c r="I169" s="952">
        <f>'4C2 Open-burning '!AH161</f>
        <v>0.11268001000846364</v>
      </c>
      <c r="J169" s="987">
        <f>'4D Wastewater treatment and dis'!AV198</f>
        <v>161.73905140290367</v>
      </c>
      <c r="K169" s="770">
        <f>'4D Wastewater treatment and dis'!AW198</f>
        <v>3.0677168311206198</v>
      </c>
      <c r="L169" s="771">
        <f t="shared" si="140"/>
        <v>15432.7534099518</v>
      </c>
      <c r="M169" s="772">
        <f t="shared" si="131"/>
        <v>74.575597945224999</v>
      </c>
      <c r="N169" s="771">
        <f t="shared" si="132"/>
        <v>703.14135205497837</v>
      </c>
      <c r="O169" s="773">
        <f t="shared" si="133"/>
        <v>228.95681389831122</v>
      </c>
      <c r="P169" s="771">
        <f t="shared" si="134"/>
        <v>4347.5122971083692</v>
      </c>
      <c r="Q169" s="519">
        <f t="shared" si="135"/>
        <v>15432.7534099518</v>
      </c>
      <c r="R169" s="521">
        <f t="shared" si="136"/>
        <v>777.71695000020338</v>
      </c>
      <c r="S169" s="518">
        <f t="shared" si="137"/>
        <v>228.95681389831122</v>
      </c>
      <c r="T169" s="519">
        <f t="shared" si="138"/>
        <v>4347.5122971083692</v>
      </c>
      <c r="U169" s="519">
        <f t="shared" si="139"/>
        <v>20786.939470958685</v>
      </c>
    </row>
    <row r="170" spans="1:21">
      <c r="A170">
        <f>'Input data'!A123</f>
        <v>2023</v>
      </c>
      <c r="C170" s="314">
        <f>'4A SWD Case 3'!BG93</f>
        <v>707.31406576300549</v>
      </c>
      <c r="D170" s="3">
        <f>'4B Biological treatment '!T223</f>
        <v>3.5643978569355075</v>
      </c>
      <c r="E170" s="178">
        <f>'4B Biological treatment '!U223</f>
        <v>17.821989284677535</v>
      </c>
      <c r="F170" s="178">
        <f>'4B Biological treatment '!W223</f>
        <v>1.0693193570806521</v>
      </c>
      <c r="G170" s="952">
        <f>'4C2 Open-burning '!R162</f>
        <v>22.813748044585125</v>
      </c>
      <c r="H170" s="952">
        <f>'4C2 Open-burning '!Z162</f>
        <v>7.6761277656065046</v>
      </c>
      <c r="I170" s="952">
        <f>'4C2 Open-burning '!AH162</f>
        <v>0.10686465436007302</v>
      </c>
      <c r="J170" s="987">
        <f>'4D Wastewater treatment and dis'!AV199</f>
        <v>167.7484159872983</v>
      </c>
      <c r="K170" s="770">
        <f>'4D Wastewater treatment and dis'!AW199</f>
        <v>3.1028223203879186</v>
      </c>
      <c r="L170" s="771">
        <f t="shared" si="140"/>
        <v>14853.595381023115</v>
      </c>
      <c r="M170" s="772">
        <f t="shared" si="131"/>
        <v>74.852354995645655</v>
      </c>
      <c r="N170" s="771">
        <f t="shared" si="132"/>
        <v>705.75077567323035</v>
      </c>
      <c r="O170" s="773">
        <f t="shared" si="133"/>
        <v>217.14047397394438</v>
      </c>
      <c r="P170" s="771">
        <f t="shared" si="134"/>
        <v>4484.5916550535185</v>
      </c>
      <c r="Q170" s="519">
        <f t="shared" si="135"/>
        <v>14853.595381023115</v>
      </c>
      <c r="R170" s="521">
        <f t="shared" si="136"/>
        <v>780.60313066887602</v>
      </c>
      <c r="S170" s="518">
        <f t="shared" si="137"/>
        <v>217.14047397394438</v>
      </c>
      <c r="T170" s="519">
        <f t="shared" si="138"/>
        <v>4484.5916550535185</v>
      </c>
      <c r="U170" s="519">
        <f t="shared" si="139"/>
        <v>20335.930640719453</v>
      </c>
    </row>
    <row r="171" spans="1:21">
      <c r="A171">
        <f>'Input data'!A124</f>
        <v>2024</v>
      </c>
      <c r="C171" s="314">
        <f>'4A SWD Case 3'!BG94</f>
        <v>680.85848451092772</v>
      </c>
      <c r="D171" s="3">
        <f>'4B Biological treatment '!T224</f>
        <v>3.5792611310719988</v>
      </c>
      <c r="E171" s="178">
        <f>'4B Biological treatment '!U224</f>
        <v>17.896305655359992</v>
      </c>
      <c r="F171" s="178">
        <f>'4B Biological treatment '!W224</f>
        <v>1.0737783393215996</v>
      </c>
      <c r="G171" s="952">
        <f>'4C2 Open-burning '!R163</f>
        <v>21.553469378195615</v>
      </c>
      <c r="H171" s="952">
        <f>'4C2 Open-burning '!Z163</f>
        <v>7.2520825782673626</v>
      </c>
      <c r="I171" s="952">
        <f>'4C2 Open-burning '!AH163</f>
        <v>0.10096122964363083</v>
      </c>
      <c r="J171" s="987">
        <f>'4D Wastewater treatment and dis'!AV200</f>
        <v>173.8168021189118</v>
      </c>
      <c r="K171" s="770">
        <f>'4D Wastewater treatment and dis'!AW200</f>
        <v>3.1372946822597805</v>
      </c>
      <c r="L171" s="771">
        <f t="shared" si="140"/>
        <v>14298.028174729483</v>
      </c>
      <c r="M171" s="772">
        <f t="shared" si="131"/>
        <v>75.16448375251197</v>
      </c>
      <c r="N171" s="771">
        <f t="shared" si="132"/>
        <v>708.69370395225565</v>
      </c>
      <c r="O171" s="773">
        <f t="shared" si="133"/>
        <v>205.14518471133579</v>
      </c>
      <c r="P171" s="771">
        <f t="shared" si="134"/>
        <v>4622.7141959976798</v>
      </c>
      <c r="Q171" s="519">
        <f t="shared" si="135"/>
        <v>14298.028174729483</v>
      </c>
      <c r="R171" s="521">
        <f t="shared" si="136"/>
        <v>783.8581877047676</v>
      </c>
      <c r="S171" s="518">
        <f t="shared" si="137"/>
        <v>205.14518471133579</v>
      </c>
      <c r="T171" s="519">
        <f t="shared" si="138"/>
        <v>4622.7141959976798</v>
      </c>
      <c r="U171" s="519">
        <f t="shared" si="139"/>
        <v>19909.745743143267</v>
      </c>
    </row>
    <row r="172" spans="1:21">
      <c r="A172">
        <f>'Input data'!A125</f>
        <v>2025</v>
      </c>
      <c r="C172" s="314">
        <f>'4A SWD Case 3'!BG95</f>
        <v>655.44460621166706</v>
      </c>
      <c r="D172" s="3">
        <f>'4B Biological treatment '!T225</f>
        <v>3.5926633298479222</v>
      </c>
      <c r="E172" s="178">
        <f>'4B Biological treatment '!U225</f>
        <v>17.963316649239609</v>
      </c>
      <c r="F172" s="178">
        <f>'4B Biological treatment '!W225</f>
        <v>1.0777989989543766</v>
      </c>
      <c r="G172" s="952">
        <f>'4C2 Open-burning '!R164</f>
        <v>20.273146589060335</v>
      </c>
      <c r="H172" s="952">
        <f>'4C2 Open-burning '!Z164</f>
        <v>6.8212931572825566</v>
      </c>
      <c r="I172" s="952">
        <f>'4C2 Open-burning '!AH164</f>
        <v>9.4963913811840467E-2</v>
      </c>
      <c r="J172" s="987">
        <f>'4D Wastewater treatment and dis'!AV201</f>
        <v>179.93994827249293</v>
      </c>
      <c r="K172" s="770">
        <f>'4D Wastewater treatment and dis'!AW201</f>
        <v>3.1711036769819763</v>
      </c>
      <c r="L172" s="771">
        <f t="shared" si="140"/>
        <v>13764.336730445008</v>
      </c>
      <c r="M172" s="772">
        <f t="shared" si="131"/>
        <v>75.445929926806372</v>
      </c>
      <c r="N172" s="771">
        <f t="shared" si="132"/>
        <v>711.34733930988853</v>
      </c>
      <c r="O172" s="773">
        <f t="shared" si="133"/>
        <v>192.95911617366457</v>
      </c>
      <c r="P172" s="771">
        <f t="shared" si="134"/>
        <v>4761.7810535867638</v>
      </c>
      <c r="Q172" s="519">
        <f t="shared" si="135"/>
        <v>13764.336730445008</v>
      </c>
      <c r="R172" s="521">
        <f t="shared" si="136"/>
        <v>786.79326923669487</v>
      </c>
      <c r="S172" s="518">
        <f t="shared" si="137"/>
        <v>192.95911617366457</v>
      </c>
      <c r="T172" s="519">
        <f t="shared" si="138"/>
        <v>4761.7810535867638</v>
      </c>
      <c r="U172" s="519">
        <f t="shared" si="139"/>
        <v>19505.870169442132</v>
      </c>
    </row>
    <row r="173" spans="1:21">
      <c r="A173">
        <f>'Input data'!A126</f>
        <v>2026</v>
      </c>
      <c r="C173" s="314">
        <f>'4A SWD Case 3'!BG96</f>
        <v>630.99435809886859</v>
      </c>
      <c r="D173" s="3">
        <f>'4B Biological treatment '!T226</f>
        <v>3.6079383240987486</v>
      </c>
      <c r="E173" s="178">
        <f>'4B Biological treatment '!U226</f>
        <v>18.039691620493741</v>
      </c>
      <c r="F173" s="178">
        <f>'4B Biological treatment '!W226</f>
        <v>1.0823814972296244</v>
      </c>
      <c r="G173" s="952">
        <f>'4C2 Open-burning '!R165</f>
        <v>18.971496879845734</v>
      </c>
      <c r="H173" s="952">
        <f>'4C2 Open-burning '!Z165</f>
        <v>6.3833278806226641</v>
      </c>
      <c r="I173" s="952">
        <f>'4C2 Open-burning '!AH165</f>
        <v>8.8866697957555474E-2</v>
      </c>
      <c r="J173" s="987">
        <f>'4D Wastewater treatment and dis'!AV202</f>
        <v>186.11344926250865</v>
      </c>
      <c r="K173" s="770">
        <f>'4D Wastewater treatment and dis'!AW202</f>
        <v>3.2042193824925169</v>
      </c>
      <c r="L173" s="771">
        <f t="shared" si="140"/>
        <v>13250.88152007624</v>
      </c>
      <c r="M173" s="772">
        <f t="shared" si="131"/>
        <v>75.766704806073719</v>
      </c>
      <c r="N173" s="771">
        <f t="shared" si="132"/>
        <v>714.37178817155211</v>
      </c>
      <c r="O173" s="773">
        <f t="shared" si="133"/>
        <v>180.57005873976388</v>
      </c>
      <c r="P173" s="771">
        <f t="shared" si="134"/>
        <v>4901.6904430853619</v>
      </c>
      <c r="Q173" s="519">
        <f t="shared" si="135"/>
        <v>13250.88152007624</v>
      </c>
      <c r="R173" s="521">
        <f t="shared" si="136"/>
        <v>790.13849297762579</v>
      </c>
      <c r="S173" s="518">
        <f t="shared" si="137"/>
        <v>180.57005873976388</v>
      </c>
      <c r="T173" s="519">
        <f t="shared" si="138"/>
        <v>4901.6904430853619</v>
      </c>
      <c r="U173" s="519">
        <f t="shared" si="139"/>
        <v>19123.280514878992</v>
      </c>
    </row>
    <row r="174" spans="1:21">
      <c r="A174">
        <f>'Input data'!A127</f>
        <v>2027</v>
      </c>
      <c r="C174" s="314">
        <f>'4A SWD Case 3'!BG97</f>
        <v>607.43308103564141</v>
      </c>
      <c r="D174" s="3">
        <f>'4B Biological treatment '!T227</f>
        <v>3.6231550036417244</v>
      </c>
      <c r="E174" s="178">
        <f>'4B Biological treatment '!U227</f>
        <v>18.11577501820862</v>
      </c>
      <c r="F174" s="178">
        <f>'4B Biological treatment '!W227</f>
        <v>1.0869465010925172</v>
      </c>
      <c r="G174" s="952">
        <f>'4C2 Open-burning '!R166</f>
        <v>17.647192953731018</v>
      </c>
      <c r="H174" s="952">
        <f>'4C2 Open-burning '!Z166</f>
        <v>5.9377401535431718</v>
      </c>
      <c r="I174" s="952">
        <f>'4C2 Open-burning '!AH166</f>
        <v>8.2663364728164129E-2</v>
      </c>
      <c r="J174" s="987">
        <f>'4D Wastewater treatment and dis'!AV203</f>
        <v>192.33276096021439</v>
      </c>
      <c r="K174" s="770">
        <f>'4D Wastewater treatment and dis'!AW203</f>
        <v>3.2366122379757729</v>
      </c>
      <c r="L174" s="771">
        <f t="shared" si="140"/>
        <v>12756.094701748469</v>
      </c>
      <c r="M174" s="772">
        <f t="shared" si="131"/>
        <v>76.086255076476206</v>
      </c>
      <c r="N174" s="771">
        <f t="shared" si="132"/>
        <v>717.38469072106136</v>
      </c>
      <c r="O174" s="773">
        <f t="shared" si="133"/>
        <v>167.96537924386851</v>
      </c>
      <c r="P174" s="771">
        <f t="shared" si="134"/>
        <v>5042.3377739369917</v>
      </c>
      <c r="Q174" s="519">
        <f t="shared" si="135"/>
        <v>12756.094701748469</v>
      </c>
      <c r="R174" s="521">
        <f t="shared" si="136"/>
        <v>793.47094579753752</v>
      </c>
      <c r="S174" s="518">
        <f t="shared" si="137"/>
        <v>167.96537924386851</v>
      </c>
      <c r="T174" s="519">
        <f t="shared" si="138"/>
        <v>5042.3377739369917</v>
      </c>
      <c r="U174" s="519">
        <f t="shared" si="139"/>
        <v>18759.868800726865</v>
      </c>
    </row>
    <row r="175" spans="1:21">
      <c r="A175">
        <f>'Input data'!A128</f>
        <v>2028</v>
      </c>
      <c r="C175" s="314">
        <f>'4A SWD Case 3'!BG98</f>
        <v>584.68935411043572</v>
      </c>
      <c r="D175" s="3">
        <f>'4B Biological treatment '!T228</f>
        <v>3.6337676014573459</v>
      </c>
      <c r="E175" s="178">
        <f>'4B Biological treatment '!U228</f>
        <v>18.16883800728673</v>
      </c>
      <c r="F175" s="178">
        <f>'4B Biological treatment '!W228</f>
        <v>1.0901302804372037</v>
      </c>
      <c r="G175" s="952">
        <f>'4C2 Open-burning '!R167</f>
        <v>16.298858140225754</v>
      </c>
      <c r="H175" s="952">
        <f>'4C2 Open-burning '!Z167</f>
        <v>5.4840667685713314</v>
      </c>
      <c r="I175" s="952">
        <f>'4C2 Open-burning '!AH167</f>
        <v>7.6347465493838473E-2</v>
      </c>
      <c r="J175" s="987">
        <f>'4D Wastewater treatment and dis'!AV204</f>
        <v>198.59320535463905</v>
      </c>
      <c r="K175" s="770">
        <f>'4D Wastewater treatment and dis'!AW204</f>
        <v>3.2682530873125892</v>
      </c>
      <c r="L175" s="771">
        <f t="shared" si="140"/>
        <v>12278.47643631915</v>
      </c>
      <c r="M175" s="772">
        <f t="shared" si="131"/>
        <v>76.309119630604258</v>
      </c>
      <c r="N175" s="771">
        <f t="shared" si="132"/>
        <v>719.48598508855446</v>
      </c>
      <c r="O175" s="773">
        <f t="shared" si="133"/>
        <v>155.13197458331362</v>
      </c>
      <c r="P175" s="771">
        <f t="shared" si="134"/>
        <v>5183.6157695143229</v>
      </c>
      <c r="Q175" s="519">
        <f t="shared" si="135"/>
        <v>12278.47643631915</v>
      </c>
      <c r="R175" s="521">
        <f t="shared" si="136"/>
        <v>795.79510471915876</v>
      </c>
      <c r="S175" s="518">
        <f t="shared" si="137"/>
        <v>155.13197458331362</v>
      </c>
      <c r="T175" s="519">
        <f t="shared" si="138"/>
        <v>5183.6157695143229</v>
      </c>
      <c r="U175" s="519">
        <f t="shared" si="139"/>
        <v>18413.019285135946</v>
      </c>
    </row>
    <row r="176" spans="1:21">
      <c r="A176">
        <f>'Input data'!A129</f>
        <v>2029</v>
      </c>
      <c r="C176" s="314">
        <f>'4A SWD Case 3'!BG99</f>
        <v>562.6948265739029</v>
      </c>
      <c r="D176" s="3">
        <f>'4B Biological treatment '!T229</f>
        <v>3.645199957212264</v>
      </c>
      <c r="E176" s="178">
        <f>'4B Biological treatment '!U229</f>
        <v>18.225999786061319</v>
      </c>
      <c r="F176" s="178">
        <f>'4B Biological treatment '!W229</f>
        <v>1.0935599871636792</v>
      </c>
      <c r="G176" s="952">
        <f>'4C2 Open-burning '!R168</f>
        <v>14.924684418730706</v>
      </c>
      <c r="H176" s="952">
        <f>'4C2 Open-burning '!Z168</f>
        <v>5.021699382128725</v>
      </c>
      <c r="I176" s="952">
        <f>'4C2 Open-burning '!AH168</f>
        <v>6.9910531085197153E-2</v>
      </c>
      <c r="J176" s="987">
        <f>'4D Wastewater treatment and dis'!AV205</f>
        <v>204.90440828341107</v>
      </c>
      <c r="K176" s="770">
        <f>'4D Wastewater treatment and dis'!AW205</f>
        <v>3.2993456099811418</v>
      </c>
      <c r="L176" s="771">
        <f t="shared" si="140"/>
        <v>11816.591358051961</v>
      </c>
      <c r="M176" s="772">
        <f t="shared" si="131"/>
        <v>76.549199101457546</v>
      </c>
      <c r="N176" s="771">
        <f t="shared" si="132"/>
        <v>721.7495915280283</v>
      </c>
      <c r="O176" s="773">
        <f t="shared" si="133"/>
        <v>142.05263607984506</v>
      </c>
      <c r="P176" s="771">
        <f t="shared" si="134"/>
        <v>5325.7897130457868</v>
      </c>
      <c r="Q176" s="519">
        <f t="shared" si="135"/>
        <v>11816.591358051961</v>
      </c>
      <c r="R176" s="521">
        <f t="shared" si="136"/>
        <v>798.29879062948589</v>
      </c>
      <c r="S176" s="518">
        <f t="shared" si="137"/>
        <v>142.05263607984506</v>
      </c>
      <c r="T176" s="519">
        <f t="shared" si="138"/>
        <v>5325.7897130457868</v>
      </c>
      <c r="U176" s="519">
        <f t="shared" si="139"/>
        <v>18082.732497807079</v>
      </c>
    </row>
    <row r="177" spans="1:21">
      <c r="A177">
        <f>'Input data'!A130</f>
        <v>2030</v>
      </c>
      <c r="C177" s="314">
        <f>'4A SWD Case 3'!BG100</f>
        <v>541.38419881788548</v>
      </c>
      <c r="D177" s="3">
        <f>'4B Biological treatment '!T230</f>
        <v>3.6589825366237063</v>
      </c>
      <c r="E177" s="178">
        <f>'4B Biological treatment '!U230</f>
        <v>18.294912683118529</v>
      </c>
      <c r="F177" s="178">
        <f>'4B Biological treatment '!W230</f>
        <v>1.0976947609871117</v>
      </c>
      <c r="G177" s="952">
        <f>'4C2 Open-burning '!R169</f>
        <v>13.523284883131048</v>
      </c>
      <c r="H177" s="952">
        <f>'4C2 Open-burning '!Z169</f>
        <v>4.5501713427683601</v>
      </c>
      <c r="I177" s="952">
        <f>'4C2 Open-burning '!AH169</f>
        <v>6.3346064926477999E-2</v>
      </c>
      <c r="J177" s="987">
        <f>'4D Wastewater treatment and dis'!AV206</f>
        <v>211.26278968541391</v>
      </c>
      <c r="K177" s="770">
        <f>'4D Wastewater treatment and dis'!AW206</f>
        <v>3.3298681271770771</v>
      </c>
      <c r="L177" s="771">
        <f t="shared" si="140"/>
        <v>11369.068175175595</v>
      </c>
      <c r="M177" s="772">
        <f t="shared" si="131"/>
        <v>76.838633269097826</v>
      </c>
      <c r="N177" s="771">
        <f t="shared" si="132"/>
        <v>724.47854225149376</v>
      </c>
      <c r="O177" s="773">
        <f t="shared" si="133"/>
        <v>128.71416320847479</v>
      </c>
      <c r="P177" s="771">
        <f t="shared" si="134"/>
        <v>5468.7777028185865</v>
      </c>
      <c r="Q177" s="519">
        <f t="shared" si="135"/>
        <v>11369.068175175595</v>
      </c>
      <c r="R177" s="521">
        <f t="shared" si="136"/>
        <v>801.3171755205916</v>
      </c>
      <c r="S177" s="518">
        <f t="shared" si="137"/>
        <v>128.71416320847479</v>
      </c>
      <c r="T177" s="519">
        <f t="shared" si="138"/>
        <v>5468.7777028185865</v>
      </c>
      <c r="U177" s="519">
        <f t="shared" si="139"/>
        <v>17767.877216723246</v>
      </c>
    </row>
    <row r="178" spans="1:21">
      <c r="A178">
        <f>'Input data'!A131</f>
        <v>2031</v>
      </c>
      <c r="C178" s="314">
        <f>'4A SWD Case 3'!BG101</f>
        <v>520.69489703759371</v>
      </c>
      <c r="D178" s="3">
        <f>'4B Biological treatment '!T231</f>
        <v>3.6781620248779339</v>
      </c>
      <c r="E178" s="178">
        <f>'4B Biological treatment '!U231</f>
        <v>18.390810124389667</v>
      </c>
      <c r="F178" s="178">
        <f>'4B Biological treatment '!W231</f>
        <v>1.1034486074633802</v>
      </c>
      <c r="G178" s="952">
        <f>'4C2 Open-burning '!R170</f>
        <v>11.9247783720383</v>
      </c>
      <c r="H178" s="952">
        <f>'4C2 Open-burning '!Z170</f>
        <v>4.0123228406580633</v>
      </c>
      <c r="I178" s="952">
        <f>'4C2 Open-burning '!AH170</f>
        <v>5.5858305989787284E-2</v>
      </c>
      <c r="J178" s="987">
        <f>'4D Wastewater treatment and dis'!AV207</f>
        <v>213.16176016925567</v>
      </c>
      <c r="K178" s="770">
        <f>'4D Wastewater treatment and dis'!AW207</f>
        <v>3.3597991969031304</v>
      </c>
      <c r="L178" s="771">
        <f t="shared" si="140"/>
        <v>10934.592837789467</v>
      </c>
      <c r="M178" s="772">
        <f t="shared" si="131"/>
        <v>77.241402522436616</v>
      </c>
      <c r="N178" s="771">
        <f t="shared" si="132"/>
        <v>728.27608092583091</v>
      </c>
      <c r="O178" s="773">
        <f t="shared" si="133"/>
        <v>113.49963288269169</v>
      </c>
      <c r="P178" s="771">
        <f t="shared" si="134"/>
        <v>5517.9347145943393</v>
      </c>
      <c r="Q178" s="519">
        <f t="shared" si="135"/>
        <v>10934.592837789467</v>
      </c>
      <c r="R178" s="521">
        <f t="shared" si="136"/>
        <v>805.51748344826751</v>
      </c>
      <c r="S178" s="518">
        <f t="shared" si="137"/>
        <v>113.49963288269169</v>
      </c>
      <c r="T178" s="519">
        <f t="shared" si="138"/>
        <v>5517.9347145943393</v>
      </c>
      <c r="U178" s="519">
        <f t="shared" si="139"/>
        <v>17371.544668714763</v>
      </c>
    </row>
    <row r="179" spans="1:21">
      <c r="A179">
        <f>'Input data'!A132</f>
        <v>2032</v>
      </c>
      <c r="C179" s="314">
        <f>'4A SWD Case 3'!BG102</f>
        <v>500.44363874223046</v>
      </c>
      <c r="D179" s="3">
        <f>'4B Biological treatment '!T232</f>
        <v>3.6959024399781359</v>
      </c>
      <c r="E179" s="178">
        <f>'4B Biological treatment '!U232</f>
        <v>18.479512199890678</v>
      </c>
      <c r="F179" s="178">
        <f>'4B Biological treatment '!W232</f>
        <v>1.1087707319934408</v>
      </c>
      <c r="G179" s="952">
        <f>'4C2 Open-burning '!R171</f>
        <v>10.337663470484438</v>
      </c>
      <c r="H179" s="952">
        <f>'4C2 Open-burning '!Z171</f>
        <v>3.4783072663992307</v>
      </c>
      <c r="I179" s="952">
        <f>'4C2 Open-burning '!AH171</f>
        <v>4.8423907878051703E-2</v>
      </c>
      <c r="J179" s="987">
        <f>'4D Wastewater treatment and dis'!AV208</f>
        <v>215.02186260752731</v>
      </c>
      <c r="K179" s="770">
        <f>'4D Wastewater treatment and dis'!AW208</f>
        <v>3.3891176387911139</v>
      </c>
      <c r="L179" s="771">
        <f t="shared" si="140"/>
        <v>10509.316413586839</v>
      </c>
      <c r="M179" s="772">
        <f t="shared" si="131"/>
        <v>77.613951239540853</v>
      </c>
      <c r="N179" s="771">
        <f t="shared" si="132"/>
        <v>731.78868311567089</v>
      </c>
      <c r="O179" s="773">
        <f t="shared" si="133"/>
        <v>98.393527507064306</v>
      </c>
      <c r="P179" s="771">
        <f t="shared" si="134"/>
        <v>5566.0855827833184</v>
      </c>
      <c r="Q179" s="519">
        <f t="shared" si="135"/>
        <v>10509.316413586839</v>
      </c>
      <c r="R179" s="521">
        <f t="shared" si="136"/>
        <v>809.40263435521172</v>
      </c>
      <c r="S179" s="518">
        <f t="shared" si="137"/>
        <v>98.393527507064306</v>
      </c>
      <c r="T179" s="519">
        <f t="shared" si="138"/>
        <v>5566.0855827833184</v>
      </c>
      <c r="U179" s="519">
        <f t="shared" si="139"/>
        <v>16983.198158232433</v>
      </c>
    </row>
    <row r="180" spans="1:21">
      <c r="A180">
        <f>'Input data'!A133</f>
        <v>2033</v>
      </c>
      <c r="C180" s="314">
        <f>'4A SWD Case 3'!BG103</f>
        <v>480.60620970609688</v>
      </c>
      <c r="D180" s="3">
        <f>'4B Biological treatment '!T233</f>
        <v>3.7169010199734895</v>
      </c>
      <c r="E180" s="178">
        <f>'4B Biological treatment '!U233</f>
        <v>18.584505099867446</v>
      </c>
      <c r="F180" s="178">
        <f>'4B Biological treatment '!W233</f>
        <v>1.1150703059920468</v>
      </c>
      <c r="G180" s="952">
        <f>'4C2 Open-burning '!R172</f>
        <v>10.307348544671919</v>
      </c>
      <c r="H180" s="952">
        <f>'4C2 Open-burning '!Z172</f>
        <v>3.4681072219660667</v>
      </c>
      <c r="I180" s="952">
        <f>'4C2 Open-burning '!AH172</f>
        <v>4.8281906043781644E-2</v>
      </c>
      <c r="J180" s="987">
        <f>'4D Wastewater treatment and dis'!AV209</f>
        <v>216.84177138362475</v>
      </c>
      <c r="K180" s="770">
        <f>'4D Wastewater treatment and dis'!AW209</f>
        <v>3.4178025588232726</v>
      </c>
      <c r="L180" s="771">
        <f t="shared" si="140"/>
        <v>10092.730403828034</v>
      </c>
      <c r="M180" s="772">
        <f t="shared" si="131"/>
        <v>78.054921419443275</v>
      </c>
      <c r="N180" s="771">
        <f t="shared" si="132"/>
        <v>735.94640195475085</v>
      </c>
      <c r="O180" s="773">
        <f t="shared" si="133"/>
        <v>98.104991079531644</v>
      </c>
      <c r="P180" s="771">
        <f t="shared" si="134"/>
        <v>5613.1959922913338</v>
      </c>
      <c r="Q180" s="519">
        <f t="shared" si="135"/>
        <v>10092.730403828034</v>
      </c>
      <c r="R180" s="521">
        <f t="shared" si="136"/>
        <v>814.00132337419416</v>
      </c>
      <c r="S180" s="518">
        <f t="shared" si="137"/>
        <v>98.104991079531644</v>
      </c>
      <c r="T180" s="519">
        <f t="shared" si="138"/>
        <v>5613.1959922913338</v>
      </c>
      <c r="U180" s="519">
        <f t="shared" si="139"/>
        <v>16618.032710573094</v>
      </c>
    </row>
    <row r="181" spans="1:21">
      <c r="A181">
        <f>'Input data'!A134</f>
        <v>2034</v>
      </c>
      <c r="C181" s="314">
        <f>'4A SWD Case 3'!BG104</f>
        <v>461.74772017675508</v>
      </c>
      <c r="D181" s="3">
        <f>'4B Biological treatment '!T234</f>
        <v>3.7432593960487313</v>
      </c>
      <c r="E181" s="178">
        <f>'4B Biological treatment '!U234</f>
        <v>18.716296980243655</v>
      </c>
      <c r="F181" s="178">
        <f>'4B Biological treatment '!W234</f>
        <v>1.1229778188146193</v>
      </c>
      <c r="G181" s="952">
        <f>'4C2 Open-burning '!R173</f>
        <v>10.278310353710504</v>
      </c>
      <c r="H181" s="952">
        <f>'4C2 Open-burning '!Z173</f>
        <v>3.4583367597225863</v>
      </c>
      <c r="I181" s="952">
        <f>'4C2 Open-burning '!AH173</f>
        <v>4.814588471864608E-2</v>
      </c>
      <c r="J181" s="987">
        <f>'4D Wastewater treatment and dis'!AV210</f>
        <v>218.62447642392758</v>
      </c>
      <c r="K181" s="770">
        <f>'4D Wastewater treatment and dis'!AW210</f>
        <v>3.4459010834271635</v>
      </c>
      <c r="L181" s="771">
        <f t="shared" si="140"/>
        <v>9696.702123711857</v>
      </c>
      <c r="M181" s="772">
        <f t="shared" si="131"/>
        <v>78.608447317023362</v>
      </c>
      <c r="N181" s="771">
        <f t="shared" si="132"/>
        <v>741.1653604176488</v>
      </c>
      <c r="O181" s="773">
        <f t="shared" si="133"/>
        <v>97.828606570665116</v>
      </c>
      <c r="P181" s="771">
        <f t="shared" si="134"/>
        <v>5659.343340764899</v>
      </c>
      <c r="Q181" s="519">
        <f t="shared" si="135"/>
        <v>9696.702123711857</v>
      </c>
      <c r="R181" s="521">
        <f t="shared" si="136"/>
        <v>819.77380773467212</v>
      </c>
      <c r="S181" s="518">
        <f t="shared" si="137"/>
        <v>97.828606570665116</v>
      </c>
      <c r="T181" s="519">
        <f t="shared" si="138"/>
        <v>5659.343340764899</v>
      </c>
      <c r="U181" s="519">
        <f t="shared" si="139"/>
        <v>16273.647878782094</v>
      </c>
    </row>
    <row r="182" spans="1:21">
      <c r="A182">
        <f>'Input data'!A135</f>
        <v>2035</v>
      </c>
      <c r="C182" s="314">
        <f>'4A SWD Case 3'!BG105</f>
        <v>443.82005652184995</v>
      </c>
      <c r="D182" s="3">
        <f>'4B Biological treatment '!T235</f>
        <v>3.764859504640385</v>
      </c>
      <c r="E182" s="178">
        <f>'4B Biological treatment '!U235</f>
        <v>18.824297523201924</v>
      </c>
      <c r="F182" s="178">
        <f>'4B Biological treatment '!W235</f>
        <v>1.1294578513921154</v>
      </c>
      <c r="G182" s="952">
        <f>'4C2 Open-burning '!R174</f>
        <v>10.250506321682792</v>
      </c>
      <c r="H182" s="952">
        <f>'4C2 Open-burning '!Z174</f>
        <v>3.4489815541760613</v>
      </c>
      <c r="I182" s="952">
        <f>'4C2 Open-burning '!AH174</f>
        <v>4.8015644467607504E-2</v>
      </c>
      <c r="J182" s="987">
        <f>'4D Wastewater treatment and dis'!AV211</f>
        <v>220.36879785205323</v>
      </c>
      <c r="K182" s="770">
        <f>'4D Wastewater treatment and dis'!AW211</f>
        <v>3.4733946157037967</v>
      </c>
      <c r="L182" s="771">
        <f t="shared" si="140"/>
        <v>9320.2211869588482</v>
      </c>
      <c r="M182" s="772">
        <f t="shared" si="131"/>
        <v>79.06204959744808</v>
      </c>
      <c r="N182" s="771">
        <f t="shared" si="132"/>
        <v>745.44218191879622</v>
      </c>
      <c r="O182" s="773">
        <f t="shared" si="133"/>
        <v>97.56396874433841</v>
      </c>
      <c r="P182" s="771">
        <f t="shared" si="134"/>
        <v>5704.4970857612952</v>
      </c>
      <c r="Q182" s="519">
        <f t="shared" si="135"/>
        <v>9320.2211869588482</v>
      </c>
      <c r="R182" s="521">
        <f t="shared" si="136"/>
        <v>824.50423151624432</v>
      </c>
      <c r="S182" s="518">
        <f t="shared" si="137"/>
        <v>97.56396874433841</v>
      </c>
      <c r="T182" s="519">
        <f t="shared" si="138"/>
        <v>5704.4970857612952</v>
      </c>
      <c r="U182" s="519">
        <f t="shared" si="139"/>
        <v>15946.786472980726</v>
      </c>
    </row>
    <row r="183" spans="1:21">
      <c r="A183">
        <f>'Input data'!A136</f>
        <v>2036</v>
      </c>
      <c r="C183" s="314">
        <f>'4A SWD Case 3'!BG106</f>
        <v>426.77745511470556</v>
      </c>
      <c r="D183" s="3">
        <f>'4B Biological treatment '!T236</f>
        <v>3.7866362754902951</v>
      </c>
      <c r="E183" s="178">
        <f>'4B Biological treatment '!U236</f>
        <v>18.933181377451472</v>
      </c>
      <c r="F183" s="178">
        <f>'4B Biological treatment '!W236</f>
        <v>1.1359908826470884</v>
      </c>
      <c r="G183" s="952">
        <f>'4C2 Open-burning '!R175</f>
        <v>10.223896303669529</v>
      </c>
      <c r="H183" s="952">
        <f>'4C2 Open-burning '!Z175</f>
        <v>3.4400280977902136</v>
      </c>
      <c r="I183" s="952">
        <f>'4C2 Open-burning '!AH175</f>
        <v>4.789099724296271E-2</v>
      </c>
      <c r="J183" s="987">
        <f>'4D Wastewater treatment and dis'!AV212</f>
        <v>222.07357374163959</v>
      </c>
      <c r="K183" s="770">
        <f>'4D Wastewater treatment and dis'!AW212</f>
        <v>3.5002648416776503</v>
      </c>
      <c r="L183" s="771">
        <f t="shared" si="140"/>
        <v>8962.3265574088164</v>
      </c>
      <c r="M183" s="772">
        <f t="shared" si="131"/>
        <v>79.519361785296198</v>
      </c>
      <c r="N183" s="771">
        <f t="shared" si="132"/>
        <v>749.75398254707829</v>
      </c>
      <c r="O183" s="773">
        <f t="shared" si="133"/>
        <v>97.310695502582462</v>
      </c>
      <c r="P183" s="771">
        <f t="shared" si="134"/>
        <v>5748.6271494945031</v>
      </c>
      <c r="Q183" s="519">
        <f t="shared" si="135"/>
        <v>8962.3265574088164</v>
      </c>
      <c r="R183" s="521">
        <f t="shared" si="136"/>
        <v>829.27334433237445</v>
      </c>
      <c r="S183" s="518">
        <f t="shared" si="137"/>
        <v>97.310695502582462</v>
      </c>
      <c r="T183" s="519">
        <f t="shared" si="138"/>
        <v>5748.6271494945031</v>
      </c>
      <c r="U183" s="519">
        <f t="shared" si="139"/>
        <v>15637.537746738277</v>
      </c>
    </row>
    <row r="184" spans="1:21">
      <c r="A184">
        <f>'Input data'!A137</f>
        <v>2037</v>
      </c>
      <c r="C184" s="314">
        <f>'4A SWD Case 3'!BG107</f>
        <v>410.57638739659888</v>
      </c>
      <c r="D184" s="3">
        <f>'4B Biological treatment '!T237</f>
        <v>3.8128114522200329</v>
      </c>
      <c r="E184" s="178">
        <f>'4B Biological treatment '!U237</f>
        <v>19.06405726110016</v>
      </c>
      <c r="F184" s="178">
        <f>'4B Biological treatment '!W237</f>
        <v>1.1438434356660097</v>
      </c>
      <c r="G184" s="952">
        <f>'4C2 Open-burning '!R176</f>
        <v>10.198442445945371</v>
      </c>
      <c r="H184" s="952">
        <f>'4C2 Open-burning '!Z176</f>
        <v>3.4314636539453733</v>
      </c>
      <c r="I184" s="952">
        <f>'4C2 Open-burning '!AH176</f>
        <v>4.777176572946891E-2</v>
      </c>
      <c r="J184" s="987">
        <f>'4D Wastewater treatment and dis'!AV213</f>
        <v>223.73766139583338</v>
      </c>
      <c r="K184" s="770">
        <f>'4D Wastewater treatment and dis'!AW213</f>
        <v>3.5264937504636227</v>
      </c>
      <c r="L184" s="771">
        <f t="shared" si="140"/>
        <v>8622.1041353285764</v>
      </c>
      <c r="M184" s="772">
        <f t="shared" si="131"/>
        <v>80.069040496620687</v>
      </c>
      <c r="N184" s="771">
        <f t="shared" si="132"/>
        <v>754.93666753956632</v>
      </c>
      <c r="O184" s="773">
        <f t="shared" si="133"/>
        <v>97.068426554933581</v>
      </c>
      <c r="P184" s="771">
        <f t="shared" si="134"/>
        <v>5791.703951956224</v>
      </c>
      <c r="Q184" s="519">
        <f t="shared" si="135"/>
        <v>8622.1041353285764</v>
      </c>
      <c r="R184" s="521">
        <f t="shared" si="136"/>
        <v>835.005708036187</v>
      </c>
      <c r="S184" s="518">
        <f t="shared" si="137"/>
        <v>97.068426554933581</v>
      </c>
      <c r="T184" s="519">
        <f t="shared" si="138"/>
        <v>5791.703951956224</v>
      </c>
      <c r="U184" s="519">
        <f t="shared" si="139"/>
        <v>15345.882221875921</v>
      </c>
    </row>
    <row r="185" spans="1:21">
      <c r="A185">
        <f>'Input data'!A138</f>
        <v>2038</v>
      </c>
      <c r="C185" s="314">
        <f>'4A SWD Case 3'!BG108</f>
        <v>395.54257983985093</v>
      </c>
      <c r="D185" s="3">
        <f>'4B Biological treatment '!T238</f>
        <v>3.8406777834432839</v>
      </c>
      <c r="E185" s="178">
        <f>'4B Biological treatment '!U238</f>
        <v>19.203388917216415</v>
      </c>
      <c r="F185" s="178">
        <f>'4B Biological treatment '!W238</f>
        <v>1.152203335032985</v>
      </c>
      <c r="G185" s="952">
        <f>'4C2 Open-burning '!R177</f>
        <v>10.174109056797926</v>
      </c>
      <c r="H185" s="952">
        <f>'4C2 Open-burning '!Z177</f>
        <v>3.423276213473033</v>
      </c>
      <c r="I185" s="952">
        <f>'4C2 Open-burning '!AH177</f>
        <v>4.7657782739231228E-2</v>
      </c>
      <c r="J185" s="987">
        <f>'4D Wastewater treatment and dis'!AV214</f>
        <v>225.35993861428059</v>
      </c>
      <c r="K185" s="770">
        <f>'4D Wastewater treatment and dis'!AW214</f>
        <v>3.5520636542370059</v>
      </c>
      <c r="L185" s="771">
        <f t="shared" si="140"/>
        <v>8306.3941766368698</v>
      </c>
      <c r="M185" s="772">
        <f t="shared" si="131"/>
        <v>80.654233452308958</v>
      </c>
      <c r="N185" s="771">
        <f t="shared" si="132"/>
        <v>760.4542011217701</v>
      </c>
      <c r="O185" s="773">
        <f t="shared" si="133"/>
        <v>96.836822188893308</v>
      </c>
      <c r="P185" s="771">
        <f t="shared" si="134"/>
        <v>5833.6984437133642</v>
      </c>
      <c r="Q185" s="519">
        <f t="shared" si="135"/>
        <v>8306.3941766368698</v>
      </c>
      <c r="R185" s="521">
        <f t="shared" si="136"/>
        <v>841.10843457407907</v>
      </c>
      <c r="S185" s="518">
        <f t="shared" si="137"/>
        <v>96.836822188893308</v>
      </c>
      <c r="T185" s="519">
        <f t="shared" si="138"/>
        <v>5833.6984437133642</v>
      </c>
      <c r="U185" s="519">
        <f t="shared" si="139"/>
        <v>15078.037877113205</v>
      </c>
    </row>
    <row r="186" spans="1:21">
      <c r="A186">
        <f>'Input data'!A139</f>
        <v>2039</v>
      </c>
      <c r="C186" s="314">
        <f>'4A SWD Case 3'!BG109</f>
        <v>381.74508688986339</v>
      </c>
      <c r="D186" s="3">
        <f>'4B Biological treatment '!T239</f>
        <v>3.8702677842288065</v>
      </c>
      <c r="E186" s="178">
        <f>'4B Biological treatment '!U239</f>
        <v>19.351338921144027</v>
      </c>
      <c r="F186" s="178">
        <f>'4B Biological treatment '!W239</f>
        <v>1.1610803352686416</v>
      </c>
      <c r="G186" s="952">
        <f>'4C2 Open-burning '!R178</f>
        <v>10.150794866315531</v>
      </c>
      <c r="H186" s="952">
        <f>'4C2 Open-burning '!Z178</f>
        <v>3.415431702148334</v>
      </c>
      <c r="I186" s="952">
        <f>'4C2 Open-burning '!AH178</f>
        <v>4.7548573901528751E-2</v>
      </c>
      <c r="J186" s="987">
        <f>'4D Wastewater treatment and dis'!AV215</f>
        <v>226.94394200253512</v>
      </c>
      <c r="K186" s="770">
        <f>'4D Wastewater treatment and dis'!AW215</f>
        <v>3.5770302960376927</v>
      </c>
      <c r="L186" s="771">
        <f t="shared" si="140"/>
        <v>8016.6468246871309</v>
      </c>
      <c r="M186" s="772">
        <f t="shared" si="131"/>
        <v>81.275623468804937</v>
      </c>
      <c r="N186" s="771">
        <f t="shared" si="132"/>
        <v>766.31302127730351</v>
      </c>
      <c r="O186" s="773">
        <f t="shared" si="133"/>
        <v>96.614918520904467</v>
      </c>
      <c r="P186" s="771">
        <f t="shared" si="134"/>
        <v>5874.7021738249223</v>
      </c>
      <c r="Q186" s="519">
        <f t="shared" si="135"/>
        <v>8016.6468246871309</v>
      </c>
      <c r="R186" s="521">
        <f t="shared" si="136"/>
        <v>847.58864474610846</v>
      </c>
      <c r="S186" s="518">
        <f t="shared" si="137"/>
        <v>96.614918520904467</v>
      </c>
      <c r="T186" s="519">
        <f t="shared" si="138"/>
        <v>5874.7021738249223</v>
      </c>
      <c r="U186" s="519">
        <f t="shared" si="139"/>
        <v>14835.552561779066</v>
      </c>
    </row>
    <row r="187" spans="1:21">
      <c r="A187">
        <f>'Input data'!A140</f>
        <v>2040</v>
      </c>
      <c r="C187" s="314">
        <f>'4A SWD Case 3'!BG110</f>
        <v>369.13826320424687</v>
      </c>
      <c r="D187" s="3">
        <f>'4B Biological treatment '!T240</f>
        <v>3.9011799723100076</v>
      </c>
      <c r="E187" s="178">
        <f>'4B Biological treatment '!U240</f>
        <v>19.505899861550034</v>
      </c>
      <c r="F187" s="178">
        <f>'4B Biological treatment '!W240</f>
        <v>1.1703539916930021</v>
      </c>
      <c r="G187" s="952">
        <f>'4C2 Open-burning '!R179</f>
        <v>10.128470376692016</v>
      </c>
      <c r="H187" s="952">
        <f>'4C2 Open-burning '!Z179</f>
        <v>3.407920194862589</v>
      </c>
      <c r="I187" s="952">
        <f>'4C2 Open-burning '!AH179</f>
        <v>4.7444001042096826E-2</v>
      </c>
      <c r="J187" s="987">
        <f>'4D Wastewater treatment and dis'!AV216</f>
        <v>228.48869065252686</v>
      </c>
      <c r="K187" s="770">
        <f>'4D Wastewater treatment and dis'!AW216</f>
        <v>3.6013782150525211</v>
      </c>
      <c r="L187" s="771">
        <f t="shared" si="140"/>
        <v>7751.9035272891842</v>
      </c>
      <c r="M187" s="772">
        <f t="shared" si="131"/>
        <v>81.924779418510155</v>
      </c>
      <c r="N187" s="771">
        <f t="shared" si="132"/>
        <v>772.43363451738128</v>
      </c>
      <c r="O187" s="773">
        <f t="shared" si="133"/>
        <v>96.402434791856408</v>
      </c>
      <c r="P187" s="771">
        <f t="shared" si="134"/>
        <v>5914.6897503693453</v>
      </c>
      <c r="Q187" s="519">
        <f t="shared" si="135"/>
        <v>7751.9035272891842</v>
      </c>
      <c r="R187" s="521">
        <f t="shared" si="136"/>
        <v>854.35841393589146</v>
      </c>
      <c r="S187" s="518">
        <f t="shared" si="137"/>
        <v>96.402434791856408</v>
      </c>
      <c r="T187" s="519">
        <f t="shared" si="138"/>
        <v>5914.6897503693453</v>
      </c>
      <c r="U187" s="519">
        <f t="shared" si="139"/>
        <v>14617.354126386277</v>
      </c>
    </row>
    <row r="188" spans="1:21">
      <c r="A188">
        <f>'Input data'!A141</f>
        <v>2041</v>
      </c>
      <c r="C188" s="314">
        <f>'4A SWD Case 3'!BG111</f>
        <v>357.6781777382775</v>
      </c>
      <c r="D188" s="3">
        <f>'4B Biological treatment '!T241</f>
        <v>3.933126476900406</v>
      </c>
      <c r="E188" s="178">
        <f>'4B Biological treatment '!U241</f>
        <v>19.665632384502029</v>
      </c>
      <c r="F188" s="178">
        <f>'4B Biological treatment '!W241</f>
        <v>1.1799379430701218</v>
      </c>
      <c r="G188" s="952">
        <f>'4C2 Open-burning '!R180</f>
        <v>10.107107705652387</v>
      </c>
      <c r="H188" s="952">
        <f>'4C2 Open-burning '!Z180</f>
        <v>3.4007323100838871</v>
      </c>
      <c r="I188" s="952">
        <f>'4C2 Open-burning '!AH180</f>
        <v>4.7343933554176973E-2</v>
      </c>
      <c r="J188" s="987">
        <f>'4D Wastewater treatment and dis'!AV217</f>
        <v>229.99322269099028</v>
      </c>
      <c r="K188" s="770">
        <f>'4D Wastewater treatment and dis'!AW217</f>
        <v>3.6250922504898839</v>
      </c>
      <c r="L188" s="771">
        <f t="shared" si="140"/>
        <v>7511.2417325038277</v>
      </c>
      <c r="M188" s="772">
        <f t="shared" si="131"/>
        <v>82.595656014908528</v>
      </c>
      <c r="N188" s="771">
        <f t="shared" si="132"/>
        <v>778.7590424262803</v>
      </c>
      <c r="O188" s="773">
        <f t="shared" si="133"/>
        <v>96.199105619208879</v>
      </c>
      <c r="P188" s="771">
        <f t="shared" si="134"/>
        <v>5953.6362741626599</v>
      </c>
      <c r="Q188" s="519">
        <f t="shared" si="135"/>
        <v>7511.2417325038277</v>
      </c>
      <c r="R188" s="521">
        <f t="shared" si="136"/>
        <v>861.35469844118882</v>
      </c>
      <c r="S188" s="518">
        <f t="shared" si="137"/>
        <v>96.199105619208879</v>
      </c>
      <c r="T188" s="519">
        <f t="shared" si="138"/>
        <v>5953.6362741626599</v>
      </c>
      <c r="U188" s="519">
        <f t="shared" si="139"/>
        <v>14422.431810726886</v>
      </c>
    </row>
    <row r="189" spans="1:21">
      <c r="A189">
        <f>'Input data'!A142</f>
        <v>2042</v>
      </c>
      <c r="C189" s="314">
        <f>'4A SWD Case 3'!BG112</f>
        <v>346.94068583831944</v>
      </c>
      <c r="D189" s="3">
        <f>'4B Biological treatment '!T242</f>
        <v>3.9631045223960841</v>
      </c>
      <c r="E189" s="178">
        <f>'4B Biological treatment '!U242</f>
        <v>19.81552261198042</v>
      </c>
      <c r="F189" s="178">
        <f>'4B Biological treatment '!W242</f>
        <v>1.1889313567188253</v>
      </c>
      <c r="G189" s="952">
        <f>'4C2 Open-burning '!R181</f>
        <v>10.086680504195472</v>
      </c>
      <c r="H189" s="952">
        <f>'4C2 Open-burning '!Z181</f>
        <v>3.3938591821800186</v>
      </c>
      <c r="I189" s="952">
        <f>'4C2 Open-burning '!AH181</f>
        <v>4.7248248013205332E-2</v>
      </c>
      <c r="J189" s="987">
        <f>'4D Wastewater treatment and dis'!AV218</f>
        <v>231.45659627174089</v>
      </c>
      <c r="K189" s="770">
        <f>'4D Wastewater treatment and dis'!AW218</f>
        <v>3.6481575572197178</v>
      </c>
      <c r="L189" s="771">
        <f t="shared" si="140"/>
        <v>7285.754402604708</v>
      </c>
      <c r="M189" s="772">
        <f t="shared" si="131"/>
        <v>83.225194970317773</v>
      </c>
      <c r="N189" s="771">
        <f t="shared" si="132"/>
        <v>784.6946954344246</v>
      </c>
      <c r="O189" s="773">
        <f t="shared" si="133"/>
        <v>96.004680214069509</v>
      </c>
      <c r="P189" s="771">
        <f t="shared" si="134"/>
        <v>5991.5173644446713</v>
      </c>
      <c r="Q189" s="519">
        <f t="shared" si="135"/>
        <v>7285.754402604708</v>
      </c>
      <c r="R189" s="521">
        <f t="shared" si="136"/>
        <v>867.91989040474232</v>
      </c>
      <c r="S189" s="518">
        <f t="shared" si="137"/>
        <v>96.004680214069509</v>
      </c>
      <c r="T189" s="519">
        <f t="shared" si="138"/>
        <v>5991.5173644446713</v>
      </c>
      <c r="U189" s="519">
        <f t="shared" si="139"/>
        <v>14241.196337668191</v>
      </c>
    </row>
    <row r="190" spans="1:21">
      <c r="A190">
        <f>'Input data'!A143</f>
        <v>2043</v>
      </c>
      <c r="C190" s="314">
        <f>'4A SWD Case 3'!BG113</f>
        <v>336.89027554261219</v>
      </c>
      <c r="D190" s="3">
        <f>'4B Biological treatment '!T243</f>
        <v>3.9937174693496127</v>
      </c>
      <c r="E190" s="178">
        <f>'4B Biological treatment '!U243</f>
        <v>19.968587346748063</v>
      </c>
      <c r="F190" s="178">
        <f>'4B Biological treatment '!W243</f>
        <v>1.1981152408048836</v>
      </c>
      <c r="G190" s="952">
        <f>'4C2 Open-burning '!R182</f>
        <v>10.067163880196841</v>
      </c>
      <c r="H190" s="952">
        <f>'4C2 Open-burning '!Z182</f>
        <v>3.3872924357131948</v>
      </c>
      <c r="I190" s="952">
        <f>'4C2 Open-burning '!AH182</f>
        <v>4.715682781895171E-2</v>
      </c>
      <c r="J190" s="987">
        <f>'4D Wastewater treatment and dis'!AV219</f>
        <v>232.87789055291285</v>
      </c>
      <c r="K190" s="770">
        <f>'4D Wastewater treatment and dis'!AW219</f>
        <v>3.6705596211764653</v>
      </c>
      <c r="L190" s="771">
        <f t="shared" si="140"/>
        <v>7074.6957863948555</v>
      </c>
      <c r="M190" s="772">
        <f t="shared" si="131"/>
        <v>83.868066856341869</v>
      </c>
      <c r="N190" s="771">
        <f t="shared" si="132"/>
        <v>790.75605893122327</v>
      </c>
      <c r="O190" s="773">
        <f t="shared" si="133"/>
        <v>95.818921654048964</v>
      </c>
      <c r="P190" s="771">
        <f t="shared" si="134"/>
        <v>6028.3091841758742</v>
      </c>
      <c r="Q190" s="519">
        <f t="shared" si="135"/>
        <v>7074.6957863948555</v>
      </c>
      <c r="R190" s="521">
        <f t="shared" si="136"/>
        <v>874.62412578756516</v>
      </c>
      <c r="S190" s="518">
        <f t="shared" si="137"/>
        <v>95.818921654048964</v>
      </c>
      <c r="T190" s="519">
        <f t="shared" si="138"/>
        <v>6028.3091841758742</v>
      </c>
      <c r="U190" s="519">
        <f t="shared" si="139"/>
        <v>14073.448018012343</v>
      </c>
    </row>
    <row r="191" spans="1:21">
      <c r="A191">
        <f>'Input data'!A144</f>
        <v>2044</v>
      </c>
      <c r="C191" s="314">
        <f>'4A SWD Case 3'!BG114</f>
        <v>327.49528300535428</v>
      </c>
      <c r="D191" s="3">
        <f>'4B Biological treatment '!T244</f>
        <v>4.0249986075411348</v>
      </c>
      <c r="E191" s="178">
        <f>'4B Biological treatment '!U244</f>
        <v>20.124993037705671</v>
      </c>
      <c r="F191" s="178">
        <f>'4B Biological treatment '!W244</f>
        <v>1.2074995822623402</v>
      </c>
      <c r="G191" s="952">
        <f>'4C2 Open-burning '!R183</f>
        <v>10.048531743159943</v>
      </c>
      <c r="H191" s="952">
        <f>'4C2 Open-burning '!Z183</f>
        <v>3.381023292030096</v>
      </c>
      <c r="I191" s="952">
        <f>'4C2 Open-burning '!AH183</f>
        <v>4.7069550757745181E-2</v>
      </c>
      <c r="J191" s="987">
        <f>'4D Wastewater treatment and dis'!AV220</f>
        <v>234.25639934533061</v>
      </c>
      <c r="K191" s="770">
        <f>'4D Wastewater treatment and dis'!AW220</f>
        <v>3.6922873115934127</v>
      </c>
      <c r="L191" s="771">
        <f t="shared" si="140"/>
        <v>6877.4009431124396</v>
      </c>
      <c r="M191" s="772">
        <f t="shared" si="131"/>
        <v>84.524970758363835</v>
      </c>
      <c r="N191" s="771">
        <f t="shared" si="132"/>
        <v>796.94972429314453</v>
      </c>
      <c r="O191" s="773">
        <f t="shared" si="133"/>
        <v>95.641581610692967</v>
      </c>
      <c r="P191" s="771">
        <f t="shared" si="134"/>
        <v>6063.9934528459007</v>
      </c>
      <c r="Q191" s="519">
        <f t="shared" si="135"/>
        <v>6877.4009431124396</v>
      </c>
      <c r="R191" s="521">
        <f t="shared" si="136"/>
        <v>881.47469505150832</v>
      </c>
      <c r="S191" s="518">
        <f t="shared" si="137"/>
        <v>95.641581610692967</v>
      </c>
      <c r="T191" s="519">
        <f t="shared" si="138"/>
        <v>6063.9934528459007</v>
      </c>
      <c r="U191" s="519">
        <f t="shared" si="139"/>
        <v>13918.510672620541</v>
      </c>
    </row>
    <row r="192" spans="1:21">
      <c r="A192">
        <f>'Input data'!A145</f>
        <v>2045</v>
      </c>
      <c r="C192" s="314">
        <f>'4A SWD Case 3'!BG115</f>
        <v>318.72548952641569</v>
      </c>
      <c r="D192" s="3">
        <f>'4B Biological treatment '!T245</f>
        <v>4.0577075450701816</v>
      </c>
      <c r="E192" s="178">
        <f>'4B Biological treatment '!U245</f>
        <v>20.288537725350906</v>
      </c>
      <c r="F192" s="178">
        <f>'4B Biological treatment '!W245</f>
        <v>1.2173122635210545</v>
      </c>
      <c r="G192" s="952">
        <f>'4C2 Open-burning '!R184</f>
        <v>10.030761976872286</v>
      </c>
      <c r="H192" s="952">
        <f>'4C2 Open-burning '!Z184</f>
        <v>3.3750443097023153</v>
      </c>
      <c r="I192" s="952">
        <f>'4C2 Open-burning '!AH184</f>
        <v>4.6986313232342578E-2</v>
      </c>
      <c r="J192" s="987">
        <f>'4D Wastewater treatment and dis'!AV221</f>
        <v>235.59125005915769</v>
      </c>
      <c r="K192" s="770">
        <f>'4D Wastewater treatment and dis'!AW221</f>
        <v>3.7133268749407069</v>
      </c>
      <c r="L192" s="771">
        <f t="shared" si="140"/>
        <v>6693.2352800547296</v>
      </c>
      <c r="M192" s="772">
        <f t="shared" si="131"/>
        <v>85.211858446473812</v>
      </c>
      <c r="N192" s="771">
        <f t="shared" si="132"/>
        <v>803.42609392389591</v>
      </c>
      <c r="O192" s="773">
        <f t="shared" si="133"/>
        <v>95.472449582647101</v>
      </c>
      <c r="P192" s="771">
        <f t="shared" si="134"/>
        <v>6098.5475824739315</v>
      </c>
      <c r="Q192" s="519">
        <f t="shared" si="135"/>
        <v>6693.2352800547296</v>
      </c>
      <c r="R192" s="521">
        <f t="shared" si="136"/>
        <v>888.6379523703697</v>
      </c>
      <c r="S192" s="518">
        <f t="shared" si="137"/>
        <v>95.472449582647101</v>
      </c>
      <c r="T192" s="519">
        <f t="shared" si="138"/>
        <v>6098.5475824739315</v>
      </c>
      <c r="U192" s="519">
        <f t="shared" si="139"/>
        <v>13775.893264481678</v>
      </c>
    </row>
    <row r="193" spans="1:21">
      <c r="A193">
        <f>'Input data'!A146</f>
        <v>2046</v>
      </c>
      <c r="C193" s="314">
        <f>'4A SWD Case 3'!BG116</f>
        <v>310.55268553250136</v>
      </c>
      <c r="D193" s="3">
        <f>'4B Biological treatment '!T246</f>
        <v>4.091270401621272</v>
      </c>
      <c r="E193" s="178">
        <f>'4B Biological treatment '!U246</f>
        <v>20.456352008106357</v>
      </c>
      <c r="F193" s="178">
        <f>'4B Biological treatment '!W246</f>
        <v>1.2273811204863814</v>
      </c>
      <c r="G193" s="952">
        <f>'4C2 Open-burning '!R185</f>
        <v>10.013833716749664</v>
      </c>
      <c r="H193" s="952">
        <f>'4C2 Open-burning '!Z185</f>
        <v>3.3693484684360433</v>
      </c>
      <c r="I193" s="952">
        <f>'4C2 Open-burning '!AH185</f>
        <v>4.6907017508405147E-2</v>
      </c>
      <c r="J193" s="987">
        <f>'4D Wastewater treatment and dis'!AV222</f>
        <v>236.88159371811045</v>
      </c>
      <c r="K193" s="770">
        <f>'4D Wastewater treatment and dis'!AW222</f>
        <v>3.7336649298790605</v>
      </c>
      <c r="L193" s="771">
        <f t="shared" si="140"/>
        <v>6521.6063961825284</v>
      </c>
      <c r="M193" s="772">
        <f t="shared" si="131"/>
        <v>85.916678434046716</v>
      </c>
      <c r="N193" s="771">
        <f t="shared" si="132"/>
        <v>810.07153952101169</v>
      </c>
      <c r="O193" s="773">
        <f t="shared" si="133"/>
        <v>95.311326981512167</v>
      </c>
      <c r="P193" s="771">
        <f t="shared" si="134"/>
        <v>6131.949596342828</v>
      </c>
      <c r="Q193" s="519">
        <f t="shared" si="135"/>
        <v>6521.6063961825284</v>
      </c>
      <c r="R193" s="521">
        <f t="shared" si="136"/>
        <v>895.98821795505842</v>
      </c>
      <c r="S193" s="518">
        <f t="shared" si="137"/>
        <v>95.311326981512167</v>
      </c>
      <c r="T193" s="519">
        <f t="shared" si="138"/>
        <v>6131.949596342828</v>
      </c>
      <c r="U193" s="519">
        <f t="shared" si="139"/>
        <v>13644.855537461928</v>
      </c>
    </row>
    <row r="194" spans="1:21">
      <c r="A194">
        <f>'Input data'!A147</f>
        <v>2047</v>
      </c>
      <c r="C194" s="314">
        <f>'4A SWD Case 3'!BG117</f>
        <v>302.90779456590724</v>
      </c>
      <c r="D194" s="3">
        <f>'4B Biological treatment '!T247</f>
        <v>4.1118962130213248</v>
      </c>
      <c r="E194" s="178">
        <f>'4B Biological treatment '!U247</f>
        <v>20.55948106510662</v>
      </c>
      <c r="F194" s="178">
        <f>'4B Biological treatment '!W247</f>
        <v>1.2335688639063971</v>
      </c>
      <c r="G194" s="952">
        <f>'4C2 Open-burning '!R186</f>
        <v>9.9977272932780465</v>
      </c>
      <c r="H194" s="952">
        <f>'4C2 Open-burning '!Z186</f>
        <v>3.3639291500419994</v>
      </c>
      <c r="I194" s="952">
        <f>'4C2 Open-burning '!AH186</f>
        <v>4.683157144956783E-2</v>
      </c>
      <c r="J194" s="987">
        <f>'4D Wastewater treatment and dis'!AV223</f>
        <v>238.12660585564302</v>
      </c>
      <c r="K194" s="770">
        <f>'4D Wastewater treatment and dis'!AW223</f>
        <v>3.753288481385181</v>
      </c>
      <c r="L194" s="771">
        <f t="shared" si="140"/>
        <v>6361.0636858840517</v>
      </c>
      <c r="M194" s="772">
        <f t="shared" si="131"/>
        <v>86.349820473447821</v>
      </c>
      <c r="N194" s="771">
        <f t="shared" si="132"/>
        <v>814.15545017822205</v>
      </c>
      <c r="O194" s="773">
        <f t="shared" si="133"/>
        <v>95.15802659352606</v>
      </c>
      <c r="P194" s="771">
        <f t="shared" si="134"/>
        <v>6164.1781521979101</v>
      </c>
      <c r="Q194" s="519">
        <f t="shared" si="135"/>
        <v>6361.0636858840517</v>
      </c>
      <c r="R194" s="521">
        <f t="shared" si="136"/>
        <v>900.50527065166989</v>
      </c>
      <c r="S194" s="518">
        <f t="shared" si="137"/>
        <v>95.15802659352606</v>
      </c>
      <c r="T194" s="519">
        <f t="shared" si="138"/>
        <v>6164.1781521979101</v>
      </c>
      <c r="U194" s="519">
        <f t="shared" si="139"/>
        <v>13520.905135327157</v>
      </c>
    </row>
    <row r="195" spans="1:21">
      <c r="A195">
        <f>'Input data'!A148</f>
        <v>2048</v>
      </c>
      <c r="C195" s="314">
        <f>'4A SWD Case 3'!BG118</f>
        <v>295.75424832912125</v>
      </c>
      <c r="D195" s="3">
        <f>'4B Biological treatment '!T248</f>
        <v>4.1306080940835326</v>
      </c>
      <c r="E195" s="178">
        <f>'4B Biological treatment '!U248</f>
        <v>20.653040470417661</v>
      </c>
      <c r="F195" s="178">
        <f>'4B Biological treatment '!W248</f>
        <v>1.2391824282250596</v>
      </c>
      <c r="G195" s="952">
        <f>'4C2 Open-burning '!R187</f>
        <v>9.9824241794746182</v>
      </c>
      <c r="H195" s="952">
        <f>'4C2 Open-burning '!Z187</f>
        <v>3.3587801207576762</v>
      </c>
      <c r="I195" s="952">
        <f>'4C2 Open-burning '!AH187</f>
        <v>4.675988827133512E-2</v>
      </c>
      <c r="J195" s="987">
        <f>'4D Wastewater treatment and dis'!AV224</f>
        <v>239.32548738952781</v>
      </c>
      <c r="K195" s="770">
        <f>'4D Wastewater treatment and dis'!AW224</f>
        <v>3.7721849345366727</v>
      </c>
      <c r="L195" s="771">
        <f t="shared" si="140"/>
        <v>6210.8392149115462</v>
      </c>
      <c r="M195" s="772">
        <f t="shared" si="131"/>
        <v>86.742769975754186</v>
      </c>
      <c r="N195" s="771">
        <f t="shared" si="132"/>
        <v>817.8604026285393</v>
      </c>
      <c r="O195" s="773">
        <f t="shared" si="133"/>
        <v>95.012372079499713</v>
      </c>
      <c r="P195" s="771">
        <f t="shared" si="134"/>
        <v>6195.212564886453</v>
      </c>
      <c r="Q195" s="519">
        <f t="shared" si="135"/>
        <v>6210.8392149115462</v>
      </c>
      <c r="R195" s="521">
        <f t="shared" si="136"/>
        <v>904.60317260429349</v>
      </c>
      <c r="S195" s="518">
        <f t="shared" si="137"/>
        <v>95.012372079499713</v>
      </c>
      <c r="T195" s="519">
        <f t="shared" si="138"/>
        <v>6195.212564886453</v>
      </c>
      <c r="U195" s="519">
        <f t="shared" si="139"/>
        <v>13405.667324481794</v>
      </c>
    </row>
    <row r="196" spans="1:21">
      <c r="A196">
        <f>'Input data'!A149</f>
        <v>2049</v>
      </c>
      <c r="C196" s="314">
        <f>'4A SWD Case 3'!BG119</f>
        <v>289.06669339510205</v>
      </c>
      <c r="D196" s="3">
        <f>'4B Biological treatment '!T249</f>
        <v>4.1505476006923123</v>
      </c>
      <c r="E196" s="178">
        <f>'4B Biological treatment '!U249</f>
        <v>20.752738003461559</v>
      </c>
      <c r="F196" s="178">
        <f>'4B Biological treatment '!W249</f>
        <v>1.2451642802076937</v>
      </c>
      <c r="G196" s="952">
        <f>'4C2 Open-burning '!R188</f>
        <v>9.9679150350377022</v>
      </c>
      <c r="H196" s="952">
        <f>'4C2 Open-burning '!Z188</f>
        <v>3.3538982378575177</v>
      </c>
      <c r="I196" s="952">
        <f>'4C2 Open-burning '!AH188</f>
        <v>4.669192422166292E-2</v>
      </c>
      <c r="J196" s="987">
        <f>'4D Wastewater treatment and dis'!AV225</f>
        <v>240.47681925044208</v>
      </c>
      <c r="K196" s="770">
        <f>'4D Wastewater treatment and dis'!AW225</f>
        <v>3.790331922338789</v>
      </c>
      <c r="L196" s="771">
        <f t="shared" si="140"/>
        <v>6070.4005612971432</v>
      </c>
      <c r="M196" s="772">
        <f t="shared" si="131"/>
        <v>87.161499614538556</v>
      </c>
      <c r="N196" s="771">
        <f t="shared" si="132"/>
        <v>821.80842493707769</v>
      </c>
      <c r="O196" s="773">
        <f t="shared" si="133"/>
        <v>94.874274538761085</v>
      </c>
      <c r="P196" s="771">
        <f t="shared" si="134"/>
        <v>6225.016100184308</v>
      </c>
      <c r="Q196" s="519">
        <f t="shared" si="135"/>
        <v>6070.4005612971432</v>
      </c>
      <c r="R196" s="521">
        <f t="shared" si="136"/>
        <v>908.96992455161626</v>
      </c>
      <c r="S196" s="518">
        <f t="shared" si="137"/>
        <v>94.874274538761085</v>
      </c>
      <c r="T196" s="519">
        <f t="shared" si="138"/>
        <v>6225.016100184308</v>
      </c>
      <c r="U196" s="519">
        <f t="shared" si="139"/>
        <v>13299.260860571829</v>
      </c>
    </row>
    <row r="197" spans="1:21">
      <c r="A197">
        <f>'Input data'!A150</f>
        <v>2050</v>
      </c>
      <c r="C197" s="314">
        <f>'4A SWD Case 3'!BG120</f>
        <v>282.82363992095298</v>
      </c>
      <c r="D197" s="3">
        <f>'4B Biological treatment '!T250</f>
        <v>4.1691497914321864</v>
      </c>
      <c r="E197" s="178">
        <f>'4B Biological treatment '!U250</f>
        <v>20.845748957160932</v>
      </c>
      <c r="F197" s="178">
        <f>'4B Biological treatment '!W250</f>
        <v>1.250744937429656</v>
      </c>
      <c r="G197" s="952">
        <f>'4C2 Open-burning '!R189</f>
        <v>9.9541833012431571</v>
      </c>
      <c r="H197" s="952">
        <f>'4C2 Open-burning '!Z189</f>
        <v>3.3492779298377999</v>
      </c>
      <c r="I197" s="952">
        <f>'4C2 Open-burning '!AH189</f>
        <v>4.662760173581576E-2</v>
      </c>
      <c r="J197" s="987">
        <f>'4D Wastewater treatment and dis'!AV226</f>
        <v>241.57984647045004</v>
      </c>
      <c r="K197" s="770">
        <f>'4D Wastewater treatment and dis'!AW226</f>
        <v>3.8077175451869141</v>
      </c>
      <c r="L197" s="771">
        <f t="shared" si="140"/>
        <v>5939.2964383400131</v>
      </c>
      <c r="M197" s="772">
        <f t="shared" si="131"/>
        <v>87.552145620075919</v>
      </c>
      <c r="N197" s="771">
        <f t="shared" si="132"/>
        <v>825.49165870357297</v>
      </c>
      <c r="O197" s="773">
        <f t="shared" si="133"/>
        <v>94.743576365939845</v>
      </c>
      <c r="P197" s="771">
        <f t="shared" si="134"/>
        <v>6253.5692148873932</v>
      </c>
      <c r="Q197" s="471">
        <f t="shared" si="135"/>
        <v>5939.2964383400131</v>
      </c>
      <c r="R197" s="517">
        <f t="shared" si="136"/>
        <v>913.04380432364883</v>
      </c>
      <c r="S197" s="514">
        <f t="shared" si="137"/>
        <v>94.743576365939845</v>
      </c>
      <c r="T197" s="471">
        <f t="shared" si="138"/>
        <v>6253.5692148873932</v>
      </c>
      <c r="U197" s="471">
        <f t="shared" si="139"/>
        <v>13200.653033916995</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820.5169947820342</v>
      </c>
      <c r="D199" s="3">
        <f>'4B Biological treatment '!T252</f>
        <v>0.67299813826043153</v>
      </c>
      <c r="E199" s="178">
        <f>'4B Biological treatment '!U252</f>
        <v>18.624978520236688</v>
      </c>
      <c r="F199" s="178">
        <f>'4B Biological treatment '!W252</f>
        <v>1.1174987112142012</v>
      </c>
      <c r="G199" s="952">
        <f>'4C2 Open-burning '!R157</f>
        <v>32.917048058163878</v>
      </c>
      <c r="H199" s="952">
        <f>'4C2 Open-burning '!Z157</f>
        <v>11.075578903881524</v>
      </c>
      <c r="I199" s="952">
        <f>'4C2 Open-burning '!AH157</f>
        <v>0.15419075184029302</v>
      </c>
      <c r="J199" s="987">
        <f>'4D Wastewater treatment and dis'!AV194</f>
        <v>137.16052165703309</v>
      </c>
      <c r="K199" s="770">
        <f>'4D Wastewater treatment and dis'!AW194</f>
        <v>2.8960026873618072</v>
      </c>
      <c r="L199" s="771">
        <f>C199*$B$3</f>
        <v>17230.856890422718</v>
      </c>
      <c r="M199" s="772">
        <f t="shared" ref="M199:M231" si="146">D199*$B$3</f>
        <v>14.132960903469062</v>
      </c>
      <c r="N199" s="771">
        <f t="shared" ref="N199:N231" si="147">E199*$B$3+F199*$C$3</f>
        <v>737.5491494013728</v>
      </c>
      <c r="O199" s="773">
        <f t="shared" ref="O199:O231" si="148">G199+H199*$B$3+I199*$C$3</f>
        <v>313.30333811016669</v>
      </c>
      <c r="P199" s="771">
        <f t="shared" ref="P199:P231" si="149">J199*$B$3+K199*$C$3</f>
        <v>3778.1317878798554</v>
      </c>
      <c r="Q199" s="471">
        <f t="shared" si="141"/>
        <v>17230.856890422718</v>
      </c>
      <c r="R199" s="517">
        <f t="shared" si="142"/>
        <v>751.6821103048419</v>
      </c>
      <c r="S199" s="514">
        <f t="shared" si="143"/>
        <v>313.30333811016669</v>
      </c>
      <c r="T199" s="471">
        <f t="shared" si="144"/>
        <v>3778.1317878798554</v>
      </c>
      <c r="U199" s="471">
        <f t="shared" si="145"/>
        <v>22073.974126717581</v>
      </c>
    </row>
    <row r="200" spans="1:21">
      <c r="A200">
        <f>'Input data'!A119</f>
        <v>2019</v>
      </c>
      <c r="C200" s="314">
        <f>'4A SWD Case 3'!BN89</f>
        <v>801.90031185312534</v>
      </c>
      <c r="D200" s="3">
        <f>'4B Biological treatment '!T253</f>
        <v>1.1270981370903062</v>
      </c>
      <c r="E200" s="178">
        <f>'4B Biological treatment '!U253</f>
        <v>17.890645222918781</v>
      </c>
      <c r="F200" s="178">
        <f>'4B Biological treatment '!W253</f>
        <v>1.0734387133751269</v>
      </c>
      <c r="G200" s="952">
        <f>'4C2 Open-burning '!R158</f>
        <v>32.340305277661429</v>
      </c>
      <c r="H200" s="952">
        <f>'4C2 Open-burning '!Z158</f>
        <v>10.881522615437561</v>
      </c>
      <c r="I200" s="952">
        <f>'4C2 Open-burning '!AH158</f>
        <v>0.15148916077456326</v>
      </c>
      <c r="J200" s="987">
        <f>'4D Wastewater treatment and dis'!AV195</f>
        <v>143.32271319274017</v>
      </c>
      <c r="K200" s="770">
        <f>'4D Wastewater treatment and dis'!AW195</f>
        <v>2.9428357992270668</v>
      </c>
      <c r="L200" s="771">
        <f t="shared" ref="L200:L231" si="150">C200*$B$3</f>
        <v>16839.906548915631</v>
      </c>
      <c r="M200" s="772">
        <f t="shared" si="146"/>
        <v>23.669060878896428</v>
      </c>
      <c r="N200" s="771">
        <f t="shared" si="147"/>
        <v>708.46955082758382</v>
      </c>
      <c r="O200" s="773">
        <f t="shared" si="148"/>
        <v>307.81392004196488</v>
      </c>
      <c r="P200" s="771">
        <f t="shared" si="149"/>
        <v>3922.0560748079342</v>
      </c>
      <c r="Q200" s="519">
        <f t="shared" si="141"/>
        <v>16839.906548915631</v>
      </c>
      <c r="R200" s="521">
        <f t="shared" si="142"/>
        <v>732.13861170648022</v>
      </c>
      <c r="S200" s="518">
        <f t="shared" si="143"/>
        <v>307.81392004196488</v>
      </c>
      <c r="T200" s="519">
        <f t="shared" si="144"/>
        <v>3922.0560748079342</v>
      </c>
      <c r="U200" s="519">
        <f t="shared" si="145"/>
        <v>21801.915155472008</v>
      </c>
    </row>
    <row r="201" spans="1:21">
      <c r="A201">
        <f>'Input data'!A120</f>
        <v>2020</v>
      </c>
      <c r="C201" s="314">
        <f>'4A SWD Case 3'!BN90</f>
        <v>781.94904710664139</v>
      </c>
      <c r="D201" s="3">
        <f>'4B Biological treatment '!T254</f>
        <v>1.7025824731116321</v>
      </c>
      <c r="E201" s="178">
        <f>'4B Biological treatment '!U254</f>
        <v>17.611552046891333</v>
      </c>
      <c r="F201" s="178">
        <f>'4B Biological treatment '!W254</f>
        <v>1.0566931228134799</v>
      </c>
      <c r="G201" s="952">
        <f>'4C2 Open-burning '!R159</f>
        <v>31.469339877453482</v>
      </c>
      <c r="H201" s="952">
        <f>'4C2 Open-burning '!Z159</f>
        <v>10.588469423197822</v>
      </c>
      <c r="I201" s="952">
        <f>'4C2 Open-burning '!AH159</f>
        <v>0.14740936571980473</v>
      </c>
      <c r="J201" s="987">
        <f>'4D Wastewater treatment and dis'!AV196</f>
        <v>149.64833972612956</v>
      </c>
      <c r="K201" s="770">
        <f>'4D Wastewater treatment and dis'!AW196</f>
        <v>2.9904262793007734</v>
      </c>
      <c r="L201" s="771">
        <f t="shared" si="150"/>
        <v>16420.92998923947</v>
      </c>
      <c r="M201" s="772">
        <f t="shared" si="146"/>
        <v>35.754231935344272</v>
      </c>
      <c r="N201" s="771">
        <f t="shared" si="147"/>
        <v>697.41746105689685</v>
      </c>
      <c r="O201" s="773">
        <f t="shared" si="148"/>
        <v>299.52410113774715</v>
      </c>
      <c r="P201" s="771">
        <f t="shared" si="149"/>
        <v>4069.6472808319609</v>
      </c>
      <c r="Q201" s="519">
        <f t="shared" si="141"/>
        <v>16420.92998923947</v>
      </c>
      <c r="R201" s="521">
        <f t="shared" si="142"/>
        <v>733.17169299224111</v>
      </c>
      <c r="S201" s="518">
        <f t="shared" si="143"/>
        <v>299.52410113774715</v>
      </c>
      <c r="T201" s="519">
        <f t="shared" si="144"/>
        <v>4069.6472808319609</v>
      </c>
      <c r="U201" s="519">
        <f t="shared" si="145"/>
        <v>21523.273064201418</v>
      </c>
    </row>
    <row r="202" spans="1:21">
      <c r="A202">
        <f>'Input data'!A121</f>
        <v>2021</v>
      </c>
      <c r="C202" s="314">
        <f>'4A SWD Case 3'!BN91</f>
        <v>760.78141499110848</v>
      </c>
      <c r="D202" s="3">
        <f>'4B Biological treatment '!T255</f>
        <v>2.6697232740256496</v>
      </c>
      <c r="E202" s="178">
        <f>'4B Biological treatment '!U255</f>
        <v>18.98913340365845</v>
      </c>
      <c r="F202" s="178">
        <f>'4B Biological treatment '!W255</f>
        <v>1.139348004219507</v>
      </c>
      <c r="G202" s="952">
        <f>'4C2 Open-burning '!R160</f>
        <v>28.917178618582938</v>
      </c>
      <c r="H202" s="952">
        <f>'4C2 Open-burning '!Z160</f>
        <v>9.7297452949557144</v>
      </c>
      <c r="I202" s="952">
        <f>'4C2 Open-burning '!AH160</f>
        <v>0.13545447648953185</v>
      </c>
      <c r="J202" s="987">
        <f>'4D Wastewater treatment and dis'!AV197</f>
        <v>155.70081087254809</v>
      </c>
      <c r="K202" s="770">
        <f>'4D Wastewater treatment and dis'!AW197</f>
        <v>3.0302180288466625</v>
      </c>
      <c r="L202" s="771">
        <f t="shared" si="150"/>
        <v>15976.409714813279</v>
      </c>
      <c r="M202" s="772">
        <f t="shared" si="146"/>
        <v>56.064188754538641</v>
      </c>
      <c r="N202" s="771">
        <f t="shared" si="147"/>
        <v>751.96968278487452</v>
      </c>
      <c r="O202" s="773">
        <f t="shared" si="148"/>
        <v>275.2327175244078</v>
      </c>
      <c r="P202" s="771">
        <f t="shared" si="149"/>
        <v>4209.0846172659749</v>
      </c>
      <c r="Q202" s="519">
        <f t="shared" si="141"/>
        <v>15976.409714813279</v>
      </c>
      <c r="R202" s="521">
        <f t="shared" si="142"/>
        <v>808.03387153941321</v>
      </c>
      <c r="S202" s="518">
        <f t="shared" si="143"/>
        <v>275.2327175244078</v>
      </c>
      <c r="T202" s="519">
        <f t="shared" si="144"/>
        <v>4209.0846172659749</v>
      </c>
      <c r="U202" s="519">
        <f t="shared" si="145"/>
        <v>21268.760921143075</v>
      </c>
    </row>
    <row r="203" spans="1:21">
      <c r="A203">
        <f>'Input data'!A122</f>
        <v>2022</v>
      </c>
      <c r="C203" s="314">
        <f>'4A SWD Case 3'!BN92</f>
        <v>734.89301952151425</v>
      </c>
      <c r="D203" s="3">
        <f>'4B Biological treatment '!T256</f>
        <v>3.5512189497726188</v>
      </c>
      <c r="E203" s="178">
        <f>'4B Biological treatment '!U256</f>
        <v>17.756094748863092</v>
      </c>
      <c r="F203" s="178">
        <f>'4B Biological treatment '!W256</f>
        <v>1.0653656849317854</v>
      </c>
      <c r="G203" s="952">
        <f>'4C2 Open-burning '!R161</f>
        <v>24.055225494229198</v>
      </c>
      <c r="H203" s="952">
        <f>'4C2 Open-burning '!Z161</f>
        <v>8.0938469191170608</v>
      </c>
      <c r="I203" s="952">
        <f>'4C2 Open-burning '!AH161</f>
        <v>0.11268001000846364</v>
      </c>
      <c r="J203" s="987">
        <f>'4D Wastewater treatment and dis'!AV198</f>
        <v>161.73905140290367</v>
      </c>
      <c r="K203" s="770">
        <f>'4D Wastewater treatment and dis'!AW198</f>
        <v>3.0677168311206198</v>
      </c>
      <c r="L203" s="771">
        <f t="shared" si="150"/>
        <v>15432.7534099518</v>
      </c>
      <c r="M203" s="772">
        <f t="shared" si="146"/>
        <v>74.575597945224999</v>
      </c>
      <c r="N203" s="771">
        <f t="shared" si="147"/>
        <v>703.14135205497837</v>
      </c>
      <c r="O203" s="773">
        <f t="shared" si="148"/>
        <v>228.95681389831122</v>
      </c>
      <c r="P203" s="771">
        <f t="shared" si="149"/>
        <v>4347.5122971083692</v>
      </c>
      <c r="Q203" s="519">
        <f t="shared" si="141"/>
        <v>15432.7534099518</v>
      </c>
      <c r="R203" s="521">
        <f t="shared" si="142"/>
        <v>777.71695000020338</v>
      </c>
      <c r="S203" s="518">
        <f t="shared" si="143"/>
        <v>228.95681389831122</v>
      </c>
      <c r="T203" s="519">
        <f t="shared" si="144"/>
        <v>4347.5122971083692</v>
      </c>
      <c r="U203" s="519">
        <f t="shared" si="145"/>
        <v>20786.939470958685</v>
      </c>
    </row>
    <row r="204" spans="1:21">
      <c r="A204">
        <f>'Input data'!A123</f>
        <v>2023</v>
      </c>
      <c r="C204" s="314">
        <f>'4A SWD Case 3'!BN93</f>
        <v>707.31406576300549</v>
      </c>
      <c r="D204" s="3">
        <f>'4B Biological treatment '!T257</f>
        <v>3.5643978569355075</v>
      </c>
      <c r="E204" s="178">
        <f>'4B Biological treatment '!U257</f>
        <v>17.821989284677535</v>
      </c>
      <c r="F204" s="178">
        <f>'4B Biological treatment '!W257</f>
        <v>1.0693193570806521</v>
      </c>
      <c r="G204" s="952">
        <f>'4C2 Open-burning '!R162</f>
        <v>22.813748044585125</v>
      </c>
      <c r="H204" s="952">
        <f>'4C2 Open-burning '!Z162</f>
        <v>7.6761277656065046</v>
      </c>
      <c r="I204" s="952">
        <f>'4C2 Open-burning '!AH162</f>
        <v>0.10686465436007302</v>
      </c>
      <c r="J204" s="987">
        <f>'4D Wastewater treatment and dis'!AV199</f>
        <v>167.7484159872983</v>
      </c>
      <c r="K204" s="770">
        <f>'4D Wastewater treatment and dis'!AW199</f>
        <v>3.1028223203879186</v>
      </c>
      <c r="L204" s="771">
        <f t="shared" si="150"/>
        <v>14853.595381023115</v>
      </c>
      <c r="M204" s="772">
        <f t="shared" si="146"/>
        <v>74.852354995645655</v>
      </c>
      <c r="N204" s="771">
        <f t="shared" si="147"/>
        <v>705.75077567323035</v>
      </c>
      <c r="O204" s="773">
        <f t="shared" si="148"/>
        <v>217.14047397394438</v>
      </c>
      <c r="P204" s="771">
        <f t="shared" si="149"/>
        <v>4484.5916550535185</v>
      </c>
      <c r="Q204" s="519">
        <f t="shared" si="141"/>
        <v>14853.595381023115</v>
      </c>
      <c r="R204" s="521">
        <f t="shared" si="142"/>
        <v>780.60313066887602</v>
      </c>
      <c r="S204" s="518">
        <f t="shared" si="143"/>
        <v>217.14047397394438</v>
      </c>
      <c r="T204" s="519">
        <f t="shared" si="144"/>
        <v>4484.5916550535185</v>
      </c>
      <c r="U204" s="519">
        <f t="shared" si="145"/>
        <v>20335.930640719453</v>
      </c>
    </row>
    <row r="205" spans="1:21">
      <c r="A205">
        <f>'Input data'!A124</f>
        <v>2024</v>
      </c>
      <c r="C205" s="314">
        <f>'4A SWD Case 3'!BN94</f>
        <v>680.85848451092772</v>
      </c>
      <c r="D205" s="3">
        <f>'4B Biological treatment '!T258</f>
        <v>3.5792611310719988</v>
      </c>
      <c r="E205" s="178">
        <f>'4B Biological treatment '!U258</f>
        <v>17.896305655359992</v>
      </c>
      <c r="F205" s="178">
        <f>'4B Biological treatment '!W258</f>
        <v>1.0737783393215996</v>
      </c>
      <c r="G205" s="952">
        <f>'4C2 Open-burning '!R163</f>
        <v>21.553469378195615</v>
      </c>
      <c r="H205" s="952">
        <f>'4C2 Open-burning '!Z163</f>
        <v>7.2520825782673626</v>
      </c>
      <c r="I205" s="952">
        <f>'4C2 Open-burning '!AH163</f>
        <v>0.10096122964363083</v>
      </c>
      <c r="J205" s="987">
        <f>'4D Wastewater treatment and dis'!AV200</f>
        <v>173.8168021189118</v>
      </c>
      <c r="K205" s="770">
        <f>'4D Wastewater treatment and dis'!AW200</f>
        <v>3.1372946822597805</v>
      </c>
      <c r="L205" s="771">
        <f t="shared" si="150"/>
        <v>14298.028174729483</v>
      </c>
      <c r="M205" s="772">
        <f t="shared" si="146"/>
        <v>75.16448375251197</v>
      </c>
      <c r="N205" s="771">
        <f t="shared" si="147"/>
        <v>708.69370395225565</v>
      </c>
      <c r="O205" s="773">
        <f t="shared" si="148"/>
        <v>205.14518471133579</v>
      </c>
      <c r="P205" s="771">
        <f t="shared" si="149"/>
        <v>4622.7141959976798</v>
      </c>
      <c r="Q205" s="519">
        <f t="shared" si="141"/>
        <v>14298.028174729483</v>
      </c>
      <c r="R205" s="521">
        <f t="shared" si="142"/>
        <v>783.8581877047676</v>
      </c>
      <c r="S205" s="518">
        <f t="shared" si="143"/>
        <v>205.14518471133579</v>
      </c>
      <c r="T205" s="519">
        <f t="shared" si="144"/>
        <v>4622.7141959976798</v>
      </c>
      <c r="U205" s="519">
        <f t="shared" si="145"/>
        <v>19909.745743143267</v>
      </c>
    </row>
    <row r="206" spans="1:21">
      <c r="A206">
        <f>'Input data'!A125</f>
        <v>2025</v>
      </c>
      <c r="C206" s="314">
        <f>'4A SWD Case 3'!BN95</f>
        <v>655.44460621166706</v>
      </c>
      <c r="D206" s="3">
        <f>'4B Biological treatment '!T259</f>
        <v>3.5926633298479222</v>
      </c>
      <c r="E206" s="178">
        <f>'4B Biological treatment '!U259</f>
        <v>17.963316649239609</v>
      </c>
      <c r="F206" s="178">
        <f>'4B Biological treatment '!W259</f>
        <v>1.0777989989543766</v>
      </c>
      <c r="G206" s="952">
        <f>'4C2 Open-burning '!R164</f>
        <v>20.273146589060335</v>
      </c>
      <c r="H206" s="952">
        <f>'4C2 Open-burning '!Z164</f>
        <v>6.8212931572825566</v>
      </c>
      <c r="I206" s="952">
        <f>'4C2 Open-burning '!AH164</f>
        <v>9.4963913811840467E-2</v>
      </c>
      <c r="J206" s="987">
        <f>'4D Wastewater treatment and dis'!AV201</f>
        <v>179.93994827249293</v>
      </c>
      <c r="K206" s="770">
        <f>'4D Wastewater treatment and dis'!AW201</f>
        <v>3.1711036769819763</v>
      </c>
      <c r="L206" s="771">
        <f t="shared" si="150"/>
        <v>13764.336730445008</v>
      </c>
      <c r="M206" s="772">
        <f t="shared" si="146"/>
        <v>75.445929926806372</v>
      </c>
      <c r="N206" s="771">
        <f t="shared" si="147"/>
        <v>711.34733930988853</v>
      </c>
      <c r="O206" s="773">
        <f t="shared" si="148"/>
        <v>192.95911617366457</v>
      </c>
      <c r="P206" s="771">
        <f t="shared" si="149"/>
        <v>4761.7810535867638</v>
      </c>
      <c r="Q206" s="519">
        <f t="shared" si="141"/>
        <v>13764.336730445008</v>
      </c>
      <c r="R206" s="521">
        <f t="shared" si="142"/>
        <v>786.79326923669487</v>
      </c>
      <c r="S206" s="518">
        <f t="shared" si="143"/>
        <v>192.95911617366457</v>
      </c>
      <c r="T206" s="519">
        <f t="shared" si="144"/>
        <v>4761.7810535867638</v>
      </c>
      <c r="U206" s="519">
        <f t="shared" si="145"/>
        <v>19505.870169442132</v>
      </c>
    </row>
    <row r="207" spans="1:21">
      <c r="A207">
        <f>'Input data'!A126</f>
        <v>2026</v>
      </c>
      <c r="C207" s="314">
        <f>'4A SWD Case 3'!BN96</f>
        <v>630.99435809886859</v>
      </c>
      <c r="D207" s="3">
        <f>'4B Biological treatment '!T260</f>
        <v>3.6079383240987486</v>
      </c>
      <c r="E207" s="178">
        <f>'4B Biological treatment '!U260</f>
        <v>18.039691620493741</v>
      </c>
      <c r="F207" s="178">
        <f>'4B Biological treatment '!W260</f>
        <v>1.0823814972296244</v>
      </c>
      <c r="G207" s="952">
        <f>'4C2 Open-burning '!R165</f>
        <v>18.971496879845734</v>
      </c>
      <c r="H207" s="952">
        <f>'4C2 Open-burning '!Z165</f>
        <v>6.3833278806226641</v>
      </c>
      <c r="I207" s="952">
        <f>'4C2 Open-burning '!AH165</f>
        <v>8.8866697957555474E-2</v>
      </c>
      <c r="J207" s="987">
        <f>'4D Wastewater treatment and dis'!AV202</f>
        <v>186.11344926250865</v>
      </c>
      <c r="K207" s="770">
        <f>'4D Wastewater treatment and dis'!AW202</f>
        <v>3.2042193824925169</v>
      </c>
      <c r="L207" s="771">
        <f t="shared" si="150"/>
        <v>13250.88152007624</v>
      </c>
      <c r="M207" s="772">
        <f t="shared" si="146"/>
        <v>75.766704806073719</v>
      </c>
      <c r="N207" s="771">
        <f t="shared" si="147"/>
        <v>714.37178817155211</v>
      </c>
      <c r="O207" s="773">
        <f t="shared" si="148"/>
        <v>180.57005873976388</v>
      </c>
      <c r="P207" s="771">
        <f t="shared" si="149"/>
        <v>4901.6904430853619</v>
      </c>
      <c r="Q207" s="519">
        <f t="shared" si="141"/>
        <v>13250.88152007624</v>
      </c>
      <c r="R207" s="521">
        <f t="shared" si="142"/>
        <v>790.13849297762579</v>
      </c>
      <c r="S207" s="518">
        <f t="shared" si="143"/>
        <v>180.57005873976388</v>
      </c>
      <c r="T207" s="519">
        <f t="shared" si="144"/>
        <v>4901.6904430853619</v>
      </c>
      <c r="U207" s="519">
        <f t="shared" si="145"/>
        <v>19123.280514878992</v>
      </c>
    </row>
    <row r="208" spans="1:21">
      <c r="A208">
        <f>'Input data'!A127</f>
        <v>2027</v>
      </c>
      <c r="C208" s="314">
        <f>'4A SWD Case 3'!BN97</f>
        <v>607.43308103564141</v>
      </c>
      <c r="D208" s="3">
        <f>'4B Biological treatment '!T261</f>
        <v>3.6231550036417244</v>
      </c>
      <c r="E208" s="178">
        <f>'4B Biological treatment '!U261</f>
        <v>18.11577501820862</v>
      </c>
      <c r="F208" s="178">
        <f>'4B Biological treatment '!W261</f>
        <v>1.0869465010925172</v>
      </c>
      <c r="G208" s="952">
        <f>'4C2 Open-burning '!R166</f>
        <v>17.647192953731018</v>
      </c>
      <c r="H208" s="952">
        <f>'4C2 Open-burning '!Z166</f>
        <v>5.9377401535431718</v>
      </c>
      <c r="I208" s="952">
        <f>'4C2 Open-burning '!AH166</f>
        <v>8.2663364728164129E-2</v>
      </c>
      <c r="J208" s="987">
        <f>'4D Wastewater treatment and dis'!AV203</f>
        <v>192.33276096021439</v>
      </c>
      <c r="K208" s="770">
        <f>'4D Wastewater treatment and dis'!AW203</f>
        <v>3.2366122379757729</v>
      </c>
      <c r="L208" s="771">
        <f t="shared" si="150"/>
        <v>12756.094701748469</v>
      </c>
      <c r="M208" s="772">
        <f t="shared" si="146"/>
        <v>76.086255076476206</v>
      </c>
      <c r="N208" s="771">
        <f t="shared" si="147"/>
        <v>717.38469072106136</v>
      </c>
      <c r="O208" s="773">
        <f t="shared" si="148"/>
        <v>167.96537924386851</v>
      </c>
      <c r="P208" s="771">
        <f t="shared" si="149"/>
        <v>5042.3377739369917</v>
      </c>
      <c r="Q208" s="519">
        <f t="shared" si="141"/>
        <v>12756.094701748469</v>
      </c>
      <c r="R208" s="521">
        <f t="shared" si="142"/>
        <v>793.47094579753752</v>
      </c>
      <c r="S208" s="518">
        <f t="shared" si="143"/>
        <v>167.96537924386851</v>
      </c>
      <c r="T208" s="519">
        <f t="shared" si="144"/>
        <v>5042.3377739369917</v>
      </c>
      <c r="U208" s="519">
        <f t="shared" si="145"/>
        <v>18759.868800726865</v>
      </c>
    </row>
    <row r="209" spans="1:21">
      <c r="A209">
        <f>'Input data'!A128</f>
        <v>2028</v>
      </c>
      <c r="C209" s="314">
        <f>'4A SWD Case 3'!BN98</f>
        <v>584.68935411043572</v>
      </c>
      <c r="D209" s="3">
        <f>'4B Biological treatment '!T262</f>
        <v>3.6337676014573459</v>
      </c>
      <c r="E209" s="178">
        <f>'4B Biological treatment '!U262</f>
        <v>18.16883800728673</v>
      </c>
      <c r="F209" s="178">
        <f>'4B Biological treatment '!W262</f>
        <v>1.0901302804372037</v>
      </c>
      <c r="G209" s="952">
        <f>'4C2 Open-burning '!R167</f>
        <v>16.298858140225754</v>
      </c>
      <c r="H209" s="952">
        <f>'4C2 Open-burning '!Z167</f>
        <v>5.4840667685713314</v>
      </c>
      <c r="I209" s="952">
        <f>'4C2 Open-burning '!AH167</f>
        <v>7.6347465493838473E-2</v>
      </c>
      <c r="J209" s="987">
        <f>'4D Wastewater treatment and dis'!AV204</f>
        <v>198.59320535463905</v>
      </c>
      <c r="K209" s="770">
        <f>'4D Wastewater treatment and dis'!AW204</f>
        <v>3.2682530873125892</v>
      </c>
      <c r="L209" s="771">
        <f t="shared" si="150"/>
        <v>12278.47643631915</v>
      </c>
      <c r="M209" s="772">
        <f t="shared" si="146"/>
        <v>76.309119630604258</v>
      </c>
      <c r="N209" s="771">
        <f t="shared" si="147"/>
        <v>719.48598508855446</v>
      </c>
      <c r="O209" s="773">
        <f t="shared" si="148"/>
        <v>155.13197458331362</v>
      </c>
      <c r="P209" s="771">
        <f t="shared" si="149"/>
        <v>5183.6157695143229</v>
      </c>
      <c r="Q209" s="519">
        <f t="shared" si="141"/>
        <v>12278.47643631915</v>
      </c>
      <c r="R209" s="521">
        <f t="shared" si="142"/>
        <v>795.79510471915876</v>
      </c>
      <c r="S209" s="518">
        <f t="shared" si="143"/>
        <v>155.13197458331362</v>
      </c>
      <c r="T209" s="519">
        <f t="shared" si="144"/>
        <v>5183.6157695143229</v>
      </c>
      <c r="U209" s="519">
        <f t="shared" si="145"/>
        <v>18413.019285135946</v>
      </c>
    </row>
    <row r="210" spans="1:21">
      <c r="A210">
        <f>'Input data'!A129</f>
        <v>2029</v>
      </c>
      <c r="C210" s="314">
        <f>'4A SWD Case 3'!BN99</f>
        <v>562.6948265739029</v>
      </c>
      <c r="D210" s="3">
        <f>'4B Biological treatment '!T263</f>
        <v>3.645199957212264</v>
      </c>
      <c r="E210" s="178">
        <f>'4B Biological treatment '!U263</f>
        <v>18.225999786061319</v>
      </c>
      <c r="F210" s="178">
        <f>'4B Biological treatment '!W263</f>
        <v>1.0935599871636792</v>
      </c>
      <c r="G210" s="952">
        <f>'4C2 Open-burning '!R168</f>
        <v>14.924684418730706</v>
      </c>
      <c r="H210" s="952">
        <f>'4C2 Open-burning '!Z168</f>
        <v>5.021699382128725</v>
      </c>
      <c r="I210" s="952">
        <f>'4C2 Open-burning '!AH168</f>
        <v>6.9910531085197153E-2</v>
      </c>
      <c r="J210" s="987">
        <f>'4D Wastewater treatment and dis'!AV205</f>
        <v>204.90440828341107</v>
      </c>
      <c r="K210" s="770">
        <f>'4D Wastewater treatment and dis'!AW205</f>
        <v>3.2993456099811418</v>
      </c>
      <c r="L210" s="771">
        <f t="shared" si="150"/>
        <v>11816.591358051961</v>
      </c>
      <c r="M210" s="772">
        <f t="shared" si="146"/>
        <v>76.549199101457546</v>
      </c>
      <c r="N210" s="771">
        <f t="shared" si="147"/>
        <v>721.7495915280283</v>
      </c>
      <c r="O210" s="773">
        <f t="shared" si="148"/>
        <v>142.05263607984506</v>
      </c>
      <c r="P210" s="771">
        <f t="shared" si="149"/>
        <v>5325.7897130457868</v>
      </c>
      <c r="Q210" s="519">
        <f t="shared" si="141"/>
        <v>11816.591358051961</v>
      </c>
      <c r="R210" s="521">
        <f t="shared" si="142"/>
        <v>798.29879062948589</v>
      </c>
      <c r="S210" s="518">
        <f t="shared" si="143"/>
        <v>142.05263607984506</v>
      </c>
      <c r="T210" s="519">
        <f t="shared" si="144"/>
        <v>5325.7897130457868</v>
      </c>
      <c r="U210" s="519">
        <f t="shared" si="145"/>
        <v>18082.732497807079</v>
      </c>
    </row>
    <row r="211" spans="1:21">
      <c r="A211">
        <f>'Input data'!A130</f>
        <v>2030</v>
      </c>
      <c r="C211" s="314">
        <f>'4A SWD Case 3'!BN100</f>
        <v>541.38419881788548</v>
      </c>
      <c r="D211" s="3">
        <f>'4B Biological treatment '!T264</f>
        <v>3.6589825366237063</v>
      </c>
      <c r="E211" s="178">
        <f>'4B Biological treatment '!U264</f>
        <v>18.294912683118529</v>
      </c>
      <c r="F211" s="178">
        <f>'4B Biological treatment '!W264</f>
        <v>1.0976947609871117</v>
      </c>
      <c r="G211" s="952">
        <f>'4C2 Open-burning '!R169</f>
        <v>13.523284883131048</v>
      </c>
      <c r="H211" s="952">
        <f>'4C2 Open-burning '!Z169</f>
        <v>4.5501713427683601</v>
      </c>
      <c r="I211" s="952">
        <f>'4C2 Open-burning '!AH169</f>
        <v>6.3346064926477999E-2</v>
      </c>
      <c r="J211" s="987">
        <f>'4D Wastewater treatment and dis'!AV206</f>
        <v>211.26278968541391</v>
      </c>
      <c r="K211" s="770">
        <f>'4D Wastewater treatment and dis'!AW206</f>
        <v>3.3298681271770771</v>
      </c>
      <c r="L211" s="771">
        <f t="shared" si="150"/>
        <v>11369.068175175595</v>
      </c>
      <c r="M211" s="772">
        <f t="shared" si="146"/>
        <v>76.838633269097826</v>
      </c>
      <c r="N211" s="771">
        <f t="shared" si="147"/>
        <v>724.47854225149376</v>
      </c>
      <c r="O211" s="773">
        <f t="shared" si="148"/>
        <v>128.71416320847479</v>
      </c>
      <c r="P211" s="771">
        <f t="shared" si="149"/>
        <v>5468.7777028185865</v>
      </c>
      <c r="Q211" s="519">
        <f t="shared" si="141"/>
        <v>11369.068175175595</v>
      </c>
      <c r="R211" s="521">
        <f t="shared" si="142"/>
        <v>801.3171755205916</v>
      </c>
      <c r="S211" s="518">
        <f t="shared" si="143"/>
        <v>128.71416320847479</v>
      </c>
      <c r="T211" s="519">
        <f t="shared" si="144"/>
        <v>5468.7777028185865</v>
      </c>
      <c r="U211" s="519">
        <f t="shared" si="145"/>
        <v>17767.877216723246</v>
      </c>
    </row>
    <row r="212" spans="1:21">
      <c r="A212">
        <f>'Input data'!A131</f>
        <v>2031</v>
      </c>
      <c r="C212" s="314">
        <f>'4A SWD Case 3'!BN101</f>
        <v>520.69489703759371</v>
      </c>
      <c r="D212" s="3">
        <f>'4B Biological treatment '!T265</f>
        <v>3.6781620248779339</v>
      </c>
      <c r="E212" s="178">
        <f>'4B Biological treatment '!U265</f>
        <v>18.390810124389667</v>
      </c>
      <c r="F212" s="178">
        <f>'4B Biological treatment '!W265</f>
        <v>1.1034486074633802</v>
      </c>
      <c r="G212" s="952">
        <f>'4C2 Open-burning '!R170</f>
        <v>11.9247783720383</v>
      </c>
      <c r="H212" s="952">
        <f>'4C2 Open-burning '!Z170</f>
        <v>4.0123228406580633</v>
      </c>
      <c r="I212" s="952">
        <f>'4C2 Open-burning '!AH170</f>
        <v>5.5858305989787284E-2</v>
      </c>
      <c r="J212" s="987">
        <f>'4D Wastewater treatment and dis'!AV207</f>
        <v>213.16176016925567</v>
      </c>
      <c r="K212" s="770">
        <f>'4D Wastewater treatment and dis'!AW207</f>
        <v>3.3597991969031304</v>
      </c>
      <c r="L212" s="771">
        <f t="shared" si="150"/>
        <v>10934.592837789467</v>
      </c>
      <c r="M212" s="772">
        <f t="shared" si="146"/>
        <v>77.241402522436616</v>
      </c>
      <c r="N212" s="771">
        <f t="shared" si="147"/>
        <v>728.27608092583091</v>
      </c>
      <c r="O212" s="773">
        <f t="shared" si="148"/>
        <v>113.49963288269169</v>
      </c>
      <c r="P212" s="771">
        <f t="shared" si="149"/>
        <v>5517.9347145943393</v>
      </c>
      <c r="Q212" s="519">
        <f t="shared" si="141"/>
        <v>10934.592837789467</v>
      </c>
      <c r="R212" s="521">
        <f t="shared" si="142"/>
        <v>805.51748344826751</v>
      </c>
      <c r="S212" s="518">
        <f t="shared" si="143"/>
        <v>113.49963288269169</v>
      </c>
      <c r="T212" s="519">
        <f t="shared" si="144"/>
        <v>5517.9347145943393</v>
      </c>
      <c r="U212" s="519">
        <f t="shared" si="145"/>
        <v>17371.544668714763</v>
      </c>
    </row>
    <row r="213" spans="1:21">
      <c r="A213">
        <f>'Input data'!A132</f>
        <v>2032</v>
      </c>
      <c r="C213" s="314">
        <f>'4A SWD Case 3'!BN102</f>
        <v>500.44363874223046</v>
      </c>
      <c r="D213" s="3">
        <f>'4B Biological treatment '!T266</f>
        <v>3.6959024399781359</v>
      </c>
      <c r="E213" s="178">
        <f>'4B Biological treatment '!U266</f>
        <v>18.479512199890678</v>
      </c>
      <c r="F213" s="178">
        <f>'4B Biological treatment '!W266</f>
        <v>1.1087707319934408</v>
      </c>
      <c r="G213" s="952">
        <f>'4C2 Open-burning '!R171</f>
        <v>10.337663470484438</v>
      </c>
      <c r="H213" s="952">
        <f>'4C2 Open-burning '!Z171</f>
        <v>3.4783072663992307</v>
      </c>
      <c r="I213" s="952">
        <f>'4C2 Open-burning '!AH171</f>
        <v>4.8423907878051703E-2</v>
      </c>
      <c r="J213" s="987">
        <f>'4D Wastewater treatment and dis'!AV208</f>
        <v>215.02186260752731</v>
      </c>
      <c r="K213" s="770">
        <f>'4D Wastewater treatment and dis'!AW208</f>
        <v>3.3891176387911139</v>
      </c>
      <c r="L213" s="771">
        <f t="shared" si="150"/>
        <v>10509.316413586839</v>
      </c>
      <c r="M213" s="772">
        <f t="shared" si="146"/>
        <v>77.613951239540853</v>
      </c>
      <c r="N213" s="771">
        <f t="shared" si="147"/>
        <v>731.78868311567089</v>
      </c>
      <c r="O213" s="773">
        <f t="shared" si="148"/>
        <v>98.393527507064306</v>
      </c>
      <c r="P213" s="771">
        <f t="shared" si="149"/>
        <v>5566.0855827833184</v>
      </c>
      <c r="Q213" s="519">
        <f t="shared" si="141"/>
        <v>10509.316413586839</v>
      </c>
      <c r="R213" s="521">
        <f t="shared" si="142"/>
        <v>809.40263435521172</v>
      </c>
      <c r="S213" s="518">
        <f t="shared" si="143"/>
        <v>98.393527507064306</v>
      </c>
      <c r="T213" s="519">
        <f t="shared" si="144"/>
        <v>5566.0855827833184</v>
      </c>
      <c r="U213" s="519">
        <f t="shared" si="145"/>
        <v>16983.198158232433</v>
      </c>
    </row>
    <row r="214" spans="1:21">
      <c r="A214">
        <f>'Input data'!A133</f>
        <v>2033</v>
      </c>
      <c r="C214" s="314">
        <f>'4A SWD Case 3'!BN103</f>
        <v>480.60620970609688</v>
      </c>
      <c r="D214" s="3">
        <f>'4B Biological treatment '!T267</f>
        <v>3.7169010199734895</v>
      </c>
      <c r="E214" s="178">
        <f>'4B Biological treatment '!U267</f>
        <v>18.584505099867446</v>
      </c>
      <c r="F214" s="178">
        <f>'4B Biological treatment '!W267</f>
        <v>1.1150703059920468</v>
      </c>
      <c r="G214" s="952">
        <f>'4C2 Open-burning '!R172</f>
        <v>10.307348544671919</v>
      </c>
      <c r="H214" s="952">
        <f>'4C2 Open-burning '!Z172</f>
        <v>3.4681072219660667</v>
      </c>
      <c r="I214" s="952">
        <f>'4C2 Open-burning '!AH172</f>
        <v>4.8281906043781644E-2</v>
      </c>
      <c r="J214" s="987">
        <f>'4D Wastewater treatment and dis'!AV209</f>
        <v>216.84177138362475</v>
      </c>
      <c r="K214" s="770">
        <f>'4D Wastewater treatment and dis'!AW209</f>
        <v>3.4178025588232726</v>
      </c>
      <c r="L214" s="771">
        <f t="shared" si="150"/>
        <v>10092.730403828034</v>
      </c>
      <c r="M214" s="772">
        <f t="shared" si="146"/>
        <v>78.054921419443275</v>
      </c>
      <c r="N214" s="771">
        <f t="shared" si="147"/>
        <v>735.94640195475085</v>
      </c>
      <c r="O214" s="773">
        <f t="shared" si="148"/>
        <v>98.104991079531644</v>
      </c>
      <c r="P214" s="771">
        <f t="shared" si="149"/>
        <v>5613.1959922913338</v>
      </c>
      <c r="Q214" s="519">
        <f t="shared" si="141"/>
        <v>10092.730403828034</v>
      </c>
      <c r="R214" s="521">
        <f t="shared" si="142"/>
        <v>814.00132337419416</v>
      </c>
      <c r="S214" s="518">
        <f t="shared" si="143"/>
        <v>98.104991079531644</v>
      </c>
      <c r="T214" s="519">
        <f t="shared" si="144"/>
        <v>5613.1959922913338</v>
      </c>
      <c r="U214" s="519">
        <f t="shared" si="145"/>
        <v>16618.032710573094</v>
      </c>
    </row>
    <row r="215" spans="1:21">
      <c r="A215">
        <f>'Input data'!A134</f>
        <v>2034</v>
      </c>
      <c r="C215" s="314">
        <f>'4A SWD Case 3'!BN104</f>
        <v>461.74772017675508</v>
      </c>
      <c r="D215" s="3">
        <f>'4B Biological treatment '!T268</f>
        <v>3.7432593960487313</v>
      </c>
      <c r="E215" s="178">
        <f>'4B Biological treatment '!U268</f>
        <v>18.716296980243655</v>
      </c>
      <c r="F215" s="178">
        <f>'4B Biological treatment '!W268</f>
        <v>1.1229778188146193</v>
      </c>
      <c r="G215" s="952">
        <f>'4C2 Open-burning '!R173</f>
        <v>10.278310353710504</v>
      </c>
      <c r="H215" s="952">
        <f>'4C2 Open-burning '!Z173</f>
        <v>3.4583367597225863</v>
      </c>
      <c r="I215" s="952">
        <f>'4C2 Open-burning '!AH173</f>
        <v>4.814588471864608E-2</v>
      </c>
      <c r="J215" s="987">
        <f>'4D Wastewater treatment and dis'!AV210</f>
        <v>218.62447642392758</v>
      </c>
      <c r="K215" s="770">
        <f>'4D Wastewater treatment and dis'!AW210</f>
        <v>3.4459010834271635</v>
      </c>
      <c r="L215" s="771">
        <f t="shared" si="150"/>
        <v>9696.702123711857</v>
      </c>
      <c r="M215" s="772">
        <f t="shared" si="146"/>
        <v>78.608447317023362</v>
      </c>
      <c r="N215" s="771">
        <f t="shared" si="147"/>
        <v>741.1653604176488</v>
      </c>
      <c r="O215" s="773">
        <f t="shared" si="148"/>
        <v>97.828606570665116</v>
      </c>
      <c r="P215" s="771">
        <f t="shared" si="149"/>
        <v>5659.343340764899</v>
      </c>
      <c r="Q215" s="519">
        <f t="shared" si="141"/>
        <v>9696.702123711857</v>
      </c>
      <c r="R215" s="521">
        <f t="shared" si="142"/>
        <v>819.77380773467212</v>
      </c>
      <c r="S215" s="518">
        <f t="shared" si="143"/>
        <v>97.828606570665116</v>
      </c>
      <c r="T215" s="519">
        <f t="shared" si="144"/>
        <v>5659.343340764899</v>
      </c>
      <c r="U215" s="519">
        <f t="shared" si="145"/>
        <v>16273.647878782094</v>
      </c>
    </row>
    <row r="216" spans="1:21">
      <c r="A216">
        <f>'Input data'!A135</f>
        <v>2035</v>
      </c>
      <c r="C216" s="314">
        <f>'4A SWD Case 3'!BN105</f>
        <v>443.82005652184995</v>
      </c>
      <c r="D216" s="3">
        <f>'4B Biological treatment '!T269</f>
        <v>3.764859504640385</v>
      </c>
      <c r="E216" s="178">
        <f>'4B Biological treatment '!U269</f>
        <v>18.824297523201924</v>
      </c>
      <c r="F216" s="178">
        <f>'4B Biological treatment '!W269</f>
        <v>1.1294578513921154</v>
      </c>
      <c r="G216" s="952">
        <f>'4C2 Open-burning '!R174</f>
        <v>10.250506321682792</v>
      </c>
      <c r="H216" s="952">
        <f>'4C2 Open-burning '!Z174</f>
        <v>3.4489815541760613</v>
      </c>
      <c r="I216" s="952">
        <f>'4C2 Open-burning '!AH174</f>
        <v>4.8015644467607504E-2</v>
      </c>
      <c r="J216" s="987">
        <f>'4D Wastewater treatment and dis'!AV211</f>
        <v>220.36879785205323</v>
      </c>
      <c r="K216" s="770">
        <f>'4D Wastewater treatment and dis'!AW211</f>
        <v>3.4733946157037967</v>
      </c>
      <c r="L216" s="771">
        <f t="shared" si="150"/>
        <v>9320.2211869588482</v>
      </c>
      <c r="M216" s="772">
        <f t="shared" si="146"/>
        <v>79.06204959744808</v>
      </c>
      <c r="N216" s="771">
        <f t="shared" si="147"/>
        <v>745.44218191879622</v>
      </c>
      <c r="O216" s="773">
        <f t="shared" si="148"/>
        <v>97.56396874433841</v>
      </c>
      <c r="P216" s="771">
        <f t="shared" si="149"/>
        <v>5704.4970857612952</v>
      </c>
      <c r="Q216" s="519">
        <f t="shared" si="141"/>
        <v>9320.2211869588482</v>
      </c>
      <c r="R216" s="521">
        <f t="shared" si="142"/>
        <v>824.50423151624432</v>
      </c>
      <c r="S216" s="518">
        <f t="shared" si="143"/>
        <v>97.56396874433841</v>
      </c>
      <c r="T216" s="519">
        <f t="shared" si="144"/>
        <v>5704.4970857612952</v>
      </c>
      <c r="U216" s="519">
        <f t="shared" si="145"/>
        <v>15946.786472980726</v>
      </c>
    </row>
    <row r="217" spans="1:21">
      <c r="A217">
        <f>'Input data'!A136</f>
        <v>2036</v>
      </c>
      <c r="C217" s="314">
        <f>'4A SWD Case 3'!BN106</f>
        <v>426.77745511470556</v>
      </c>
      <c r="D217" s="3">
        <f>'4B Biological treatment '!T270</f>
        <v>3.7866362754902951</v>
      </c>
      <c r="E217" s="178">
        <f>'4B Biological treatment '!U270</f>
        <v>18.933181377451472</v>
      </c>
      <c r="F217" s="178">
        <f>'4B Biological treatment '!W270</f>
        <v>1.1359908826470884</v>
      </c>
      <c r="G217" s="952">
        <f>'4C2 Open-burning '!R175</f>
        <v>10.223896303669529</v>
      </c>
      <c r="H217" s="952">
        <f>'4C2 Open-burning '!Z175</f>
        <v>3.4400280977902136</v>
      </c>
      <c r="I217" s="952">
        <f>'4C2 Open-burning '!AH175</f>
        <v>4.789099724296271E-2</v>
      </c>
      <c r="J217" s="987">
        <f>'4D Wastewater treatment and dis'!AV212</f>
        <v>222.07357374163959</v>
      </c>
      <c r="K217" s="770">
        <f>'4D Wastewater treatment and dis'!AW212</f>
        <v>3.5002648416776503</v>
      </c>
      <c r="L217" s="771">
        <f t="shared" si="150"/>
        <v>8962.3265574088164</v>
      </c>
      <c r="M217" s="772">
        <f t="shared" si="146"/>
        <v>79.519361785296198</v>
      </c>
      <c r="N217" s="771">
        <f t="shared" si="147"/>
        <v>749.75398254707829</v>
      </c>
      <c r="O217" s="773">
        <f t="shared" si="148"/>
        <v>97.310695502582462</v>
      </c>
      <c r="P217" s="771">
        <f t="shared" si="149"/>
        <v>5748.6271494945031</v>
      </c>
      <c r="Q217" s="519">
        <f t="shared" si="141"/>
        <v>8962.3265574088164</v>
      </c>
      <c r="R217" s="521">
        <f t="shared" si="142"/>
        <v>829.27334433237445</v>
      </c>
      <c r="S217" s="518">
        <f t="shared" si="143"/>
        <v>97.310695502582462</v>
      </c>
      <c r="T217" s="519">
        <f t="shared" si="144"/>
        <v>5748.6271494945031</v>
      </c>
      <c r="U217" s="519">
        <f t="shared" si="145"/>
        <v>15637.537746738277</v>
      </c>
    </row>
    <row r="218" spans="1:21">
      <c r="A218">
        <f>'Input data'!A137</f>
        <v>2037</v>
      </c>
      <c r="C218" s="314">
        <f>'4A SWD Case 3'!BN107</f>
        <v>410.57638739659888</v>
      </c>
      <c r="D218" s="3">
        <f>'4B Biological treatment '!T271</f>
        <v>3.8128114522200329</v>
      </c>
      <c r="E218" s="178">
        <f>'4B Biological treatment '!U271</f>
        <v>19.06405726110016</v>
      </c>
      <c r="F218" s="178">
        <f>'4B Biological treatment '!W271</f>
        <v>1.1438434356660097</v>
      </c>
      <c r="G218" s="952">
        <f>'4C2 Open-burning '!R176</f>
        <v>10.198442445945371</v>
      </c>
      <c r="H218" s="952">
        <f>'4C2 Open-burning '!Z176</f>
        <v>3.4314636539453733</v>
      </c>
      <c r="I218" s="952">
        <f>'4C2 Open-burning '!AH176</f>
        <v>4.777176572946891E-2</v>
      </c>
      <c r="J218" s="987">
        <f>'4D Wastewater treatment and dis'!AV213</f>
        <v>223.73766139583338</v>
      </c>
      <c r="K218" s="770">
        <f>'4D Wastewater treatment and dis'!AW213</f>
        <v>3.5264937504636227</v>
      </c>
      <c r="L218" s="771">
        <f t="shared" si="150"/>
        <v>8622.1041353285764</v>
      </c>
      <c r="M218" s="772">
        <f t="shared" si="146"/>
        <v>80.069040496620687</v>
      </c>
      <c r="N218" s="771">
        <f t="shared" si="147"/>
        <v>754.93666753956632</v>
      </c>
      <c r="O218" s="773">
        <f t="shared" si="148"/>
        <v>97.068426554933581</v>
      </c>
      <c r="P218" s="771">
        <f t="shared" si="149"/>
        <v>5791.703951956224</v>
      </c>
      <c r="Q218" s="519">
        <f t="shared" si="141"/>
        <v>8622.1041353285764</v>
      </c>
      <c r="R218" s="521">
        <f t="shared" si="142"/>
        <v>835.005708036187</v>
      </c>
      <c r="S218" s="518">
        <f t="shared" si="143"/>
        <v>97.068426554933581</v>
      </c>
      <c r="T218" s="519">
        <f t="shared" si="144"/>
        <v>5791.703951956224</v>
      </c>
      <c r="U218" s="519">
        <f t="shared" si="145"/>
        <v>15345.882221875921</v>
      </c>
    </row>
    <row r="219" spans="1:21">
      <c r="A219">
        <f>'Input data'!A138</f>
        <v>2038</v>
      </c>
      <c r="C219" s="314">
        <f>'4A SWD Case 3'!BN108</f>
        <v>395.54257983985093</v>
      </c>
      <c r="D219" s="3">
        <f>'4B Biological treatment '!T272</f>
        <v>3.8406777834432839</v>
      </c>
      <c r="E219" s="178">
        <f>'4B Biological treatment '!U272</f>
        <v>19.203388917216415</v>
      </c>
      <c r="F219" s="178">
        <f>'4B Biological treatment '!W272</f>
        <v>1.152203335032985</v>
      </c>
      <c r="G219" s="952">
        <f>'4C2 Open-burning '!R177</f>
        <v>10.174109056797926</v>
      </c>
      <c r="H219" s="952">
        <f>'4C2 Open-burning '!Z177</f>
        <v>3.423276213473033</v>
      </c>
      <c r="I219" s="952">
        <f>'4C2 Open-burning '!AH177</f>
        <v>4.7657782739231228E-2</v>
      </c>
      <c r="J219" s="987">
        <f>'4D Wastewater treatment and dis'!AV214</f>
        <v>225.35993861428059</v>
      </c>
      <c r="K219" s="770">
        <f>'4D Wastewater treatment and dis'!AW214</f>
        <v>3.5520636542370059</v>
      </c>
      <c r="L219" s="771">
        <f t="shared" si="150"/>
        <v>8306.3941766368698</v>
      </c>
      <c r="M219" s="772">
        <f t="shared" si="146"/>
        <v>80.654233452308958</v>
      </c>
      <c r="N219" s="771">
        <f t="shared" si="147"/>
        <v>760.4542011217701</v>
      </c>
      <c r="O219" s="773">
        <f t="shared" si="148"/>
        <v>96.836822188893308</v>
      </c>
      <c r="P219" s="771">
        <f t="shared" si="149"/>
        <v>5833.6984437133642</v>
      </c>
      <c r="Q219" s="519">
        <f t="shared" si="141"/>
        <v>8306.3941766368698</v>
      </c>
      <c r="R219" s="521">
        <f t="shared" si="142"/>
        <v>841.10843457407907</v>
      </c>
      <c r="S219" s="518">
        <f t="shared" si="143"/>
        <v>96.836822188893308</v>
      </c>
      <c r="T219" s="519">
        <f t="shared" si="144"/>
        <v>5833.6984437133642</v>
      </c>
      <c r="U219" s="519">
        <f t="shared" si="145"/>
        <v>15078.037877113205</v>
      </c>
    </row>
    <row r="220" spans="1:21">
      <c r="A220">
        <f>'Input data'!A139</f>
        <v>2039</v>
      </c>
      <c r="C220" s="314">
        <f>'4A SWD Case 3'!BN109</f>
        <v>381.74508688986339</v>
      </c>
      <c r="D220" s="3">
        <f>'4B Biological treatment '!T273</f>
        <v>3.8702677842288065</v>
      </c>
      <c r="E220" s="178">
        <f>'4B Biological treatment '!U273</f>
        <v>19.351338921144027</v>
      </c>
      <c r="F220" s="178">
        <f>'4B Biological treatment '!W273</f>
        <v>1.1610803352686416</v>
      </c>
      <c r="G220" s="952">
        <f>'4C2 Open-burning '!R178</f>
        <v>10.150794866315531</v>
      </c>
      <c r="H220" s="952">
        <f>'4C2 Open-burning '!Z178</f>
        <v>3.415431702148334</v>
      </c>
      <c r="I220" s="952">
        <f>'4C2 Open-burning '!AH178</f>
        <v>4.7548573901528751E-2</v>
      </c>
      <c r="J220" s="987">
        <f>'4D Wastewater treatment and dis'!AV215</f>
        <v>226.94394200253512</v>
      </c>
      <c r="K220" s="770">
        <f>'4D Wastewater treatment and dis'!AW215</f>
        <v>3.5770302960376927</v>
      </c>
      <c r="L220" s="771">
        <f t="shared" si="150"/>
        <v>8016.6468246871309</v>
      </c>
      <c r="M220" s="772">
        <f t="shared" si="146"/>
        <v>81.275623468804937</v>
      </c>
      <c r="N220" s="771">
        <f t="shared" si="147"/>
        <v>766.31302127730351</v>
      </c>
      <c r="O220" s="773">
        <f t="shared" si="148"/>
        <v>96.614918520904467</v>
      </c>
      <c r="P220" s="771">
        <f t="shared" si="149"/>
        <v>5874.7021738249223</v>
      </c>
      <c r="Q220" s="519">
        <f t="shared" si="141"/>
        <v>8016.6468246871309</v>
      </c>
      <c r="R220" s="521">
        <f t="shared" si="142"/>
        <v>847.58864474610846</v>
      </c>
      <c r="S220" s="518">
        <f t="shared" si="143"/>
        <v>96.614918520904467</v>
      </c>
      <c r="T220" s="519">
        <f t="shared" si="144"/>
        <v>5874.7021738249223</v>
      </c>
      <c r="U220" s="519">
        <f t="shared" si="145"/>
        <v>14835.552561779066</v>
      </c>
    </row>
    <row r="221" spans="1:21">
      <c r="A221">
        <f>'Input data'!A140</f>
        <v>2040</v>
      </c>
      <c r="C221" s="314">
        <f>'4A SWD Case 3'!BN110</f>
        <v>369.13826320424687</v>
      </c>
      <c r="D221" s="3">
        <f>'4B Biological treatment '!T274</f>
        <v>3.9011799723100076</v>
      </c>
      <c r="E221" s="178">
        <f>'4B Biological treatment '!U274</f>
        <v>19.505899861550034</v>
      </c>
      <c r="F221" s="178">
        <f>'4B Biological treatment '!W274</f>
        <v>1.1703539916930021</v>
      </c>
      <c r="G221" s="952">
        <f>'4C2 Open-burning '!R179</f>
        <v>10.128470376692016</v>
      </c>
      <c r="H221" s="952">
        <f>'4C2 Open-burning '!Z179</f>
        <v>3.407920194862589</v>
      </c>
      <c r="I221" s="952">
        <f>'4C2 Open-burning '!AH179</f>
        <v>4.7444001042096826E-2</v>
      </c>
      <c r="J221" s="987">
        <f>'4D Wastewater treatment and dis'!AV216</f>
        <v>228.48869065252686</v>
      </c>
      <c r="K221" s="770">
        <f>'4D Wastewater treatment and dis'!AW216</f>
        <v>3.6013782150525211</v>
      </c>
      <c r="L221" s="771">
        <f t="shared" si="150"/>
        <v>7751.9035272891842</v>
      </c>
      <c r="M221" s="772">
        <f t="shared" si="146"/>
        <v>81.924779418510155</v>
      </c>
      <c r="N221" s="771">
        <f t="shared" si="147"/>
        <v>772.43363451738128</v>
      </c>
      <c r="O221" s="773">
        <f t="shared" si="148"/>
        <v>96.402434791856408</v>
      </c>
      <c r="P221" s="771">
        <f t="shared" si="149"/>
        <v>5914.6897503693453</v>
      </c>
      <c r="Q221" s="519">
        <f t="shared" si="141"/>
        <v>7751.9035272891842</v>
      </c>
      <c r="R221" s="521">
        <f t="shared" si="142"/>
        <v>854.35841393589146</v>
      </c>
      <c r="S221" s="518">
        <f t="shared" si="143"/>
        <v>96.402434791856408</v>
      </c>
      <c r="T221" s="519">
        <f t="shared" si="144"/>
        <v>5914.6897503693453</v>
      </c>
      <c r="U221" s="519">
        <f t="shared" si="145"/>
        <v>14617.354126386277</v>
      </c>
    </row>
    <row r="222" spans="1:21">
      <c r="A222">
        <f>'Input data'!A141</f>
        <v>2041</v>
      </c>
      <c r="C222" s="314">
        <f>'4A SWD Case 3'!BN111</f>
        <v>357.6781777382775</v>
      </c>
      <c r="D222" s="3">
        <f>'4B Biological treatment '!T275</f>
        <v>3.933126476900406</v>
      </c>
      <c r="E222" s="178">
        <f>'4B Biological treatment '!U275</f>
        <v>19.665632384502029</v>
      </c>
      <c r="F222" s="178">
        <f>'4B Biological treatment '!W275</f>
        <v>1.1799379430701218</v>
      </c>
      <c r="G222" s="952">
        <f>'4C2 Open-burning '!R180</f>
        <v>10.107107705652387</v>
      </c>
      <c r="H222" s="952">
        <f>'4C2 Open-burning '!Z180</f>
        <v>3.4007323100838871</v>
      </c>
      <c r="I222" s="952">
        <f>'4C2 Open-burning '!AH180</f>
        <v>4.7343933554176973E-2</v>
      </c>
      <c r="J222" s="987">
        <f>'4D Wastewater treatment and dis'!AV217</f>
        <v>229.99322269099028</v>
      </c>
      <c r="K222" s="770">
        <f>'4D Wastewater treatment and dis'!AW217</f>
        <v>3.6250922504898839</v>
      </c>
      <c r="L222" s="771">
        <f t="shared" si="150"/>
        <v>7511.2417325038277</v>
      </c>
      <c r="M222" s="772">
        <f t="shared" si="146"/>
        <v>82.595656014908528</v>
      </c>
      <c r="N222" s="771">
        <f t="shared" si="147"/>
        <v>778.7590424262803</v>
      </c>
      <c r="O222" s="773">
        <f t="shared" si="148"/>
        <v>96.199105619208879</v>
      </c>
      <c r="P222" s="771">
        <f t="shared" si="149"/>
        <v>5953.6362741626599</v>
      </c>
      <c r="Q222" s="519">
        <f t="shared" si="141"/>
        <v>7511.2417325038277</v>
      </c>
      <c r="R222" s="521">
        <f t="shared" si="142"/>
        <v>861.35469844118882</v>
      </c>
      <c r="S222" s="518">
        <f t="shared" si="143"/>
        <v>96.199105619208879</v>
      </c>
      <c r="T222" s="519">
        <f t="shared" si="144"/>
        <v>5953.6362741626599</v>
      </c>
      <c r="U222" s="519">
        <f t="shared" si="145"/>
        <v>14422.431810726886</v>
      </c>
    </row>
    <row r="223" spans="1:21">
      <c r="A223">
        <f>'Input data'!A142</f>
        <v>2042</v>
      </c>
      <c r="C223" s="314">
        <f>'4A SWD Case 3'!BN112</f>
        <v>346.94068583831944</v>
      </c>
      <c r="D223" s="3">
        <f>'4B Biological treatment '!T276</f>
        <v>3.9631045223960841</v>
      </c>
      <c r="E223" s="178">
        <f>'4B Biological treatment '!U276</f>
        <v>19.81552261198042</v>
      </c>
      <c r="F223" s="178">
        <f>'4B Biological treatment '!W276</f>
        <v>1.1889313567188253</v>
      </c>
      <c r="G223" s="952">
        <f>'4C2 Open-burning '!R181</f>
        <v>10.086680504195472</v>
      </c>
      <c r="H223" s="952">
        <f>'4C2 Open-burning '!Z181</f>
        <v>3.3938591821800186</v>
      </c>
      <c r="I223" s="952">
        <f>'4C2 Open-burning '!AH181</f>
        <v>4.7248248013205332E-2</v>
      </c>
      <c r="J223" s="987">
        <f>'4D Wastewater treatment and dis'!AV218</f>
        <v>231.45659627174089</v>
      </c>
      <c r="K223" s="770">
        <f>'4D Wastewater treatment and dis'!AW218</f>
        <v>3.6481575572197178</v>
      </c>
      <c r="L223" s="771">
        <f t="shared" si="150"/>
        <v>7285.754402604708</v>
      </c>
      <c r="M223" s="772">
        <f t="shared" si="146"/>
        <v>83.225194970317773</v>
      </c>
      <c r="N223" s="771">
        <f t="shared" si="147"/>
        <v>784.6946954344246</v>
      </c>
      <c r="O223" s="773">
        <f t="shared" si="148"/>
        <v>96.004680214069509</v>
      </c>
      <c r="P223" s="771">
        <f t="shared" si="149"/>
        <v>5991.5173644446713</v>
      </c>
      <c r="Q223" s="519">
        <f t="shared" si="141"/>
        <v>7285.754402604708</v>
      </c>
      <c r="R223" s="521">
        <f t="shared" si="142"/>
        <v>867.91989040474232</v>
      </c>
      <c r="S223" s="518">
        <f t="shared" si="143"/>
        <v>96.004680214069509</v>
      </c>
      <c r="T223" s="519">
        <f t="shared" si="144"/>
        <v>5991.5173644446713</v>
      </c>
      <c r="U223" s="519">
        <f t="shared" si="145"/>
        <v>14241.196337668191</v>
      </c>
    </row>
    <row r="224" spans="1:21">
      <c r="A224">
        <f>'Input data'!A143</f>
        <v>2043</v>
      </c>
      <c r="C224" s="314">
        <f>'4A SWD Case 3'!BN113</f>
        <v>336.89027554261219</v>
      </c>
      <c r="D224" s="3">
        <f>'4B Biological treatment '!T277</f>
        <v>3.9937174693496127</v>
      </c>
      <c r="E224" s="178">
        <f>'4B Biological treatment '!U277</f>
        <v>19.968587346748063</v>
      </c>
      <c r="F224" s="178">
        <f>'4B Biological treatment '!W277</f>
        <v>1.1981152408048836</v>
      </c>
      <c r="G224" s="952">
        <f>'4C2 Open-burning '!R182</f>
        <v>10.067163880196841</v>
      </c>
      <c r="H224" s="952">
        <f>'4C2 Open-burning '!Z182</f>
        <v>3.3872924357131948</v>
      </c>
      <c r="I224" s="952">
        <f>'4C2 Open-burning '!AH182</f>
        <v>4.715682781895171E-2</v>
      </c>
      <c r="J224" s="987">
        <f>'4D Wastewater treatment and dis'!AV219</f>
        <v>232.87789055291285</v>
      </c>
      <c r="K224" s="770">
        <f>'4D Wastewater treatment and dis'!AW219</f>
        <v>3.6705596211764653</v>
      </c>
      <c r="L224" s="771">
        <f t="shared" si="150"/>
        <v>7074.6957863948555</v>
      </c>
      <c r="M224" s="772">
        <f t="shared" si="146"/>
        <v>83.868066856341869</v>
      </c>
      <c r="N224" s="771">
        <f t="shared" si="147"/>
        <v>790.75605893122327</v>
      </c>
      <c r="O224" s="773">
        <f t="shared" si="148"/>
        <v>95.818921654048964</v>
      </c>
      <c r="P224" s="771">
        <f t="shared" si="149"/>
        <v>6028.3091841758742</v>
      </c>
      <c r="Q224" s="519">
        <f t="shared" si="141"/>
        <v>7074.6957863948555</v>
      </c>
      <c r="R224" s="521">
        <f t="shared" si="142"/>
        <v>874.62412578756516</v>
      </c>
      <c r="S224" s="518">
        <f t="shared" si="143"/>
        <v>95.818921654048964</v>
      </c>
      <c r="T224" s="519">
        <f t="shared" si="144"/>
        <v>6028.3091841758742</v>
      </c>
      <c r="U224" s="519">
        <f t="shared" si="145"/>
        <v>14073.448018012343</v>
      </c>
    </row>
    <row r="225" spans="1:21">
      <c r="A225">
        <f>'Input data'!A144</f>
        <v>2044</v>
      </c>
      <c r="C225" s="314">
        <f>'4A SWD Case 3'!BN114</f>
        <v>327.49528300535428</v>
      </c>
      <c r="D225" s="3">
        <f>'4B Biological treatment '!T278</f>
        <v>4.0249986075411348</v>
      </c>
      <c r="E225" s="178">
        <f>'4B Biological treatment '!U278</f>
        <v>20.124993037705671</v>
      </c>
      <c r="F225" s="178">
        <f>'4B Biological treatment '!W278</f>
        <v>1.2074995822623402</v>
      </c>
      <c r="G225" s="952">
        <f>'4C2 Open-burning '!R183</f>
        <v>10.048531743159943</v>
      </c>
      <c r="H225" s="952">
        <f>'4C2 Open-burning '!Z183</f>
        <v>3.381023292030096</v>
      </c>
      <c r="I225" s="952">
        <f>'4C2 Open-burning '!AH183</f>
        <v>4.7069550757745181E-2</v>
      </c>
      <c r="J225" s="987">
        <f>'4D Wastewater treatment and dis'!AV220</f>
        <v>234.25639934533061</v>
      </c>
      <c r="K225" s="770">
        <f>'4D Wastewater treatment and dis'!AW220</f>
        <v>3.6922873115934127</v>
      </c>
      <c r="L225" s="771">
        <f t="shared" si="150"/>
        <v>6877.4009431124396</v>
      </c>
      <c r="M225" s="772">
        <f t="shared" si="146"/>
        <v>84.524970758363835</v>
      </c>
      <c r="N225" s="771">
        <f t="shared" si="147"/>
        <v>796.94972429314453</v>
      </c>
      <c r="O225" s="773">
        <f t="shared" si="148"/>
        <v>95.641581610692967</v>
      </c>
      <c r="P225" s="771">
        <f t="shared" si="149"/>
        <v>6063.9934528459007</v>
      </c>
      <c r="Q225" s="519">
        <f t="shared" si="141"/>
        <v>6877.4009431124396</v>
      </c>
      <c r="R225" s="521">
        <f t="shared" si="142"/>
        <v>881.47469505150832</v>
      </c>
      <c r="S225" s="518">
        <f t="shared" si="143"/>
        <v>95.641581610692967</v>
      </c>
      <c r="T225" s="519">
        <f t="shared" si="144"/>
        <v>6063.9934528459007</v>
      </c>
      <c r="U225" s="519">
        <f t="shared" si="145"/>
        <v>13918.510672620541</v>
      </c>
    </row>
    <row r="226" spans="1:21">
      <c r="A226">
        <f>'Input data'!A145</f>
        <v>2045</v>
      </c>
      <c r="C226" s="314">
        <f>'4A SWD Case 3'!BN115</f>
        <v>318.72548952641569</v>
      </c>
      <c r="D226" s="3">
        <f>'4B Biological treatment '!T279</f>
        <v>4.0577075450701816</v>
      </c>
      <c r="E226" s="178">
        <f>'4B Biological treatment '!U279</f>
        <v>20.288537725350906</v>
      </c>
      <c r="F226" s="178">
        <f>'4B Biological treatment '!W279</f>
        <v>1.2173122635210545</v>
      </c>
      <c r="G226" s="952">
        <f>'4C2 Open-burning '!R184</f>
        <v>10.030761976872286</v>
      </c>
      <c r="H226" s="952">
        <f>'4C2 Open-burning '!Z184</f>
        <v>3.3750443097023153</v>
      </c>
      <c r="I226" s="952">
        <f>'4C2 Open-burning '!AH184</f>
        <v>4.6986313232342578E-2</v>
      </c>
      <c r="J226" s="987">
        <f>'4D Wastewater treatment and dis'!AV221</f>
        <v>235.59125005915769</v>
      </c>
      <c r="K226" s="770">
        <f>'4D Wastewater treatment and dis'!AW221</f>
        <v>3.7133268749407069</v>
      </c>
      <c r="L226" s="771">
        <f t="shared" si="150"/>
        <v>6693.2352800547296</v>
      </c>
      <c r="M226" s="772">
        <f t="shared" si="146"/>
        <v>85.211858446473812</v>
      </c>
      <c r="N226" s="771">
        <f t="shared" si="147"/>
        <v>803.42609392389591</v>
      </c>
      <c r="O226" s="773">
        <f t="shared" si="148"/>
        <v>95.472449582647101</v>
      </c>
      <c r="P226" s="771">
        <f t="shared" si="149"/>
        <v>6098.5475824739315</v>
      </c>
      <c r="Q226" s="519">
        <f t="shared" si="141"/>
        <v>6693.2352800547296</v>
      </c>
      <c r="R226" s="521">
        <f t="shared" si="142"/>
        <v>888.6379523703697</v>
      </c>
      <c r="S226" s="518">
        <f t="shared" si="143"/>
        <v>95.472449582647101</v>
      </c>
      <c r="T226" s="519">
        <f t="shared" si="144"/>
        <v>6098.5475824739315</v>
      </c>
      <c r="U226" s="519">
        <f t="shared" si="145"/>
        <v>13775.893264481678</v>
      </c>
    </row>
    <row r="227" spans="1:21">
      <c r="A227">
        <f>'Input data'!A146</f>
        <v>2046</v>
      </c>
      <c r="C227" s="314">
        <f>'4A SWD Case 3'!BN116</f>
        <v>310.55268553250136</v>
      </c>
      <c r="D227" s="3">
        <f>'4B Biological treatment '!T280</f>
        <v>4.091270401621272</v>
      </c>
      <c r="E227" s="178">
        <f>'4B Biological treatment '!U280</f>
        <v>20.456352008106357</v>
      </c>
      <c r="F227" s="178">
        <f>'4B Biological treatment '!W280</f>
        <v>1.2273811204863814</v>
      </c>
      <c r="G227" s="952">
        <f>'4C2 Open-burning '!R185</f>
        <v>10.013833716749664</v>
      </c>
      <c r="H227" s="952">
        <f>'4C2 Open-burning '!Z185</f>
        <v>3.3693484684360433</v>
      </c>
      <c r="I227" s="952">
        <f>'4C2 Open-burning '!AH185</f>
        <v>4.6907017508405147E-2</v>
      </c>
      <c r="J227" s="987">
        <f>'4D Wastewater treatment and dis'!AV222</f>
        <v>236.88159371811045</v>
      </c>
      <c r="K227" s="770">
        <f>'4D Wastewater treatment and dis'!AW222</f>
        <v>3.7336649298790605</v>
      </c>
      <c r="L227" s="771">
        <f t="shared" si="150"/>
        <v>6521.6063961825284</v>
      </c>
      <c r="M227" s="772">
        <f t="shared" si="146"/>
        <v>85.916678434046716</v>
      </c>
      <c r="N227" s="771">
        <f t="shared" si="147"/>
        <v>810.07153952101169</v>
      </c>
      <c r="O227" s="773">
        <f t="shared" si="148"/>
        <v>95.311326981512167</v>
      </c>
      <c r="P227" s="771">
        <f t="shared" si="149"/>
        <v>6131.949596342828</v>
      </c>
      <c r="Q227" s="519">
        <f t="shared" si="141"/>
        <v>6521.6063961825284</v>
      </c>
      <c r="R227" s="521">
        <f t="shared" si="142"/>
        <v>895.98821795505842</v>
      </c>
      <c r="S227" s="518">
        <f t="shared" si="143"/>
        <v>95.311326981512167</v>
      </c>
      <c r="T227" s="519">
        <f t="shared" si="144"/>
        <v>6131.949596342828</v>
      </c>
      <c r="U227" s="519">
        <f t="shared" si="145"/>
        <v>13644.855537461928</v>
      </c>
    </row>
    <row r="228" spans="1:21">
      <c r="A228">
        <f>'Input data'!A147</f>
        <v>2047</v>
      </c>
      <c r="C228" s="314">
        <f>'4A SWD Case 3'!BN117</f>
        <v>302.90779456590724</v>
      </c>
      <c r="D228" s="3">
        <f>'4B Biological treatment '!T281</f>
        <v>4.1118962130213248</v>
      </c>
      <c r="E228" s="178">
        <f>'4B Biological treatment '!U281</f>
        <v>20.55948106510662</v>
      </c>
      <c r="F228" s="178">
        <f>'4B Biological treatment '!W281</f>
        <v>1.2335688639063971</v>
      </c>
      <c r="G228" s="952">
        <f>'4C2 Open-burning '!R186</f>
        <v>9.9977272932780465</v>
      </c>
      <c r="H228" s="952">
        <f>'4C2 Open-burning '!Z186</f>
        <v>3.3639291500419994</v>
      </c>
      <c r="I228" s="952">
        <f>'4C2 Open-burning '!AH186</f>
        <v>4.683157144956783E-2</v>
      </c>
      <c r="J228" s="987">
        <f>'4D Wastewater treatment and dis'!AV223</f>
        <v>238.12660585564302</v>
      </c>
      <c r="K228" s="770">
        <f>'4D Wastewater treatment and dis'!AW223</f>
        <v>3.753288481385181</v>
      </c>
      <c r="L228" s="771">
        <f t="shared" si="150"/>
        <v>6361.0636858840517</v>
      </c>
      <c r="M228" s="772">
        <f t="shared" si="146"/>
        <v>86.349820473447821</v>
      </c>
      <c r="N228" s="771">
        <f t="shared" si="147"/>
        <v>814.15545017822205</v>
      </c>
      <c r="O228" s="773">
        <f t="shared" si="148"/>
        <v>95.15802659352606</v>
      </c>
      <c r="P228" s="771">
        <f t="shared" si="149"/>
        <v>6164.1781521979101</v>
      </c>
      <c r="Q228" s="519">
        <f t="shared" si="141"/>
        <v>6361.0636858840517</v>
      </c>
      <c r="R228" s="521">
        <f t="shared" si="142"/>
        <v>900.50527065166989</v>
      </c>
      <c r="S228" s="518">
        <f t="shared" si="143"/>
        <v>95.15802659352606</v>
      </c>
      <c r="T228" s="519">
        <f t="shared" si="144"/>
        <v>6164.1781521979101</v>
      </c>
      <c r="U228" s="519">
        <f t="shared" si="145"/>
        <v>13520.905135327157</v>
      </c>
    </row>
    <row r="229" spans="1:21">
      <c r="A229">
        <f>'Input data'!A148</f>
        <v>2048</v>
      </c>
      <c r="C229" s="314">
        <f>'4A SWD Case 3'!BN118</f>
        <v>295.75424832912125</v>
      </c>
      <c r="D229" s="3">
        <f>'4B Biological treatment '!T282</f>
        <v>4.1306080940835326</v>
      </c>
      <c r="E229" s="178">
        <f>'4B Biological treatment '!U282</f>
        <v>20.653040470417661</v>
      </c>
      <c r="F229" s="178">
        <f>'4B Biological treatment '!W282</f>
        <v>1.2391824282250596</v>
      </c>
      <c r="G229" s="952">
        <f>'4C2 Open-burning '!R187</f>
        <v>9.9824241794746182</v>
      </c>
      <c r="H229" s="952">
        <f>'4C2 Open-burning '!Z187</f>
        <v>3.3587801207576762</v>
      </c>
      <c r="I229" s="952">
        <f>'4C2 Open-burning '!AH187</f>
        <v>4.675988827133512E-2</v>
      </c>
      <c r="J229" s="987">
        <f>'4D Wastewater treatment and dis'!AV224</f>
        <v>239.32548738952781</v>
      </c>
      <c r="K229" s="770">
        <f>'4D Wastewater treatment and dis'!AW224</f>
        <v>3.7721849345366727</v>
      </c>
      <c r="L229" s="771">
        <f t="shared" si="150"/>
        <v>6210.8392149115462</v>
      </c>
      <c r="M229" s="772">
        <f t="shared" si="146"/>
        <v>86.742769975754186</v>
      </c>
      <c r="N229" s="771">
        <f t="shared" si="147"/>
        <v>817.8604026285393</v>
      </c>
      <c r="O229" s="773">
        <f t="shared" si="148"/>
        <v>95.012372079499713</v>
      </c>
      <c r="P229" s="771">
        <f t="shared" si="149"/>
        <v>6195.212564886453</v>
      </c>
      <c r="Q229" s="519">
        <f t="shared" si="141"/>
        <v>6210.8392149115462</v>
      </c>
      <c r="R229" s="521">
        <f t="shared" si="142"/>
        <v>904.60317260429349</v>
      </c>
      <c r="S229" s="518">
        <f t="shared" si="143"/>
        <v>95.012372079499713</v>
      </c>
      <c r="T229" s="519">
        <f t="shared" si="144"/>
        <v>6195.212564886453</v>
      </c>
      <c r="U229" s="519">
        <f t="shared" si="145"/>
        <v>13405.667324481794</v>
      </c>
    </row>
    <row r="230" spans="1:21">
      <c r="A230">
        <f>'Input data'!A149</f>
        <v>2049</v>
      </c>
      <c r="C230" s="314">
        <f>'4A SWD Case 3'!BN119</f>
        <v>289.06669339510205</v>
      </c>
      <c r="D230" s="3">
        <f>'4B Biological treatment '!T283</f>
        <v>4.1505476006923123</v>
      </c>
      <c r="E230" s="178">
        <f>'4B Biological treatment '!U283</f>
        <v>20.752738003461559</v>
      </c>
      <c r="F230" s="178">
        <f>'4B Biological treatment '!W283</f>
        <v>1.2451642802076937</v>
      </c>
      <c r="G230" s="952">
        <f>'4C2 Open-burning '!R188</f>
        <v>9.9679150350377022</v>
      </c>
      <c r="H230" s="952">
        <f>'4C2 Open-burning '!Z188</f>
        <v>3.3538982378575177</v>
      </c>
      <c r="I230" s="952">
        <f>'4C2 Open-burning '!AH188</f>
        <v>4.669192422166292E-2</v>
      </c>
      <c r="J230" s="987">
        <f>'4D Wastewater treatment and dis'!AV225</f>
        <v>240.47681925044208</v>
      </c>
      <c r="K230" s="770">
        <f>'4D Wastewater treatment and dis'!AW225</f>
        <v>3.790331922338789</v>
      </c>
      <c r="L230" s="771">
        <f t="shared" si="150"/>
        <v>6070.4005612971432</v>
      </c>
      <c r="M230" s="772">
        <f t="shared" si="146"/>
        <v>87.161499614538556</v>
      </c>
      <c r="N230" s="771">
        <f t="shared" si="147"/>
        <v>821.80842493707769</v>
      </c>
      <c r="O230" s="773">
        <f t="shared" si="148"/>
        <v>94.874274538761085</v>
      </c>
      <c r="P230" s="771">
        <f t="shared" si="149"/>
        <v>6225.016100184308</v>
      </c>
      <c r="Q230" s="519">
        <f t="shared" si="141"/>
        <v>6070.4005612971432</v>
      </c>
      <c r="R230" s="521">
        <f t="shared" si="142"/>
        <v>908.96992455161626</v>
      </c>
      <c r="S230" s="518">
        <f t="shared" si="143"/>
        <v>94.874274538761085</v>
      </c>
      <c r="T230" s="519">
        <f t="shared" si="144"/>
        <v>6225.016100184308</v>
      </c>
      <c r="U230" s="519">
        <f t="shared" si="145"/>
        <v>13299.260860571829</v>
      </c>
    </row>
    <row r="231" spans="1:21">
      <c r="A231">
        <f>'Input data'!A150</f>
        <v>2050</v>
      </c>
      <c r="C231" s="314">
        <f>'4A SWD Case 3'!BN120</f>
        <v>282.82363992095298</v>
      </c>
      <c r="D231" s="3">
        <f>'4B Biological treatment '!T284</f>
        <v>4.1691497914321864</v>
      </c>
      <c r="E231" s="178">
        <f>'4B Biological treatment '!U284</f>
        <v>20.845748957160932</v>
      </c>
      <c r="F231" s="178">
        <f>'4B Biological treatment '!W284</f>
        <v>1.250744937429656</v>
      </c>
      <c r="G231" s="952">
        <f>'4C2 Open-burning '!R189</f>
        <v>9.9541833012431571</v>
      </c>
      <c r="H231" s="952">
        <f>'4C2 Open-burning '!Z189</f>
        <v>3.3492779298377999</v>
      </c>
      <c r="I231" s="952">
        <f>'4C2 Open-burning '!AH189</f>
        <v>4.662760173581576E-2</v>
      </c>
      <c r="J231" s="987">
        <f>'4D Wastewater treatment and dis'!AV226</f>
        <v>241.57984647045004</v>
      </c>
      <c r="K231" s="770">
        <f>'4D Wastewater treatment and dis'!AW226</f>
        <v>3.8077175451869141</v>
      </c>
      <c r="L231" s="771">
        <f t="shared" si="150"/>
        <v>5939.2964383400131</v>
      </c>
      <c r="M231" s="772">
        <f t="shared" si="146"/>
        <v>87.552145620075919</v>
      </c>
      <c r="N231" s="771">
        <f t="shared" si="147"/>
        <v>825.49165870357297</v>
      </c>
      <c r="O231" s="773">
        <f t="shared" si="148"/>
        <v>94.743576365939845</v>
      </c>
      <c r="P231" s="771">
        <f t="shared" si="149"/>
        <v>6253.5692148873932</v>
      </c>
      <c r="Q231" s="471">
        <f t="shared" si="141"/>
        <v>5939.2964383400131</v>
      </c>
      <c r="R231" s="517">
        <f t="shared" si="142"/>
        <v>913.04380432364883</v>
      </c>
      <c r="S231" s="514">
        <f t="shared" si="143"/>
        <v>94.743576365939845</v>
      </c>
      <c r="T231" s="471">
        <f t="shared" si="144"/>
        <v>6253.5692148873932</v>
      </c>
      <c r="U231" s="471">
        <f t="shared" si="145"/>
        <v>13200.653033916995</v>
      </c>
    </row>
    <row r="232" spans="1:21">
      <c r="E232" s="515"/>
    </row>
    <row r="233" spans="1:21">
      <c r="E233" s="515"/>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522" t="s">
        <v>817</v>
      </c>
    </row>
    <row r="4" spans="63:152" ht="31.5">
      <c r="DU4" s="1109" t="s">
        <v>628</v>
      </c>
      <c r="EV4" s="1687" t="s">
        <v>816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3" t="s">
        <v>750</v>
      </c>
      <c r="C1" s="1774"/>
      <c r="D1" s="1774"/>
      <c r="E1" s="1774"/>
      <c r="F1" s="1775"/>
      <c r="H1" s="1773" t="s">
        <v>751</v>
      </c>
      <c r="I1" s="1774"/>
      <c r="J1" s="1774"/>
      <c r="K1" s="1774"/>
      <c r="L1" s="1775"/>
      <c r="M1" s="1767" t="s">
        <v>754</v>
      </c>
    </row>
    <row r="2" spans="1:13">
      <c r="B2" s="1762" t="s">
        <v>518</v>
      </c>
      <c r="C2" s="1763"/>
      <c r="D2" s="1763"/>
      <c r="E2" s="1763"/>
      <c r="F2" s="1764"/>
      <c r="H2" s="1762" t="s">
        <v>518</v>
      </c>
      <c r="I2" s="1763"/>
      <c r="J2" s="1763"/>
      <c r="K2" s="1763"/>
      <c r="L2" s="1764"/>
      <c r="M2" s="1768"/>
    </row>
    <row r="3" spans="1:13">
      <c r="B3" s="509" t="s">
        <v>187</v>
      </c>
      <c r="C3" s="512" t="s">
        <v>194</v>
      </c>
      <c r="D3" s="512" t="s">
        <v>513</v>
      </c>
      <c r="E3" s="512" t="s">
        <v>517</v>
      </c>
      <c r="F3" s="513">
        <v>4</v>
      </c>
      <c r="H3" s="509" t="s">
        <v>187</v>
      </c>
      <c r="I3" s="512" t="s">
        <v>194</v>
      </c>
      <c r="J3" s="512" t="s">
        <v>513</v>
      </c>
      <c r="K3" s="512" t="s">
        <v>517</v>
      </c>
      <c r="L3" s="513">
        <v>4</v>
      </c>
      <c r="M3" s="1768"/>
    </row>
    <row r="4" spans="1:13" ht="75">
      <c r="B4" s="509" t="s">
        <v>233</v>
      </c>
      <c r="C4" s="512" t="s">
        <v>512</v>
      </c>
      <c r="D4" s="512" t="s">
        <v>38</v>
      </c>
      <c r="E4" s="512" t="s">
        <v>193</v>
      </c>
      <c r="F4" s="513" t="s">
        <v>627</v>
      </c>
      <c r="H4" s="509" t="s">
        <v>233</v>
      </c>
      <c r="I4" s="512" t="s">
        <v>512</v>
      </c>
      <c r="J4" s="512" t="s">
        <v>38</v>
      </c>
      <c r="K4" s="512" t="s">
        <v>193</v>
      </c>
      <c r="L4" s="513" t="s">
        <v>627</v>
      </c>
      <c r="M4" s="1768"/>
    </row>
    <row r="5" spans="1:13" ht="15.75" thickBot="1">
      <c r="B5" s="1759" t="s">
        <v>515</v>
      </c>
      <c r="C5" s="1760"/>
      <c r="D5" s="1760"/>
      <c r="E5" s="1760"/>
      <c r="F5" s="1761"/>
      <c r="H5" s="1759" t="s">
        <v>515</v>
      </c>
      <c r="I5" s="1760"/>
      <c r="J5" s="1760"/>
      <c r="K5" s="1760"/>
      <c r="L5" s="1761"/>
      <c r="M5" s="1769"/>
    </row>
    <row r="7" spans="1:13">
      <c r="A7" s="413">
        <v>2000</v>
      </c>
      <c r="B7" s="471">
        <f>'Output data (results)'!Q10</f>
        <v>15699.590857197203</v>
      </c>
      <c r="C7" s="471">
        <f>'Output data (results)'!R10</f>
        <v>317.6894945273184</v>
      </c>
      <c r="D7" s="471">
        <f>'Output data (results)'!S10</f>
        <v>252.83335953932928</v>
      </c>
      <c r="E7" s="471">
        <f>'Output data (results)'!T10</f>
        <v>2831.8730929925982</v>
      </c>
      <c r="F7" s="471">
        <f>'Output data (results)'!U10</f>
        <v>19101.986804256449</v>
      </c>
      <c r="H7" s="471">
        <v>10533.924430337305</v>
      </c>
      <c r="I7" s="471">
        <v>0</v>
      </c>
      <c r="J7" s="471">
        <v>280.4959266912</v>
      </c>
      <c r="K7" s="471">
        <v>2743.4280331618288</v>
      </c>
      <c r="L7" s="471">
        <v>13557.848390190333</v>
      </c>
      <c r="M7" s="1412">
        <f>(F7-L7)/L7</f>
        <v>0.40892465046869314</v>
      </c>
    </row>
    <row r="8" spans="1:13">
      <c r="A8" s="53">
        <v>2001</v>
      </c>
      <c r="B8" s="519">
        <f>'Output data (results)'!Q11</f>
        <v>16195.23027442346</v>
      </c>
      <c r="C8" s="519">
        <f>'Output data (results)'!R11</f>
        <v>325.32074120309005</v>
      </c>
      <c r="D8" s="519">
        <f>'Output data (results)'!S11</f>
        <v>258.06241311161995</v>
      </c>
      <c r="E8" s="519">
        <f>'Output data (results)'!T11</f>
        <v>2890.4413774158538</v>
      </c>
      <c r="F8" s="519">
        <f>'Output data (results)'!U11</f>
        <v>19669.054806154025</v>
      </c>
      <c r="H8" s="519">
        <v>10964.910265635064</v>
      </c>
      <c r="I8" s="519">
        <v>0</v>
      </c>
      <c r="J8" s="519">
        <v>286.29709244776791</v>
      </c>
      <c r="K8" s="519">
        <v>2800.1671129385845</v>
      </c>
      <c r="L8" s="519">
        <v>14051.374471021418</v>
      </c>
      <c r="M8" s="1412">
        <f t="shared" ref="M8:M24" si="0">(F8-L8)/L8</f>
        <v>0.39979578842753938</v>
      </c>
    </row>
    <row r="9" spans="1:13">
      <c r="A9" s="53">
        <v>2002</v>
      </c>
      <c r="B9" s="519">
        <f>'Output data (results)'!Q12</f>
        <v>16696.515596720052</v>
      </c>
      <c r="C9" s="519">
        <f>'Output data (results)'!R12</f>
        <v>333.8224538634463</v>
      </c>
      <c r="D9" s="519">
        <f>'Output data (results)'!S12</f>
        <v>261.64230363418824</v>
      </c>
      <c r="E9" s="519">
        <f>'Output data (results)'!T12</f>
        <v>2930.5381259825444</v>
      </c>
      <c r="F9" s="519">
        <f>'Output data (results)'!U12</f>
        <v>20222.51848020023</v>
      </c>
      <c r="H9" s="519">
        <v>11393.849070741173</v>
      </c>
      <c r="I9" s="519">
        <v>0</v>
      </c>
      <c r="J9" s="519">
        <v>290.26865977341839</v>
      </c>
      <c r="K9" s="519">
        <v>2839.0115598626717</v>
      </c>
      <c r="L9" s="519">
        <v>14523.129290377263</v>
      </c>
      <c r="M9" s="1412">
        <f t="shared" si="0"/>
        <v>0.39243534061211371</v>
      </c>
    </row>
    <row r="10" spans="1:13">
      <c r="A10" s="53">
        <v>2003</v>
      </c>
      <c r="B10" s="519">
        <f>'Output data (results)'!Q13</f>
        <v>17206.223024529128</v>
      </c>
      <c r="C10" s="519">
        <f>'Output data (results)'!R13</f>
        <v>341.08063599266143</v>
      </c>
      <c r="D10" s="519">
        <f>'Output data (results)'!S13</f>
        <v>264.99234564808432</v>
      </c>
      <c r="E10" s="519">
        <f>'Output data (results)'!T13</f>
        <v>2968.0604444646974</v>
      </c>
      <c r="F10" s="519">
        <f>'Output data (results)'!U13</f>
        <v>20780.356450634568</v>
      </c>
      <c r="H10" s="519">
        <v>11815.503726588919</v>
      </c>
      <c r="I10" s="519">
        <v>0</v>
      </c>
      <c r="J10" s="519">
        <v>293.98523080207673</v>
      </c>
      <c r="K10" s="519">
        <v>2875.3619813020655</v>
      </c>
      <c r="L10" s="519">
        <v>14984.85093869306</v>
      </c>
      <c r="M10" s="1412">
        <f t="shared" si="0"/>
        <v>0.3867576351378092</v>
      </c>
    </row>
    <row r="11" spans="1:13">
      <c r="A11" s="53">
        <v>2004</v>
      </c>
      <c r="B11" s="519">
        <f>'Output data (results)'!Q14</f>
        <v>17653.011273218937</v>
      </c>
      <c r="C11" s="519">
        <f>'Output data (results)'!R14</f>
        <v>351.33417334640478</v>
      </c>
      <c r="D11" s="519">
        <f>'Output data (results)'!S14</f>
        <v>268.1470164296091</v>
      </c>
      <c r="E11" s="519">
        <f>'Output data (results)'!T14</f>
        <v>3003.3944973749908</v>
      </c>
      <c r="F11" s="519">
        <f>'Output data (results)'!U14</f>
        <v>21275.886960369939</v>
      </c>
      <c r="H11" s="519">
        <v>12229.217124216619</v>
      </c>
      <c r="I11" s="519">
        <v>0</v>
      </c>
      <c r="J11" s="519">
        <v>297.485054978292</v>
      </c>
      <c r="K11" s="519">
        <v>2909.5924810794709</v>
      </c>
      <c r="L11" s="519">
        <v>15436.294660274381</v>
      </c>
      <c r="M11" s="1412">
        <f t="shared" si="0"/>
        <v>0.37830272281105559</v>
      </c>
    </row>
    <row r="12" spans="1:13">
      <c r="A12" s="53">
        <v>2005</v>
      </c>
      <c r="B12" s="519">
        <f>'Output data (results)'!Q15</f>
        <v>18046.724983933738</v>
      </c>
      <c r="C12" s="519">
        <f>'Output data (results)'!R15</f>
        <v>363.30579004481376</v>
      </c>
      <c r="D12" s="519">
        <f>'Output data (results)'!S15</f>
        <v>271.20974780766511</v>
      </c>
      <c r="E12" s="519">
        <f>'Output data (results)'!T15</f>
        <v>3037.6987782514689</v>
      </c>
      <c r="F12" s="519">
        <f>'Output data (results)'!U15</f>
        <v>21718.939300037688</v>
      </c>
      <c r="H12" s="519">
        <v>12635.361530682268</v>
      </c>
      <c r="I12" s="519">
        <v>0</v>
      </c>
      <c r="J12" s="519">
        <v>300.88288063571031</v>
      </c>
      <c r="K12" s="519">
        <v>2942.8253706630003</v>
      </c>
      <c r="L12" s="519">
        <v>15879.069781980979</v>
      </c>
      <c r="M12" s="1412">
        <f t="shared" si="0"/>
        <v>0.36777151295623067</v>
      </c>
    </row>
    <row r="13" spans="1:13">
      <c r="A13" s="53">
        <v>2006</v>
      </c>
      <c r="B13" s="519">
        <f>'Output data (results)'!Q16</f>
        <v>18390.195075359468</v>
      </c>
      <c r="C13" s="519">
        <f>'Output data (results)'!R16</f>
        <v>376.47550160082596</v>
      </c>
      <c r="D13" s="519">
        <f>'Output data (results)'!S16</f>
        <v>274.27247918572107</v>
      </c>
      <c r="E13" s="519">
        <f>'Output data (results)'!T16</f>
        <v>3072.0030591279478</v>
      </c>
      <c r="F13" s="519">
        <f>'Output data (results)'!U16</f>
        <v>22112.946115273964</v>
      </c>
      <c r="H13" s="519">
        <v>13034.366247930175</v>
      </c>
      <c r="I13" s="519">
        <v>0</v>
      </c>
      <c r="J13" s="519">
        <v>304.28070629312867</v>
      </c>
      <c r="K13" s="519">
        <v>2976.0582602465283</v>
      </c>
      <c r="L13" s="519">
        <v>16314.705214469832</v>
      </c>
      <c r="M13" s="1412">
        <f t="shared" si="0"/>
        <v>0.35539967315263282</v>
      </c>
    </row>
    <row r="14" spans="1:13">
      <c r="A14" s="53">
        <v>2007</v>
      </c>
      <c r="B14" s="519">
        <f>'Output data (results)'!Q17</f>
        <v>18683.341889219231</v>
      </c>
      <c r="C14" s="519">
        <f>'Output data (results)'!R17</f>
        <v>389.73702491738641</v>
      </c>
      <c r="D14" s="519">
        <f>'Output data (results)'!S17</f>
        <v>277.29498707475938</v>
      </c>
      <c r="E14" s="519">
        <f>'Output data (results)'!T17</f>
        <v>3105.8568147396318</v>
      </c>
      <c r="F14" s="519">
        <f>'Output data (results)'!U17</f>
        <v>22456.230715951009</v>
      </c>
      <c r="H14" s="519">
        <v>13426.83686526205</v>
      </c>
      <c r="I14" s="519">
        <v>0</v>
      </c>
      <c r="J14" s="519">
        <v>307.63390759857356</v>
      </c>
      <c r="K14" s="519">
        <v>3008.8546953702357</v>
      </c>
      <c r="L14" s="519">
        <v>16743.325468230862</v>
      </c>
      <c r="M14" s="1412">
        <f t="shared" si="0"/>
        <v>0.34120493318725331</v>
      </c>
    </row>
    <row r="15" spans="1:13">
      <c r="A15" s="53">
        <v>2008</v>
      </c>
      <c r="B15" s="519">
        <f>'Output data (results)'!Q18</f>
        <v>18922.774617419884</v>
      </c>
      <c r="C15" s="519">
        <f>'Output data (results)'!R18</f>
        <v>398.75625295109984</v>
      </c>
      <c r="D15" s="519">
        <f>'Output data (results)'!S18</f>
        <v>280.37495709096584</v>
      </c>
      <c r="E15" s="519">
        <f>'Output data (results)'!T18</f>
        <v>3140.3541778724511</v>
      </c>
      <c r="F15" s="519">
        <f>'Output data (results)'!U18</f>
        <v>22742.260005334403</v>
      </c>
      <c r="H15" s="519">
        <v>13813.037752763516</v>
      </c>
      <c r="I15" s="519">
        <v>0</v>
      </c>
      <c r="J15" s="519">
        <v>311.05085797826627</v>
      </c>
      <c r="K15" s="519">
        <v>3042.274636865116</v>
      </c>
      <c r="L15" s="519">
        <v>17166.363247606896</v>
      </c>
      <c r="M15" s="1412">
        <f t="shared" si="0"/>
        <v>0.32481526094380087</v>
      </c>
    </row>
    <row r="16" spans="1:13">
      <c r="A16" s="53">
        <v>2009</v>
      </c>
      <c r="B16" s="519">
        <f>'Output data (results)'!Q19</f>
        <v>19097.901734560917</v>
      </c>
      <c r="C16" s="519">
        <f>'Output data (results)'!R19</f>
        <v>396.97179035172871</v>
      </c>
      <c r="D16" s="519">
        <f>'Output data (results)'!S19</f>
        <v>283.40321119272096</v>
      </c>
      <c r="E16" s="519">
        <f>'Output data (results)'!T19</f>
        <v>3174.2722942362484</v>
      </c>
      <c r="F16" s="519">
        <f>'Output data (results)'!U19</f>
        <v>22952.549030341619</v>
      </c>
      <c r="H16" s="519">
        <v>14192.753023342679</v>
      </c>
      <c r="I16" s="519">
        <v>0</v>
      </c>
      <c r="J16" s="519">
        <v>314.41043419113589</v>
      </c>
      <c r="K16" s="519">
        <v>3075.1334226259405</v>
      </c>
      <c r="L16" s="519">
        <v>17582.296880159753</v>
      </c>
      <c r="M16" s="1412">
        <f t="shared" si="0"/>
        <v>0.30543518783611123</v>
      </c>
    </row>
    <row r="17" spans="1:13">
      <c r="A17" s="53">
        <v>2010</v>
      </c>
      <c r="B17" s="519">
        <f>'Output data (results)'!Q20</f>
        <v>19193.274593841717</v>
      </c>
      <c r="C17" s="519">
        <f>'Output data (results)'!R20</f>
        <v>456.79851130612758</v>
      </c>
      <c r="D17" s="519">
        <f>'Output data (results)'!S20</f>
        <v>289.10958635758124</v>
      </c>
      <c r="E17" s="519">
        <f>'Output data (results)'!T20</f>
        <v>3209.670707898656</v>
      </c>
      <c r="F17" s="519">
        <f>'Output data (results)'!U20</f>
        <v>23148.853399404081</v>
      </c>
      <c r="H17" s="519">
        <v>14563.494113324392</v>
      </c>
      <c r="I17" s="519">
        <v>0</v>
      </c>
      <c r="J17" s="519">
        <v>317.91663327477596</v>
      </c>
      <c r="K17" s="519">
        <v>3109.4262730404635</v>
      </c>
      <c r="L17" s="519">
        <v>17990.837019639632</v>
      </c>
      <c r="M17" s="1412">
        <f t="shared" si="0"/>
        <v>0.28670241268561986</v>
      </c>
    </row>
    <row r="18" spans="1:13">
      <c r="A18" s="53">
        <v>2011</v>
      </c>
      <c r="B18" s="519">
        <f>'Output data (results)'!Q21</f>
        <v>19170.808594730344</v>
      </c>
      <c r="C18" s="519">
        <f>'Output data (results)'!R21</f>
        <v>487.61891597202572</v>
      </c>
      <c r="D18" s="519">
        <f>'Output data (results)'!S21</f>
        <v>301.9056170360725</v>
      </c>
      <c r="E18" s="519">
        <f>'Output data (results)'!T21</f>
        <v>3332.0204976663595</v>
      </c>
      <c r="F18" s="519">
        <f>'Output data (results)'!U21</f>
        <v>23292.353625404801</v>
      </c>
      <c r="H18" s="519">
        <v>14935.214484849848</v>
      </c>
      <c r="I18" s="519">
        <v>0</v>
      </c>
      <c r="J18" s="519">
        <v>330.03533228932076</v>
      </c>
      <c r="K18" s="519">
        <v>3227.9548342004782</v>
      </c>
      <c r="L18" s="519">
        <v>18493.204651339649</v>
      </c>
      <c r="M18" s="1412">
        <f t="shared" si="0"/>
        <v>0.25950877982186293</v>
      </c>
    </row>
    <row r="19" spans="1:13">
      <c r="A19" s="53">
        <v>2012</v>
      </c>
      <c r="B19" s="519">
        <f>'Output data (results)'!Q22</f>
        <v>19051.284639763846</v>
      </c>
      <c r="C19" s="519">
        <f>'Output data (results)'!R22</f>
        <v>538.64744356540064</v>
      </c>
      <c r="D19" s="519">
        <f>'Output data (results)'!S22</f>
        <v>306.05640080876935</v>
      </c>
      <c r="E19" s="519">
        <f>'Output data (results)'!T22</f>
        <v>3367.704214952827</v>
      </c>
      <c r="F19" s="519">
        <f>'Output data (results)'!U22</f>
        <v>23263.692699090843</v>
      </c>
      <c r="H19" s="519">
        <v>15332.055571910652</v>
      </c>
      <c r="I19" s="519">
        <v>0</v>
      </c>
      <c r="J19" s="519">
        <v>337.75534518075358</v>
      </c>
      <c r="K19" s="519">
        <v>3303.4614557495461</v>
      </c>
      <c r="L19" s="519">
        <v>18973.272372840955</v>
      </c>
      <c r="M19" s="1412">
        <f t="shared" si="0"/>
        <v>0.22612969665640573</v>
      </c>
    </row>
    <row r="20" spans="1:13">
      <c r="A20" s="53">
        <v>2013</v>
      </c>
      <c r="B20" s="519">
        <f>'Output data (results)'!Q23</f>
        <v>18819.509349126125</v>
      </c>
      <c r="C20" s="519">
        <f>'Output data (results)'!R23</f>
        <v>589.15519434167379</v>
      </c>
      <c r="D20" s="519">
        <f>'Output data (results)'!S23</f>
        <v>310.6538874859516</v>
      </c>
      <c r="E20" s="519">
        <f>'Output data (results)'!T23</f>
        <v>3417.8382529883984</v>
      </c>
      <c r="F20" s="519">
        <f>'Output data (results)'!U23</f>
        <v>23137.15668394215</v>
      </c>
      <c r="H20" s="519">
        <v>15737.951382982099</v>
      </c>
      <c r="I20" s="519">
        <v>0</v>
      </c>
      <c r="J20" s="519">
        <v>339.09407573996157</v>
      </c>
      <c r="K20" s="519">
        <v>3316.555089544182</v>
      </c>
      <c r="L20" s="519">
        <v>19393.600548266244</v>
      </c>
      <c r="M20" s="1412">
        <f t="shared" si="0"/>
        <v>0.19303048582232318</v>
      </c>
    </row>
    <row r="21" spans="1:13">
      <c r="A21" s="53">
        <v>2014</v>
      </c>
      <c r="B21" s="519">
        <f>'Output data (results)'!Q24</f>
        <v>18556.493934212805</v>
      </c>
      <c r="C21" s="519">
        <f>'Output data (results)'!R24</f>
        <v>635.23910612615396</v>
      </c>
      <c r="D21" s="519">
        <f>'Output data (results)'!S24</f>
        <v>314.51894299876597</v>
      </c>
      <c r="E21" s="519">
        <f>'Output data (results)'!T24</f>
        <v>3469.8404041167237</v>
      </c>
      <c r="F21" s="519">
        <f>'Output data (results)'!U24</f>
        <v>22976.09238745445</v>
      </c>
      <c r="H21" s="519">
        <v>16159.429496771412</v>
      </c>
      <c r="I21" s="519">
        <v>0</v>
      </c>
      <c r="J21" s="519">
        <v>344.61474556983836</v>
      </c>
      <c r="K21" s="519">
        <v>3370.550741287776</v>
      </c>
      <c r="L21" s="519">
        <v>19874.594983629024</v>
      </c>
      <c r="M21" s="1412">
        <f t="shared" si="0"/>
        <v>0.156053363924154</v>
      </c>
    </row>
    <row r="22" spans="1:13">
      <c r="A22" s="53">
        <v>2015</v>
      </c>
      <c r="B22" s="519">
        <f>'Output data (results)'!Q25</f>
        <v>18263.974243063207</v>
      </c>
      <c r="C22" s="519">
        <f>'Output data (results)'!R25</f>
        <v>677.38176547650767</v>
      </c>
      <c r="D22" s="519">
        <f>'Output data (results)'!S25</f>
        <v>317.61605794264813</v>
      </c>
      <c r="E22" s="519">
        <f>'Output data (results)'!T25</f>
        <v>3523.7828087751991</v>
      </c>
      <c r="F22" s="519">
        <f>'Output data (results)'!U25</f>
        <v>22782.75487525756</v>
      </c>
      <c r="H22" s="519">
        <v>16573.286536721545</v>
      </c>
      <c r="I22" s="519">
        <v>0</v>
      </c>
      <c r="J22" s="519">
        <v>350.33941243730874</v>
      </c>
      <c r="K22" s="519">
        <v>3426.5416134191241</v>
      </c>
      <c r="L22" s="519">
        <v>20350.167562577979</v>
      </c>
      <c r="M22" s="1412">
        <f t="shared" si="0"/>
        <v>0.11953647581521037</v>
      </c>
    </row>
    <row r="23" spans="1:13">
      <c r="A23" s="53">
        <v>2016</v>
      </c>
      <c r="B23" s="519">
        <f>'Output data (results)'!Q26</f>
        <v>17944.000999950382</v>
      </c>
      <c r="C23" s="519">
        <f>'Output data (results)'!R26</f>
        <v>715.43001879258736</v>
      </c>
      <c r="D23" s="519">
        <f>'Output data (results)'!S26</f>
        <v>319.90690368827416</v>
      </c>
      <c r="E23" s="519">
        <f>'Output data (results)'!T26</f>
        <v>3579.7412011442502</v>
      </c>
      <c r="F23" s="519">
        <f>'Output data (results)'!U26</f>
        <v>22559.079123575495</v>
      </c>
      <c r="H23" s="519">
        <v>16975.940539472325</v>
      </c>
      <c r="I23" s="519">
        <v>0</v>
      </c>
      <c r="J23" s="519">
        <v>354.44485281887989</v>
      </c>
      <c r="K23" s="519">
        <v>3466.6954237226737</v>
      </c>
      <c r="L23" s="519">
        <v>20797.08081601388</v>
      </c>
      <c r="M23" s="1412">
        <f t="shared" si="0"/>
        <v>8.4723347625060202E-2</v>
      </c>
    </row>
    <row r="24" spans="1:13">
      <c r="A24" s="413">
        <v>2017</v>
      </c>
      <c r="B24" s="471">
        <f>'Output data (results)'!Q27</f>
        <v>17598.553672728915</v>
      </c>
      <c r="C24" s="471">
        <f>'Output data (results)'!R27</f>
        <v>751.39711693352467</v>
      </c>
      <c r="D24" s="471">
        <f>'Output data (results)'!S27</f>
        <v>321.35014174830235</v>
      </c>
      <c r="E24" s="471">
        <f>'Output data (results)'!T27</f>
        <v>3637.7950868788384</v>
      </c>
      <c r="F24" s="471">
        <f>'Output data (results)'!U27</f>
        <v>22309.09601828958</v>
      </c>
      <c r="H24" s="471">
        <v>17365.956871268652</v>
      </c>
      <c r="I24" s="471">
        <v>0</v>
      </c>
      <c r="J24" s="471">
        <v>360.18226950119993</v>
      </c>
      <c r="K24" s="471">
        <v>3522.810997128257</v>
      </c>
      <c r="L24" s="471">
        <v>21248.950137898111</v>
      </c>
      <c r="M24" s="1412">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226" customWidth="1"/>
    <col min="7" max="7" width="11.85546875" style="1226" customWidth="1"/>
    <col min="8" max="8" width="13.85546875" style="1226" customWidth="1"/>
    <col min="9" max="9" width="11.42578125" style="1226" bestFit="1" customWidth="1"/>
    <col min="10" max="10" width="16.42578125" customWidth="1"/>
    <col min="11" max="11" width="10.140625" customWidth="1"/>
    <col min="12" max="12" width="25.28515625" customWidth="1"/>
    <col min="13" max="13" width="17.28515625" customWidth="1"/>
    <col min="14" max="14" width="15.5703125" style="1226" customWidth="1"/>
    <col min="15" max="15" width="11.85546875" style="1226" customWidth="1"/>
    <col min="16" max="16" width="13.85546875" style="1226" customWidth="1"/>
    <col min="17" max="17" width="12.42578125" style="1226"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24" customWidth="1"/>
    <col min="35" max="35" width="12.7109375" style="624"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225" t="s">
        <v>483</v>
      </c>
      <c r="B2" s="410"/>
    </row>
    <row r="3" spans="1:54" ht="31.9" customHeight="1" thickBot="1">
      <c r="B3" s="1784"/>
      <c r="C3" s="1784"/>
      <c r="E3" s="1227"/>
      <c r="J3" s="1227"/>
      <c r="K3" s="1227"/>
      <c r="M3" s="1227"/>
      <c r="R3" s="1227"/>
      <c r="S3" s="1227"/>
      <c r="T3" s="1227"/>
      <c r="U3" s="1227"/>
      <c r="V3" s="1227"/>
      <c r="W3" s="1227"/>
      <c r="X3" s="1227"/>
      <c r="AL3" s="545" t="s">
        <v>522</v>
      </c>
    </row>
    <row r="4" spans="1:54" ht="50.45" customHeight="1" thickBot="1">
      <c r="A4" s="1782" t="s">
        <v>217</v>
      </c>
      <c r="B4" s="524" t="s">
        <v>354</v>
      </c>
      <c r="C4" s="1352" t="s">
        <v>484</v>
      </c>
      <c r="D4" s="1785" t="s">
        <v>481</v>
      </c>
      <c r="E4" s="1786"/>
      <c r="F4" s="1786"/>
      <c r="G4" s="1786"/>
      <c r="H4" s="1786"/>
      <c r="I4" s="1786"/>
      <c r="J4" s="1786"/>
      <c r="K4" s="1787"/>
      <c r="L4" s="1785" t="s">
        <v>737</v>
      </c>
      <c r="M4" s="1786"/>
      <c r="N4" s="1786"/>
      <c r="O4" s="1786"/>
      <c r="P4" s="1786"/>
      <c r="Q4" s="1786"/>
      <c r="R4" s="1786"/>
      <c r="S4" s="1786"/>
      <c r="T4" s="1788" t="s">
        <v>485</v>
      </c>
      <c r="U4" s="1789"/>
      <c r="V4" s="1789"/>
      <c r="W4" s="1789"/>
      <c r="X4" s="1790"/>
      <c r="Y4" s="1788" t="s">
        <v>492</v>
      </c>
      <c r="Z4" s="1790"/>
      <c r="AA4" s="443" t="s">
        <v>475</v>
      </c>
      <c r="AB4" s="444" t="s">
        <v>479</v>
      </c>
      <c r="AC4" s="1791" t="s">
        <v>485</v>
      </c>
      <c r="AD4" s="1792"/>
      <c r="AE4" s="1792"/>
      <c r="AF4" s="1792"/>
      <c r="AG4" s="1793"/>
      <c r="AH4" s="1791" t="s">
        <v>492</v>
      </c>
      <c r="AI4" s="1794"/>
      <c r="AK4" s="1795" t="s">
        <v>217</v>
      </c>
      <c r="AL4" s="1776" t="s">
        <v>525</v>
      </c>
      <c r="AM4" s="1777"/>
      <c r="AN4" s="1777"/>
      <c r="AO4" s="1777"/>
      <c r="AP4" s="1777"/>
      <c r="AQ4" s="1778"/>
      <c r="AS4" s="1776" t="s">
        <v>526</v>
      </c>
      <c r="AT4" s="1777"/>
      <c r="AU4" s="1777"/>
      <c r="AV4" s="1777"/>
      <c r="AW4" s="1777"/>
      <c r="AX4" s="1778"/>
      <c r="AZ4" s="1779" t="s">
        <v>623</v>
      </c>
      <c r="BA4" s="1780"/>
      <c r="BB4" s="1781"/>
    </row>
    <row r="5" spans="1:54" ht="43.9" customHeight="1" thickBot="1">
      <c r="A5" s="1783"/>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6"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28" t="s">
        <v>491</v>
      </c>
      <c r="AI5" s="1229" t="s">
        <v>370</v>
      </c>
      <c r="AK5" s="1796"/>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3" t="s">
        <v>738</v>
      </c>
      <c r="BA5" s="1154" t="s">
        <v>739</v>
      </c>
      <c r="BB5" s="1155" t="s">
        <v>740</v>
      </c>
    </row>
    <row r="6" spans="1:54" ht="15.6" customHeight="1">
      <c r="A6" s="632">
        <f>'Input data'!A50</f>
        <v>1950</v>
      </c>
      <c r="B6" s="1649">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28.06789123869763</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1">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0">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28.06789123869763</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1">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0">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28.06789123869763</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1">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0">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28.06789123869763</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1">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0">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28.06789123869763</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1">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0">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28.06789123869763</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1">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0">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28.06789123869763</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1">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0">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28.06789123869763</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1">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0">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28.06789123869763</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1">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0">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28.06789123869763</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1">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0">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28.06789123869763</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1">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0">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28.06789123869763</v>
      </c>
      <c r="AB17" s="236">
        <f>'Input data'!L61</f>
        <v>16829.35262096622</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1">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14887.864982248273</v>
      </c>
      <c r="AT17" s="775">
        <f t="shared" si="12"/>
        <v>1169.4822604950132</v>
      </c>
      <c r="AU17" s="775">
        <f t="shared" si="13"/>
        <v>325.98566735873112</v>
      </c>
      <c r="AV17" s="419">
        <f t="shared" si="14"/>
        <v>0</v>
      </c>
      <c r="AW17" s="775">
        <f t="shared" si="15"/>
        <v>446.01971086420332</v>
      </c>
      <c r="AX17" s="530">
        <f t="shared" si="16"/>
        <v>16829.35262096622</v>
      </c>
      <c r="AZ17" s="684">
        <f t="shared" si="22"/>
        <v>21.256545797372222</v>
      </c>
      <c r="BA17" s="417">
        <f t="shared" si="17"/>
        <v>0.13299085848410139</v>
      </c>
      <c r="BB17" s="205">
        <f>'Input data'!D61/10^6</f>
        <v>0</v>
      </c>
    </row>
    <row r="18" spans="1:54">
      <c r="A18" s="542">
        <f>'Input data'!A62</f>
        <v>1962</v>
      </c>
      <c r="B18" s="1230">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28.06789123869763</v>
      </c>
      <c r="AB18" s="236">
        <f>'Input data'!L62</f>
        <v>17869.050351534835</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1">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15807.619876193017</v>
      </c>
      <c r="AT18" s="775">
        <f t="shared" si="12"/>
        <v>1241.7315073651589</v>
      </c>
      <c r="AU18" s="775">
        <f t="shared" si="13"/>
        <v>346.12468079460916</v>
      </c>
      <c r="AV18" s="419">
        <f t="shared" si="14"/>
        <v>0</v>
      </c>
      <c r="AW18" s="775">
        <f t="shared" si="15"/>
        <v>473.57428718205091</v>
      </c>
      <c r="AX18" s="530">
        <f t="shared" si="16"/>
        <v>17869.050351534835</v>
      </c>
      <c r="AZ18" s="684">
        <f t="shared" si="22"/>
        <v>22.415549527662836</v>
      </c>
      <c r="BA18" s="417">
        <f t="shared" si="17"/>
        <v>0.13252988988297007</v>
      </c>
      <c r="BB18" s="205">
        <f>'Input data'!D62/10^6</f>
        <v>0</v>
      </c>
    </row>
    <row r="19" spans="1:54">
      <c r="A19" s="542">
        <f>'Input data'!A63</f>
        <v>1963</v>
      </c>
      <c r="B19" s="1230">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28.06789123869763</v>
      </c>
      <c r="AB19" s="236">
        <f>'Input data'!L63</f>
        <v>19186.644932813691</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1">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16973.212556388185</v>
      </c>
      <c r="AT19" s="775">
        <f t="shared" si="12"/>
        <v>1333.291980547609</v>
      </c>
      <c r="AU19" s="775">
        <f t="shared" si="13"/>
        <v>371.64657450972084</v>
      </c>
      <c r="AV19" s="419">
        <f t="shared" si="14"/>
        <v>0</v>
      </c>
      <c r="AW19" s="775">
        <f t="shared" si="15"/>
        <v>508.49382136817917</v>
      </c>
      <c r="AX19" s="530">
        <f t="shared" si="16"/>
        <v>19186.644932813691</v>
      </c>
      <c r="AZ19" s="684">
        <f t="shared" si="22"/>
        <v>23.852450108663692</v>
      </c>
      <c r="BA19" s="417">
        <f t="shared" si="17"/>
        <v>0.1319190857652229</v>
      </c>
      <c r="BB19" s="205">
        <f>'Input data'!D63/10^6</f>
        <v>0</v>
      </c>
    </row>
    <row r="20" spans="1:54">
      <c r="A20" s="542">
        <f>'Input data'!A64</f>
        <v>1964</v>
      </c>
      <c r="B20" s="1230">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28.06789123869763</v>
      </c>
      <c r="AB20" s="236">
        <f>'Input data'!L64</f>
        <v>20710.02265008535</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1">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18320.848575580698</v>
      </c>
      <c r="AT20" s="775">
        <f t="shared" si="12"/>
        <v>1439.1524528133752</v>
      </c>
      <c r="AU20" s="775">
        <f t="shared" si="13"/>
        <v>401.15450110611005</v>
      </c>
      <c r="AV20" s="419">
        <f t="shared" si="14"/>
        <v>0</v>
      </c>
      <c r="AW20" s="775">
        <f t="shared" si="15"/>
        <v>548.86712058516741</v>
      </c>
      <c r="AX20" s="530">
        <f t="shared" si="16"/>
        <v>20710.02265008535</v>
      </c>
      <c r="AZ20" s="684">
        <f t="shared" si="22"/>
        <v>25.495133825657348</v>
      </c>
      <c r="BA20" s="417">
        <f t="shared" si="17"/>
        <v>0.13124843087709409</v>
      </c>
      <c r="BB20" s="205">
        <f>'Input data'!D64/10^6</f>
        <v>0</v>
      </c>
    </row>
    <row r="21" spans="1:54">
      <c r="A21" s="542">
        <f>'Input data'!A65</f>
        <v>1965</v>
      </c>
      <c r="B21" s="1230">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28.06789123869763</v>
      </c>
      <c r="AB21" s="236">
        <f>'Input data'!L65</f>
        <v>21978.047804167603</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1">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19442.590315340341</v>
      </c>
      <c r="AT21" s="775">
        <f t="shared" si="12"/>
        <v>1527.2683154350423</v>
      </c>
      <c r="AU21" s="775">
        <f t="shared" si="13"/>
        <v>425.71623175558227</v>
      </c>
      <c r="AV21" s="419">
        <f t="shared" si="14"/>
        <v>0</v>
      </c>
      <c r="AW21" s="775">
        <f t="shared" si="15"/>
        <v>582.47294163663889</v>
      </c>
      <c r="AX21" s="530">
        <f t="shared" si="16"/>
        <v>21978.047804167603</v>
      </c>
      <c r="AZ21" s="684">
        <f t="shared" si="22"/>
        <v>26.882464979461606</v>
      </c>
      <c r="BA21" s="417">
        <f t="shared" si="17"/>
        <v>0.1308042594521214</v>
      </c>
      <c r="BB21" s="205">
        <f>'Input data'!D65/10^6</f>
        <v>0</v>
      </c>
    </row>
    <row r="22" spans="1:54">
      <c r="A22" s="542">
        <f>'Input data'!A66</f>
        <v>1966</v>
      </c>
      <c r="B22" s="1230">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28.06789123869763</v>
      </c>
      <c r="AB22" s="236">
        <f>'Input data'!L66</f>
        <v>22953.50131678519</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1">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20305.512408625036</v>
      </c>
      <c r="AT22" s="775">
        <f t="shared" si="12"/>
        <v>1595.0531913382677</v>
      </c>
      <c r="AU22" s="775">
        <f t="shared" si="13"/>
        <v>444.61083046355122</v>
      </c>
      <c r="AV22" s="419">
        <f t="shared" si="14"/>
        <v>0</v>
      </c>
      <c r="AW22" s="775">
        <f t="shared" si="15"/>
        <v>608.32488635833602</v>
      </c>
      <c r="AX22" s="530">
        <f t="shared" si="16"/>
        <v>22953.501316785194</v>
      </c>
      <c r="AZ22" s="684">
        <f t="shared" si="22"/>
        <v>28.012025147145192</v>
      </c>
      <c r="BA22" s="417">
        <f t="shared" si="17"/>
        <v>0.13064723649961199</v>
      </c>
      <c r="BB22" s="205">
        <f>'Input data'!D66/10^6</f>
        <v>0</v>
      </c>
    </row>
    <row r="23" spans="1:54">
      <c r="A23" s="542">
        <f>'Input data'!A67</f>
        <v>1967</v>
      </c>
      <c r="B23" s="1230">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28.06789123869763</v>
      </c>
      <c r="AB23" s="236">
        <f>'Input data'!L67</f>
        <v>24605.367470166071</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1">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21766.814029320914</v>
      </c>
      <c r="AT23" s="775">
        <f t="shared" si="12"/>
        <v>1709.8424055522703</v>
      </c>
      <c r="AU23" s="775">
        <f t="shared" si="13"/>
        <v>476.60758651977147</v>
      </c>
      <c r="AV23" s="419">
        <f t="shared" si="14"/>
        <v>0</v>
      </c>
      <c r="AW23" s="775">
        <f t="shared" si="15"/>
        <v>652.1034487731157</v>
      </c>
      <c r="AX23" s="530">
        <f t="shared" si="16"/>
        <v>24605.367470166071</v>
      </c>
      <c r="AZ23" s="684">
        <f t="shared" si="22"/>
        <v>29.819626339767673</v>
      </c>
      <c r="BA23" s="417">
        <f t="shared" si="17"/>
        <v>0.13016277167729648</v>
      </c>
      <c r="BB23" s="205">
        <f>'Input data'!D67/10^6</f>
        <v>0</v>
      </c>
    </row>
    <row r="24" spans="1:54">
      <c r="A24" s="542">
        <f>'Input data'!A68</f>
        <v>1968</v>
      </c>
      <c r="B24" s="1230">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28.06789123869763</v>
      </c>
      <c r="AB24" s="236">
        <f>'Input data'!L68</f>
        <v>25627.337829321325</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1">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22670.886637794767</v>
      </c>
      <c r="AT24" s="775">
        <f t="shared" si="12"/>
        <v>1780.8597662732536</v>
      </c>
      <c r="AU24" s="775">
        <f t="shared" si="13"/>
        <v>496.40321960520743</v>
      </c>
      <c r="AV24" s="419">
        <f t="shared" si="14"/>
        <v>0</v>
      </c>
      <c r="AW24" s="775">
        <f t="shared" si="15"/>
        <v>679.18820564809766</v>
      </c>
      <c r="AX24" s="530">
        <f t="shared" si="16"/>
        <v>25627.337829321325</v>
      </c>
      <c r="AZ24" s="684">
        <f t="shared" si="22"/>
        <v>30.998465076698125</v>
      </c>
      <c r="BA24" s="417">
        <f t="shared" si="17"/>
        <v>0.13002826530374947</v>
      </c>
      <c r="BB24" s="205">
        <f>'Input data'!D68/10^6</f>
        <v>0</v>
      </c>
    </row>
    <row r="25" spans="1:54">
      <c r="A25" s="542">
        <f>'Input data'!A69</f>
        <v>1969</v>
      </c>
      <c r="B25" s="1230">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28.06789123869763</v>
      </c>
      <c r="AB25" s="236">
        <f>'Input data'!L69</f>
        <v>26835.879670948296</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1">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23740.007249191585</v>
      </c>
      <c r="AT25" s="775">
        <f t="shared" si="12"/>
        <v>1864.8420962345335</v>
      </c>
      <c r="AU25" s="775">
        <f t="shared" si="13"/>
        <v>519.81275457941126</v>
      </c>
      <c r="AV25" s="419">
        <f t="shared" si="14"/>
        <v>0</v>
      </c>
      <c r="AW25" s="775">
        <f t="shared" si="15"/>
        <v>711.21757094276859</v>
      </c>
      <c r="AX25" s="530">
        <f t="shared" si="16"/>
        <v>26835.879670948299</v>
      </c>
      <c r="AZ25" s="684">
        <f t="shared" si="22"/>
        <v>32.365008634633902</v>
      </c>
      <c r="BA25" s="417">
        <f t="shared" si="17"/>
        <v>0.12982224914340312</v>
      </c>
      <c r="BB25" s="205">
        <f>'Input data'!D69/10^6</f>
        <v>0</v>
      </c>
    </row>
    <row r="26" spans="1:54">
      <c r="A26" s="542">
        <f>'Input data'!A70</f>
        <v>1970</v>
      </c>
      <c r="B26" s="1230">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28.06789123869763</v>
      </c>
      <c r="AB26" s="236">
        <f>'Input data'!L70</f>
        <v>28244.407546137089</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1">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24986.042869327033</v>
      </c>
      <c r="AT26" s="775">
        <f t="shared" si="12"/>
        <v>1962.7215809981878</v>
      </c>
      <c r="AU26" s="775">
        <f t="shared" si="13"/>
        <v>547.09603217945198</v>
      </c>
      <c r="AV26" s="419">
        <f t="shared" si="14"/>
        <v>0</v>
      </c>
      <c r="AW26" s="775">
        <f t="shared" si="15"/>
        <v>748.54706363241712</v>
      </c>
      <c r="AX26" s="530">
        <f t="shared" si="16"/>
        <v>28244.407546137089</v>
      </c>
      <c r="AZ26" s="684">
        <f t="shared" si="22"/>
        <v>33.932671564665085</v>
      </c>
      <c r="BA26" s="417">
        <f t="shared" si="17"/>
        <v>0.12955117524826223</v>
      </c>
      <c r="BB26" s="205">
        <f>'Input data'!D70/10^6</f>
        <v>0</v>
      </c>
    </row>
    <row r="27" spans="1:54">
      <c r="A27" s="542">
        <f>'Input data'!A71</f>
        <v>1971</v>
      </c>
      <c r="B27" s="1230">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28.06789123869763</v>
      </c>
      <c r="AB27" s="236">
        <f>'Input data'!L71</f>
        <v>29452.977392882538</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1">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26055.188255082801</v>
      </c>
      <c r="AT27" s="775">
        <f t="shared" si="12"/>
        <v>2046.7058570527015</v>
      </c>
      <c r="AU27" s="775">
        <f t="shared" si="13"/>
        <v>570.50610961464304</v>
      </c>
      <c r="AV27" s="419">
        <f t="shared" si="14"/>
        <v>0</v>
      </c>
      <c r="AW27" s="775">
        <f t="shared" si="15"/>
        <v>780.57717113239607</v>
      </c>
      <c r="AX27" s="530">
        <f t="shared" si="16"/>
        <v>29452.977392882542</v>
      </c>
      <c r="AZ27" s="684">
        <f t="shared" si="22"/>
        <v>41.356191861482536</v>
      </c>
      <c r="BA27" s="417">
        <f t="shared" si="17"/>
        <v>0.13972350381954612</v>
      </c>
      <c r="BB27" s="205">
        <f>'Input data'!D71/10^6</f>
        <v>0</v>
      </c>
    </row>
    <row r="28" spans="1:54">
      <c r="A28" s="542">
        <f>'Input data'!A72</f>
        <v>1972</v>
      </c>
      <c r="B28" s="1230">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28.06789123869763</v>
      </c>
      <c r="AB28" s="236">
        <f>'Input data'!L72</f>
        <v>29940.354082724269</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1">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26486.339620038998</v>
      </c>
      <c r="AT28" s="775">
        <f t="shared" si="12"/>
        <v>2080.5739686661332</v>
      </c>
      <c r="AU28" s="775">
        <f t="shared" si="13"/>
        <v>579.94662815813194</v>
      </c>
      <c r="AV28" s="419">
        <f t="shared" si="14"/>
        <v>0</v>
      </c>
      <c r="AW28" s="775">
        <f t="shared" si="15"/>
        <v>793.4938658610065</v>
      </c>
      <c r="AX28" s="530">
        <f t="shared" si="16"/>
        <v>29940.354082724272</v>
      </c>
      <c r="AZ28" s="684">
        <f t="shared" si="22"/>
        <v>42.119530164524271</v>
      </c>
      <c r="BA28" s="417">
        <f t="shared" si="17"/>
        <v>0.13983654746476915</v>
      </c>
      <c r="BB28" s="205">
        <f>'Input data'!D72/10^6</f>
        <v>0</v>
      </c>
    </row>
    <row r="29" spans="1:54">
      <c r="A29" s="542">
        <f>'Input data'!A73</f>
        <v>1973</v>
      </c>
      <c r="B29" s="1230">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28.06789123869763</v>
      </c>
      <c r="AB29" s="236">
        <f>'Input data'!L73</f>
        <v>31309.226415992067</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1">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27697.294487681203</v>
      </c>
      <c r="AT29" s="775">
        <f t="shared" si="12"/>
        <v>2175.6977649697847</v>
      </c>
      <c r="AU29" s="775">
        <f t="shared" si="13"/>
        <v>606.46177530248997</v>
      </c>
      <c r="AV29" s="419">
        <f t="shared" si="14"/>
        <v>0</v>
      </c>
      <c r="AW29" s="775">
        <f t="shared" si="15"/>
        <v>829.77238803859086</v>
      </c>
      <c r="AX29" s="530">
        <f t="shared" si="16"/>
        <v>31309.226415992067</v>
      </c>
      <c r="AZ29" s="684">
        <f t="shared" si="22"/>
        <v>43.767523976792077</v>
      </c>
      <c r="BA29" s="417">
        <f t="shared" si="17"/>
        <v>0.13945480314827324</v>
      </c>
      <c r="BB29" s="205">
        <f>'Input data'!D73/10^6</f>
        <v>0</v>
      </c>
    </row>
    <row r="30" spans="1:54">
      <c r="A30" s="542">
        <f>'Input data'!A74</f>
        <v>1974</v>
      </c>
      <c r="B30" s="1230">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28.06789123869763</v>
      </c>
      <c r="AB30" s="236">
        <f>'Input data'!L74</f>
        <v>33222.550293591143</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1">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29389.891238046956</v>
      </c>
      <c r="AT30" s="775">
        <f t="shared" si="12"/>
        <v>2308.6558402938476</v>
      </c>
      <c r="AU30" s="775">
        <f t="shared" si="13"/>
        <v>643.52298467637263</v>
      </c>
      <c r="AV30" s="419">
        <f t="shared" si="14"/>
        <v>0</v>
      </c>
      <c r="AW30" s="775">
        <f t="shared" si="15"/>
        <v>880.48023057396949</v>
      </c>
      <c r="AX30" s="530">
        <f t="shared" si="16"/>
        <v>33222.550293591143</v>
      </c>
      <c r="AZ30" s="684">
        <f t="shared" si="22"/>
        <v>45.962075910591139</v>
      </c>
      <c r="BA30" s="417">
        <f t="shared" si="17"/>
        <v>0.13882236719151098</v>
      </c>
      <c r="BB30" s="205">
        <f>'Input data'!D74/10^6</f>
        <v>0</v>
      </c>
    </row>
    <row r="31" spans="1:54">
      <c r="A31" s="542">
        <f>'Input data'!A75</f>
        <v>1975</v>
      </c>
      <c r="B31" s="1230">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28.06789123869763</v>
      </c>
      <c r="AB31" s="236">
        <f>'Input data'!L75</f>
        <v>33785.821416896746</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1">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29888.181613264711</v>
      </c>
      <c r="AT31" s="775">
        <f t="shared" si="12"/>
        <v>2347.7979036513143</v>
      </c>
      <c r="AU31" s="775">
        <f t="shared" si="13"/>
        <v>654.43358338864425</v>
      </c>
      <c r="AV31" s="419">
        <f t="shared" si="14"/>
        <v>0</v>
      </c>
      <c r="AW31" s="775">
        <f t="shared" si="15"/>
        <v>895.40831659208141</v>
      </c>
      <c r="AX31" s="530">
        <f t="shared" si="16"/>
        <v>33785.821416896753</v>
      </c>
      <c r="AZ31" s="684">
        <f t="shared" si="22"/>
        <v>46.808681667296753</v>
      </c>
      <c r="BA31" s="417">
        <f t="shared" si="17"/>
        <v>0.13891038205108996</v>
      </c>
      <c r="BB31" s="205">
        <f>'Input data'!D75/10^6</f>
        <v>0</v>
      </c>
    </row>
    <row r="32" spans="1:54">
      <c r="A32" s="542">
        <f>'Input data'!A76</f>
        <v>1976</v>
      </c>
      <c r="B32" s="1230">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28.06789123869763</v>
      </c>
      <c r="AB32" s="236">
        <f>'Input data'!L76</f>
        <v>34545.969982632712</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1">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30560.637023048439</v>
      </c>
      <c r="AT32" s="775">
        <f t="shared" si="12"/>
        <v>2400.6211038652923</v>
      </c>
      <c r="AU32" s="775">
        <f t="shared" si="13"/>
        <v>669.15771111204299</v>
      </c>
      <c r="AV32" s="419">
        <f t="shared" si="14"/>
        <v>0</v>
      </c>
      <c r="AW32" s="775">
        <f t="shared" si="15"/>
        <v>915.55414460693987</v>
      </c>
      <c r="AX32" s="530">
        <f t="shared" si="16"/>
        <v>34545.969982632712</v>
      </c>
      <c r="AZ32" s="684">
        <f t="shared" si="22"/>
        <v>47.853218155032714</v>
      </c>
      <c r="BA32" s="417">
        <f t="shared" si="17"/>
        <v>0.13889938546098041</v>
      </c>
      <c r="BB32" s="205">
        <f>'Input data'!D76/10^6</f>
        <v>0</v>
      </c>
    </row>
    <row r="33" spans="1:54">
      <c r="A33" s="542">
        <f>'Input data'!A77</f>
        <v>1977</v>
      </c>
      <c r="B33" s="1230">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28.06789123869763</v>
      </c>
      <c r="AB33" s="236">
        <f>'Input data'!L77</f>
        <v>34513.48380436466</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1">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30531.898553617269</v>
      </c>
      <c r="AT33" s="775">
        <f t="shared" si="12"/>
        <v>2398.3636189785339</v>
      </c>
      <c r="AU33" s="775">
        <f t="shared" si="13"/>
        <v>668.52845170194223</v>
      </c>
      <c r="AV33" s="419">
        <f t="shared" si="14"/>
        <v>0</v>
      </c>
      <c r="AW33" s="775">
        <f t="shared" si="15"/>
        <v>914.69318006691663</v>
      </c>
      <c r="AX33" s="530">
        <f t="shared" si="16"/>
        <v>34513.48380436466</v>
      </c>
      <c r="AZ33" s="684">
        <f t="shared" si="22"/>
        <v>48.104066610164665</v>
      </c>
      <c r="BA33" s="417">
        <f t="shared" si="17"/>
        <v>0.13927516495022704</v>
      </c>
      <c r="BB33" s="205">
        <f>'Input data'!D77/10^6</f>
        <v>0</v>
      </c>
    </row>
    <row r="34" spans="1:54">
      <c r="A34" s="542">
        <f>'Input data'!A78</f>
        <v>1978</v>
      </c>
      <c r="B34" s="1230">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28.06789123869763</v>
      </c>
      <c r="AB34" s="236">
        <f>'Input data'!L78</f>
        <v>35553.909673519709</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1">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31452.297585765507</v>
      </c>
      <c r="AT34" s="775">
        <f t="shared" si="12"/>
        <v>2470.6634646553712</v>
      </c>
      <c r="AU34" s="775">
        <f t="shared" si="13"/>
        <v>688.68156923013896</v>
      </c>
      <c r="AV34" s="419">
        <f t="shared" si="14"/>
        <v>0</v>
      </c>
      <c r="AW34" s="775">
        <f t="shared" si="15"/>
        <v>942.26705386869628</v>
      </c>
      <c r="AX34" s="530">
        <f t="shared" si="16"/>
        <v>35553.909673519709</v>
      </c>
      <c r="AZ34" s="684">
        <f t="shared" si="22"/>
        <v>49.43362020001971</v>
      </c>
      <c r="BA34" s="417">
        <f t="shared" si="17"/>
        <v>0.13912705897779784</v>
      </c>
      <c r="BB34" s="205">
        <f>'Input data'!D78/10^6</f>
        <v>0</v>
      </c>
    </row>
    <row r="35" spans="1:54">
      <c r="A35" s="542">
        <f>'Input data'!A79</f>
        <v>1979</v>
      </c>
      <c r="B35" s="1230">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28.06789123869763</v>
      </c>
      <c r="AB35" s="236">
        <f>'Input data'!L79</f>
        <v>36901.581975009511</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1">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32644.49812471553</v>
      </c>
      <c r="AT35" s="775">
        <f t="shared" si="12"/>
        <v>2564.3140574648241</v>
      </c>
      <c r="AU35" s="775">
        <f t="shared" si="13"/>
        <v>714.7860703643488</v>
      </c>
      <c r="AV35" s="419">
        <f t="shared" si="14"/>
        <v>0</v>
      </c>
      <c r="AW35" s="775">
        <f t="shared" si="15"/>
        <v>977.98372246480938</v>
      </c>
      <c r="AX35" s="530">
        <f t="shared" si="16"/>
        <v>36901.581975009503</v>
      </c>
      <c r="AZ35" s="684">
        <f t="shared" si="22"/>
        <v>51.089906061309506</v>
      </c>
      <c r="BA35" s="417">
        <f t="shared" si="17"/>
        <v>0.13886791373309737</v>
      </c>
      <c r="BB35" s="205">
        <f>'Input data'!D79/10^6</f>
        <v>0</v>
      </c>
    </row>
    <row r="36" spans="1:54">
      <c r="A36" s="542">
        <f>'Input data'!A80</f>
        <v>1980</v>
      </c>
      <c r="B36" s="1230">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28.06789123869763</v>
      </c>
      <c r="AB36" s="236">
        <f>'Input data'!L80</f>
        <v>39344.68260589998</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1">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34805.754897327774</v>
      </c>
      <c r="AT36" s="775">
        <f t="shared" si="12"/>
        <v>2734.0866513833262</v>
      </c>
      <c r="AU36" s="775">
        <f t="shared" si="13"/>
        <v>762.10909029995707</v>
      </c>
      <c r="AV36" s="419">
        <f t="shared" si="14"/>
        <v>0</v>
      </c>
      <c r="AW36" s="775">
        <f t="shared" si="15"/>
        <v>1042.7319668889231</v>
      </c>
      <c r="AX36" s="530">
        <f t="shared" si="16"/>
        <v>39344.68260589998</v>
      </c>
      <c r="AZ36" s="684">
        <f t="shared" si="22"/>
        <v>53.867425822699978</v>
      </c>
      <c r="BA36" s="417">
        <f t="shared" si="17"/>
        <v>0.13818140069346865</v>
      </c>
      <c r="BB36" s="205">
        <f>'Input data'!D80/10^6</f>
        <v>0</v>
      </c>
    </row>
    <row r="37" spans="1:54">
      <c r="A37" s="542">
        <f>'Input data'!A81</f>
        <v>1981</v>
      </c>
      <c r="B37" s="1230">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28.06789123869763</v>
      </c>
      <c r="AB37" s="236">
        <f>'Input data'!L81</f>
        <v>41453.847728741246</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1">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36671.600024074251</v>
      </c>
      <c r="AT37" s="775">
        <f t="shared" si="12"/>
        <v>2880.6538575719164</v>
      </c>
      <c r="AU37" s="775">
        <f t="shared" si="13"/>
        <v>802.96375747726745</v>
      </c>
      <c r="AV37" s="419">
        <f t="shared" si="14"/>
        <v>0</v>
      </c>
      <c r="AW37" s="775">
        <f t="shared" si="15"/>
        <v>1098.6300896178122</v>
      </c>
      <c r="AX37" s="530">
        <f t="shared" si="16"/>
        <v>41453.847728741246</v>
      </c>
      <c r="AZ37" s="684">
        <f t="shared" si="22"/>
        <v>56.334182425241245</v>
      </c>
      <c r="BA37" s="417">
        <f t="shared" si="17"/>
        <v>0.13771948593134786</v>
      </c>
      <c r="BB37" s="205">
        <f>'Input data'!D81/10^6</f>
        <v>0</v>
      </c>
    </row>
    <row r="38" spans="1:54">
      <c r="A38" s="542">
        <f>'Input data'!A82</f>
        <v>1982</v>
      </c>
      <c r="B38" s="1230">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28.06789123869763</v>
      </c>
      <c r="AB38" s="236">
        <f>'Input data'!L82</f>
        <v>41294.917503153934</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1">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36531.004494737346</v>
      </c>
      <c r="AT38" s="775">
        <f t="shared" si="12"/>
        <v>2869.6096965951433</v>
      </c>
      <c r="AU38" s="775">
        <f t="shared" si="13"/>
        <v>799.88526855268401</v>
      </c>
      <c r="AV38" s="419">
        <f t="shared" si="14"/>
        <v>0</v>
      </c>
      <c r="AW38" s="775">
        <f t="shared" si="15"/>
        <v>1094.418043268761</v>
      </c>
      <c r="AX38" s="530">
        <f t="shared" si="16"/>
        <v>41294.917503153942</v>
      </c>
      <c r="AZ38" s="684">
        <f t="shared" si="22"/>
        <v>56.552856162753947</v>
      </c>
      <c r="BA38" s="417">
        <f t="shared" si="17"/>
        <v>0.13819816134209562</v>
      </c>
      <c r="BB38" s="205">
        <f>'Input data'!D82/10^6</f>
        <v>0</v>
      </c>
    </row>
    <row r="39" spans="1:54">
      <c r="A39" s="542">
        <f>'Input data'!A83</f>
        <v>1983</v>
      </c>
      <c r="B39" s="1230">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28.06789123869763</v>
      </c>
      <c r="AB39" s="236">
        <f>'Input data'!L83</f>
        <v>40532.38848471774</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1">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35856.443248847158</v>
      </c>
      <c r="AT39" s="775">
        <f t="shared" si="12"/>
        <v>2816.6210772312093</v>
      </c>
      <c r="AU39" s="775">
        <f t="shared" si="13"/>
        <v>785.1150313038878</v>
      </c>
      <c r="AV39" s="419">
        <f t="shared" si="14"/>
        <v>0</v>
      </c>
      <c r="AW39" s="775">
        <f t="shared" si="15"/>
        <v>1074.2091273354904</v>
      </c>
      <c r="AX39" s="530">
        <f t="shared" si="16"/>
        <v>40532.388484717747</v>
      </c>
      <c r="AZ39" s="684">
        <f t="shared" si="22"/>
        <v>56.186363657917745</v>
      </c>
      <c r="BA39" s="417">
        <f t="shared" si="17"/>
        <v>0.13894368245720184</v>
      </c>
      <c r="BB39" s="205">
        <f>'Input data'!D83/10^6</f>
        <v>0</v>
      </c>
    </row>
    <row r="40" spans="1:54">
      <c r="A40" s="542">
        <f>'Input data'!A84</f>
        <v>1984</v>
      </c>
      <c r="B40" s="1230">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28.06789123869763</v>
      </c>
      <c r="AB40" s="236">
        <f>'Input data'!L84</f>
        <v>42599.181549321096</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1">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37684.804492744799</v>
      </c>
      <c r="AT40" s="775">
        <f t="shared" si="12"/>
        <v>2960.2438225385076</v>
      </c>
      <c r="AU40" s="775">
        <f t="shared" si="13"/>
        <v>825.14894892575535</v>
      </c>
      <c r="AV40" s="419">
        <f t="shared" si="14"/>
        <v>0</v>
      </c>
      <c r="AW40" s="775">
        <f t="shared" si="15"/>
        <v>1128.984285112035</v>
      </c>
      <c r="AX40" s="530">
        <f t="shared" si="16"/>
        <v>42599.181549321096</v>
      </c>
      <c r="AZ40" s="684">
        <f t="shared" si="22"/>
        <v>58.664465920821094</v>
      </c>
      <c r="BA40" s="417">
        <f t="shared" si="17"/>
        <v>0.13854100268884781</v>
      </c>
      <c r="BB40" s="205">
        <f>'Input data'!D84/10^6</f>
        <v>0</v>
      </c>
    </row>
    <row r="41" spans="1:54">
      <c r="A41" s="542">
        <f>'Input data'!A85</f>
        <v>1985</v>
      </c>
      <c r="B41" s="1230">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28.06789123869763</v>
      </c>
      <c r="AB41" s="236">
        <f>'Input data'!L85</f>
        <v>42083.099400423816</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1">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37228.259221778215</v>
      </c>
      <c r="AT41" s="775">
        <f t="shared" si="12"/>
        <v>2924.3809505857503</v>
      </c>
      <c r="AU41" s="775">
        <f t="shared" si="13"/>
        <v>815.15240375202018</v>
      </c>
      <c r="AV41" s="419">
        <f t="shared" si="14"/>
        <v>0</v>
      </c>
      <c r="AW41" s="775">
        <f t="shared" si="15"/>
        <v>1115.3068243078342</v>
      </c>
      <c r="AX41" s="530">
        <f t="shared" si="16"/>
        <v>42083.099400423816</v>
      </c>
      <c r="AZ41" s="684">
        <f t="shared" si="22"/>
        <v>58.571279144823812</v>
      </c>
      <c r="BA41" s="417">
        <f t="shared" si="17"/>
        <v>0.13918897190836005</v>
      </c>
      <c r="BB41" s="205">
        <f>'Input data'!D85/10^6</f>
        <v>0</v>
      </c>
    </row>
    <row r="42" spans="1:54">
      <c r="A42" s="542">
        <f>'Input data'!A86</f>
        <v>1986</v>
      </c>
      <c r="B42" s="1230">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28.06789123869763</v>
      </c>
      <c r="AB42" s="236">
        <f>'Input data'!L86</f>
        <v>42090.604827777403</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1">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37234.898799163682</v>
      </c>
      <c r="AT42" s="775">
        <f t="shared" si="12"/>
        <v>2924.9025074361616</v>
      </c>
      <c r="AU42" s="775">
        <f t="shared" si="13"/>
        <v>815.29778437359107</v>
      </c>
      <c r="AV42" s="419">
        <f t="shared" si="14"/>
        <v>0</v>
      </c>
      <c r="AW42" s="775">
        <f t="shared" si="15"/>
        <v>1115.5057368039684</v>
      </c>
      <c r="AX42" s="530">
        <f t="shared" si="16"/>
        <v>42090.60482777741</v>
      </c>
      <c r="AZ42" s="684">
        <f t="shared" si="22"/>
        <v>59.006946388077417</v>
      </c>
      <c r="BA42" s="417">
        <f t="shared" si="17"/>
        <v>0.13962719383049527</v>
      </c>
      <c r="BB42" s="205">
        <f>'Input data'!D86/10^6</f>
        <v>0</v>
      </c>
    </row>
    <row r="43" spans="1:54">
      <c r="A43" s="542">
        <f>'Input data'!A87</f>
        <v>1987</v>
      </c>
      <c r="B43" s="1230">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28.06789123869763</v>
      </c>
      <c r="AB43" s="236">
        <f>'Input data'!L87</f>
        <v>42974.816988126448</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1">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38017.105432741424</v>
      </c>
      <c r="AT43" s="775">
        <f t="shared" si="12"/>
        <v>2986.3469645897853</v>
      </c>
      <c r="AU43" s="775">
        <f t="shared" si="13"/>
        <v>832.42503208595963</v>
      </c>
      <c r="AV43" s="419">
        <f t="shared" si="14"/>
        <v>0</v>
      </c>
      <c r="AW43" s="775">
        <f t="shared" si="15"/>
        <v>1138.9395587092847</v>
      </c>
      <c r="AX43" s="530">
        <f t="shared" si="16"/>
        <v>42974.816988126455</v>
      </c>
      <c r="AZ43" s="684">
        <f t="shared" si="22"/>
        <v>60.318793720026456</v>
      </c>
      <c r="BA43" s="417">
        <f t="shared" si="17"/>
        <v>0.13969952616886211</v>
      </c>
      <c r="BB43" s="205">
        <f>'Input data'!D87/10^6</f>
        <v>0</v>
      </c>
    </row>
    <row r="44" spans="1:54">
      <c r="A44" s="542">
        <f>'Input data'!A88</f>
        <v>1988</v>
      </c>
      <c r="B44" s="1230">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28.06789123869763</v>
      </c>
      <c r="AB44" s="236">
        <f>'Input data'!L88</f>
        <v>44779.816264317924</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1">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39613.874252209636</v>
      </c>
      <c r="AT44" s="775">
        <f t="shared" si="12"/>
        <v>3111.7774954755942</v>
      </c>
      <c r="AU44" s="775">
        <f t="shared" si="13"/>
        <v>867.38798680462571</v>
      </c>
      <c r="AV44" s="419">
        <f t="shared" si="14"/>
        <v>0</v>
      </c>
      <c r="AW44" s="775">
        <f t="shared" si="15"/>
        <v>1186.7765298280704</v>
      </c>
      <c r="AX44" s="530">
        <f t="shared" si="16"/>
        <v>44779.816264317931</v>
      </c>
      <c r="AZ44" s="684">
        <f t="shared" si="22"/>
        <v>62.542475214717939</v>
      </c>
      <c r="BA44" s="417">
        <f t="shared" si="17"/>
        <v>0.13940084354283128</v>
      </c>
      <c r="BB44" s="205">
        <f>'Input data'!D88/10^6</f>
        <v>0</v>
      </c>
    </row>
    <row r="45" spans="1:54">
      <c r="A45" s="542">
        <f>'Input data'!A89</f>
        <v>1989</v>
      </c>
      <c r="B45" s="1230">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28.06789123869763</v>
      </c>
      <c r="AB45" s="236">
        <f>'Input data'!L89</f>
        <v>45852.196210645117</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1">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40562.541037567738</v>
      </c>
      <c r="AT45" s="775">
        <f t="shared" si="12"/>
        <v>3186.2978500005706</v>
      </c>
      <c r="AU45" s="775">
        <f t="shared" si="13"/>
        <v>888.16005690969189</v>
      </c>
      <c r="AV45" s="419">
        <f t="shared" si="14"/>
        <v>0</v>
      </c>
      <c r="AW45" s="775">
        <f t="shared" si="15"/>
        <v>1215.197266167123</v>
      </c>
      <c r="AX45" s="530">
        <f t="shared" si="16"/>
        <v>45852.196210645125</v>
      </c>
      <c r="AZ45" s="684">
        <f t="shared" si="22"/>
        <v>64.016684761945129</v>
      </c>
      <c r="BA45" s="417">
        <f t="shared" si="17"/>
        <v>0.13937855289628218</v>
      </c>
      <c r="BB45" s="205">
        <f>'Input data'!D89/10^6</f>
        <v>0</v>
      </c>
    </row>
    <row r="46" spans="1:54">
      <c r="A46" s="542">
        <f>'Input data'!A90</f>
        <v>1990</v>
      </c>
      <c r="B46" s="1230">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28.06789123869763</v>
      </c>
      <c r="AB46" s="236">
        <f>'Input data'!L90</f>
        <v>45706.484498956277</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1">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40433.639092328725</v>
      </c>
      <c r="AT46" s="775">
        <f t="shared" si="12"/>
        <v>3176.1722518385732</v>
      </c>
      <c r="AU46" s="775">
        <f t="shared" si="13"/>
        <v>885.33761146887957</v>
      </c>
      <c r="AV46" s="419">
        <f t="shared" si="14"/>
        <v>0</v>
      </c>
      <c r="AW46" s="775">
        <f t="shared" si="15"/>
        <v>1211.3355433201002</v>
      </c>
      <c r="AX46" s="530">
        <f t="shared" si="16"/>
        <v>45706.484498956277</v>
      </c>
      <c r="AZ46" s="684">
        <f t="shared" si="22"/>
        <v>64.244363858956277</v>
      </c>
      <c r="BA46" s="417">
        <f t="shared" si="17"/>
        <v>0.1397853560873199</v>
      </c>
      <c r="BB46" s="205">
        <f>'Input data'!D90/10^6</f>
        <v>0</v>
      </c>
    </row>
    <row r="47" spans="1:54">
      <c r="A47" s="542">
        <f>'Input data'!A91</f>
        <v>1991</v>
      </c>
      <c r="B47" s="1230">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28.06789123869763</v>
      </c>
      <c r="AB47" s="236">
        <f>'Input data'!L91</f>
        <v>45241.091990538232</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1">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40021.935743713533</v>
      </c>
      <c r="AT47" s="775">
        <f t="shared" si="12"/>
        <v>3143.8318347696409</v>
      </c>
      <c r="AU47" s="775">
        <f t="shared" si="13"/>
        <v>876.32292796575973</v>
      </c>
      <c r="AV47" s="419">
        <f t="shared" si="14"/>
        <v>0</v>
      </c>
      <c r="AW47" s="775">
        <f t="shared" si="15"/>
        <v>1199.0014840893023</v>
      </c>
      <c r="AX47" s="530">
        <f t="shared" si="16"/>
        <v>45241.09199053824</v>
      </c>
      <c r="AZ47" s="684">
        <f t="shared" si="22"/>
        <v>64.16500162243824</v>
      </c>
      <c r="BA47" s="417">
        <f t="shared" si="17"/>
        <v>0.14032475563837693</v>
      </c>
      <c r="BB47" s="205">
        <f>'Input data'!D91/10^6</f>
        <v>0</v>
      </c>
    </row>
    <row r="48" spans="1:54">
      <c r="A48" s="542">
        <f>'Input data'!A92</f>
        <v>1992</v>
      </c>
      <c r="B48" s="1230">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28.06789123869763</v>
      </c>
      <c r="AB48" s="236">
        <f>'Input data'!L92</f>
        <v>44274.264117495608</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1">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39166.644208791353</v>
      </c>
      <c r="AT48" s="775">
        <f t="shared" si="12"/>
        <v>3076.6463599661211</v>
      </c>
      <c r="AU48" s="775">
        <f t="shared" si="13"/>
        <v>857.59540846378093</v>
      </c>
      <c r="AV48" s="419">
        <f t="shared" si="14"/>
        <v>0</v>
      </c>
      <c r="AW48" s="775">
        <f t="shared" si="15"/>
        <v>1173.3781402743596</v>
      </c>
      <c r="AX48" s="530">
        <f t="shared" si="16"/>
        <v>44274.264117495615</v>
      </c>
      <c r="AZ48" s="684">
        <f t="shared" si="22"/>
        <v>63.597370128795617</v>
      </c>
      <c r="BA48" s="417">
        <f t="shared" si="17"/>
        <v>0.1410788070763607</v>
      </c>
      <c r="BB48" s="205">
        <f>'Input data'!D92/10^6</f>
        <v>0</v>
      </c>
    </row>
    <row r="49" spans="1:54">
      <c r="A49" s="542">
        <f>'Input data'!A93</f>
        <v>1993</v>
      </c>
      <c r="B49" s="1230">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28.06789123869763</v>
      </c>
      <c r="AB49" s="236">
        <f>'Input data'!L93</f>
        <v>44820.395981719135</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1">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39649.772564360661</v>
      </c>
      <c r="AT49" s="775">
        <f t="shared" si="12"/>
        <v>3114.5974054688932</v>
      </c>
      <c r="AU49" s="775">
        <f t="shared" si="13"/>
        <v>868.17401860015548</v>
      </c>
      <c r="AV49" s="419">
        <f t="shared" si="14"/>
        <v>0</v>
      </c>
      <c r="AW49" s="775">
        <f t="shared" si="15"/>
        <v>1187.851993289433</v>
      </c>
      <c r="AX49" s="530">
        <f t="shared" si="16"/>
        <v>44820.395981719143</v>
      </c>
      <c r="AZ49" s="684">
        <f t="shared" si="22"/>
        <v>64.555864479919137</v>
      </c>
      <c r="BA49" s="417">
        <f t="shared" si="17"/>
        <v>0.1412376271381921</v>
      </c>
      <c r="BB49" s="205">
        <f>'Input data'!D93/10^6</f>
        <v>0</v>
      </c>
    </row>
    <row r="50" spans="1:54">
      <c r="A50" s="542">
        <f>'Input data'!A94</f>
        <v>1994</v>
      </c>
      <c r="B50" s="1230">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28.06789123869763</v>
      </c>
      <c r="AB50" s="236">
        <f>'Input data'!L94</f>
        <v>46254.6491233001</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1">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40918.565702346314</v>
      </c>
      <c r="AT50" s="775">
        <f t="shared" si="12"/>
        <v>3214.2645551160249</v>
      </c>
      <c r="AU50" s="775">
        <f t="shared" si="13"/>
        <v>895.95559630250591</v>
      </c>
      <c r="AV50" s="419">
        <f t="shared" si="14"/>
        <v>0</v>
      </c>
      <c r="AW50" s="775">
        <f t="shared" si="15"/>
        <v>1225.8632695352624</v>
      </c>
      <c r="AX50" s="530">
        <f t="shared" si="16"/>
        <v>46254.649123300107</v>
      </c>
      <c r="AZ50" s="684">
        <f t="shared" si="22"/>
        <v>66.416172860200106</v>
      </c>
      <c r="BA50" s="417">
        <f t="shared" si="17"/>
        <v>0.14105582668928218</v>
      </c>
      <c r="BB50" s="205">
        <f>'Input data'!D94/10^6</f>
        <v>0</v>
      </c>
    </row>
    <row r="51" spans="1:54">
      <c r="A51" s="542">
        <f>'Input data'!A95</f>
        <v>1995</v>
      </c>
      <c r="B51" s="1230">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28.06789123869763</v>
      </c>
      <c r="AB51" s="236">
        <f>'Input data'!L95</f>
        <v>47688.541126734373</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1">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42187.039364230361</v>
      </c>
      <c r="AT51" s="775">
        <f t="shared" si="12"/>
        <v>3313.9066090470187</v>
      </c>
      <c r="AU51" s="775">
        <f t="shared" si="13"/>
        <v>923.73017873519802</v>
      </c>
      <c r="AV51" s="419">
        <f t="shared" si="14"/>
        <v>0</v>
      </c>
      <c r="AW51" s="775">
        <f t="shared" si="15"/>
        <v>1263.8649747218003</v>
      </c>
      <c r="AX51" s="530">
        <f t="shared" si="16"/>
        <v>47688.541126734381</v>
      </c>
      <c r="AZ51" s="684">
        <f t="shared" si="22"/>
        <v>68.290866142734373</v>
      </c>
      <c r="BA51" s="417">
        <f t="shared" si="17"/>
        <v>0.14089683304928646</v>
      </c>
      <c r="BB51" s="205">
        <f>'Input data'!D95/10^6</f>
        <v>0</v>
      </c>
    </row>
    <row r="52" spans="1:54">
      <c r="A52" s="542">
        <f>'Input data'!A96</f>
        <v>1996</v>
      </c>
      <c r="B52" s="1230">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28.06789123869763</v>
      </c>
      <c r="AB52" s="236">
        <f>'Input data'!L96</f>
        <v>49739.147899700009</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1">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44001.081618568925</v>
      </c>
      <c r="AT52" s="775">
        <f t="shared" si="12"/>
        <v>3456.404558804551</v>
      </c>
      <c r="AU52" s="775">
        <f t="shared" si="13"/>
        <v>963.45056682325492</v>
      </c>
      <c r="AV52" s="419">
        <f t="shared" si="14"/>
        <v>0</v>
      </c>
      <c r="AW52" s="775">
        <f t="shared" si="15"/>
        <v>1318.2111555032807</v>
      </c>
      <c r="AX52" s="530">
        <f t="shared" si="16"/>
        <v>49739.147899700009</v>
      </c>
      <c r="AZ52" s="684">
        <f t="shared" si="22"/>
        <v>70.804919899699996</v>
      </c>
      <c r="BA52" s="417">
        <f t="shared" si="17"/>
        <v>0.14054419799115175</v>
      </c>
      <c r="BB52" s="205">
        <f>'Input data'!D96/10^6</f>
        <v>0</v>
      </c>
    </row>
    <row r="53" spans="1:54">
      <c r="A53" s="542">
        <f>'Input data'!A97</f>
        <v>1997</v>
      </c>
      <c r="B53" s="1230">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28.06789123869763</v>
      </c>
      <c r="AB53" s="236">
        <f>'Input data'!L97</f>
        <v>51032.366797572584</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1">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45145.11067171461</v>
      </c>
      <c r="AT53" s="775">
        <f t="shared" si="12"/>
        <v>3546.2711504709901</v>
      </c>
      <c r="AU53" s="775">
        <f t="shared" si="13"/>
        <v>988.50030194727367</v>
      </c>
      <c r="AV53" s="419">
        <f t="shared" si="14"/>
        <v>0</v>
      </c>
      <c r="AW53" s="775">
        <f t="shared" si="15"/>
        <v>1352.484673439714</v>
      </c>
      <c r="AX53" s="530">
        <f t="shared" si="16"/>
        <v>51032.366797572584</v>
      </c>
      <c r="AZ53" s="684">
        <f t="shared" si="22"/>
        <v>72.58581141937259</v>
      </c>
      <c r="BA53" s="417">
        <f t="shared" si="17"/>
        <v>0.14049502031875372</v>
      </c>
      <c r="BB53" s="205">
        <f>'Input data'!D97/10^6</f>
        <v>0</v>
      </c>
    </row>
    <row r="54" spans="1:54">
      <c r="A54" s="542">
        <f>'Input data'!A98</f>
        <v>1998</v>
      </c>
      <c r="B54" s="1230">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28.06789123869763</v>
      </c>
      <c r="AB54" s="236">
        <f>'Input data'!L98</f>
        <v>51287.529093403362</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1">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45370.836633636434</v>
      </c>
      <c r="AT54" s="775">
        <f t="shared" si="12"/>
        <v>3564.0025383170992</v>
      </c>
      <c r="AU54" s="775">
        <f t="shared" si="13"/>
        <v>993.44281240293776</v>
      </c>
      <c r="AV54" s="419">
        <f t="shared" si="14"/>
        <v>0</v>
      </c>
      <c r="AW54" s="775">
        <f t="shared" si="15"/>
        <v>1359.2471090468989</v>
      </c>
      <c r="AX54" s="530">
        <f t="shared" si="16"/>
        <v>51287.529093403369</v>
      </c>
      <c r="AZ54" s="684">
        <f t="shared" si="22"/>
        <v>73.353925263403369</v>
      </c>
      <c r="BA54" s="417">
        <f t="shared" si="17"/>
        <v>0.14082370720685361</v>
      </c>
      <c r="BB54" s="205">
        <f>'Input data'!D98/10^6</f>
        <v>0</v>
      </c>
    </row>
    <row r="55" spans="1:54">
      <c r="A55" s="542">
        <f>'Input data'!A99</f>
        <v>1999</v>
      </c>
      <c r="B55" s="1230">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28.06789123869763</v>
      </c>
      <c r="AB55" s="236">
        <f>'Input data'!L99</f>
        <v>52518.42786579833</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1">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46459.735009168791</v>
      </c>
      <c r="AT55" s="775">
        <f t="shared" si="12"/>
        <v>3649.5384654084137</v>
      </c>
      <c r="AU55" s="775">
        <f t="shared" si="13"/>
        <v>1017.2854025968307</v>
      </c>
      <c r="AV55" s="419">
        <f t="shared" si="14"/>
        <v>0</v>
      </c>
      <c r="AW55" s="775">
        <f t="shared" si="15"/>
        <v>1391.8689886242955</v>
      </c>
      <c r="AX55" s="530">
        <f t="shared" si="16"/>
        <v>52518.42786579833</v>
      </c>
      <c r="AZ55" s="684">
        <f t="shared" si="22"/>
        <v>75.123581154698329</v>
      </c>
      <c r="BA55" s="417">
        <f t="shared" si="17"/>
        <v>0.14083092621241297</v>
      </c>
      <c r="BB55" s="205">
        <f>'Input data'!D99/10^6</f>
        <v>0</v>
      </c>
    </row>
    <row r="56" spans="1:54">
      <c r="A56" s="1241">
        <f>'Input data'!A100</f>
        <v>2000</v>
      </c>
      <c r="B56" s="1648">
        <f>'Input data'!I100</f>
        <v>578.73</v>
      </c>
      <c r="C56" s="532">
        <f>B56*'Input data'!B100</f>
        <v>25464.120000000003</v>
      </c>
      <c r="D56" s="1232">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3">
        <f>'Input data'!U100</f>
        <v>1</v>
      </c>
      <c r="L56" s="1232">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2">
        <f t="shared" ref="T56:W71" si="29">T55</f>
        <v>0.8</v>
      </c>
      <c r="U56" s="415">
        <f t="shared" si="29"/>
        <v>0.11</v>
      </c>
      <c r="V56" s="415">
        <f t="shared" si="29"/>
        <v>0.09</v>
      </c>
      <c r="W56" s="415">
        <f t="shared" si="29"/>
        <v>0</v>
      </c>
      <c r="X56" s="1233">
        <f t="shared" si="8"/>
        <v>1</v>
      </c>
      <c r="Y56" s="1232">
        <f>'Input data'!$G$35</f>
        <v>0.66241124199764068</v>
      </c>
      <c r="Z56" s="1233">
        <f>'Input data'!$H$35</f>
        <v>0.33758875800235938</v>
      </c>
      <c r="AA56" s="1355">
        <f>'Input data'!J100</f>
        <v>28.06789123869763</v>
      </c>
      <c r="AB56" s="471">
        <f>'Input data'!L100</f>
        <v>54724.203661702413</v>
      </c>
      <c r="AC56" s="415">
        <f t="shared" ref="AC56:AF71" si="30">AC55</f>
        <v>0.88463681982043585</v>
      </c>
      <c r="AD56" s="415">
        <f t="shared" si="30"/>
        <v>8.8860692477895534E-2</v>
      </c>
      <c r="AE56" s="415">
        <f t="shared" si="30"/>
        <v>0</v>
      </c>
      <c r="AF56" s="415">
        <f t="shared" si="30"/>
        <v>2.6502487701668711E-2</v>
      </c>
      <c r="AG56" s="415">
        <f t="shared" si="20"/>
        <v>1</v>
      </c>
      <c r="AH56" s="1353">
        <f t="shared" ref="AH56:AI71" si="31">AH55</f>
        <v>0.78201761382701329</v>
      </c>
      <c r="AI56" s="1234">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48411.045494494276</v>
      </c>
      <c r="AT56" s="517">
        <f t="shared" si="12"/>
        <v>3802.8192078135248</v>
      </c>
      <c r="AU56" s="517">
        <f t="shared" si="13"/>
        <v>1060.0114248667383</v>
      </c>
      <c r="AV56" s="471">
        <f t="shared" si="14"/>
        <v>0</v>
      </c>
      <c r="AW56" s="517">
        <f t="shared" si="15"/>
        <v>1450.3275345278821</v>
      </c>
      <c r="AX56" s="534">
        <f t="shared" si="16"/>
        <v>54724.203661702421</v>
      </c>
      <c r="AY56" s="1"/>
      <c r="AZ56" s="1358">
        <f t="shared" si="22"/>
        <v>80.188323661702427</v>
      </c>
      <c r="BA56" s="415">
        <f t="shared" si="17"/>
        <v>0.14223993776609636</v>
      </c>
      <c r="BB56" s="1359">
        <f>'Input data'!D100/10^6</f>
        <v>0</v>
      </c>
    </row>
    <row r="57" spans="1:54">
      <c r="A57" s="990">
        <f>'Input data'!A101</f>
        <v>2001</v>
      </c>
      <c r="B57" s="1647">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2">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5">
        <f t="shared" si="6"/>
        <v>0.99999999999999989</v>
      </c>
      <c r="T57" s="648">
        <f t="shared" si="29"/>
        <v>0.8</v>
      </c>
      <c r="U57" s="411">
        <f t="shared" si="29"/>
        <v>0.11</v>
      </c>
      <c r="V57" s="411">
        <f t="shared" si="29"/>
        <v>0.09</v>
      </c>
      <c r="W57" s="411">
        <f t="shared" si="29"/>
        <v>0</v>
      </c>
      <c r="X57" s="1152">
        <f t="shared" si="8"/>
        <v>1</v>
      </c>
      <c r="Y57" s="648">
        <f>'Input data'!$G$35</f>
        <v>0.66241124199764068</v>
      </c>
      <c r="Z57" s="1152">
        <f>'Input data'!$H$35</f>
        <v>0.33758875800235938</v>
      </c>
      <c r="AA57" s="1356">
        <f>'Input data'!J101</f>
        <v>28.06789123869763</v>
      </c>
      <c r="AB57" s="1236">
        <f>'Input data'!L101</f>
        <v>56201.754187402395</v>
      </c>
      <c r="AC57" s="411">
        <f t="shared" si="30"/>
        <v>0.88463681982043585</v>
      </c>
      <c r="AD57" s="411">
        <f t="shared" si="30"/>
        <v>8.8860692477895534E-2</v>
      </c>
      <c r="AE57" s="411">
        <f t="shared" si="30"/>
        <v>0</v>
      </c>
      <c r="AF57" s="411">
        <f t="shared" si="30"/>
        <v>2.6502487701668711E-2</v>
      </c>
      <c r="AG57" s="411">
        <f t="shared" si="20"/>
        <v>1</v>
      </c>
      <c r="AH57" s="1354">
        <f t="shared" si="31"/>
        <v>0.78201761382701329</v>
      </c>
      <c r="AI57" s="1238">
        <f t="shared" si="31"/>
        <v>0.21798238617298668</v>
      </c>
      <c r="AJ57" s="1"/>
      <c r="AK57" s="990">
        <f t="shared" si="0"/>
        <v>2001</v>
      </c>
      <c r="AL57" s="766">
        <f t="shared" si="1"/>
        <v>20792.611440000001</v>
      </c>
      <c r="AM57" s="1236">
        <f t="shared" si="2"/>
        <v>1893.8231906474034</v>
      </c>
      <c r="AN57" s="1236">
        <f t="shared" si="3"/>
        <v>965.16088235259679</v>
      </c>
      <c r="AO57" s="1236">
        <f t="shared" si="4"/>
        <v>2339.1687869999996</v>
      </c>
      <c r="AP57" s="1236">
        <f t="shared" si="5"/>
        <v>0</v>
      </c>
      <c r="AQ57" s="663">
        <f t="shared" si="10"/>
        <v>25990.764299999999</v>
      </c>
      <c r="AR57" s="1"/>
      <c r="AS57" s="1239">
        <f t="shared" si="11"/>
        <v>49718.141092673519</v>
      </c>
      <c r="AT57" s="1240">
        <f t="shared" si="12"/>
        <v>3905.4951198173221</v>
      </c>
      <c r="AU57" s="1240">
        <f t="shared" si="13"/>
        <v>1088.6316757477196</v>
      </c>
      <c r="AV57" s="1236">
        <f t="shared" si="14"/>
        <v>0</v>
      </c>
      <c r="AW57" s="1240">
        <f t="shared" si="15"/>
        <v>1489.4862991638399</v>
      </c>
      <c r="AX57" s="744">
        <f t="shared" si="16"/>
        <v>56201.754187402395</v>
      </c>
      <c r="AY57" s="1"/>
      <c r="AZ57" s="1150">
        <f t="shared" si="22"/>
        <v>82.192518487402396</v>
      </c>
      <c r="BA57" s="411">
        <f t="shared" si="17"/>
        <v>0.14212687687042144</v>
      </c>
      <c r="BB57" s="1360">
        <f>'Input data'!D101/10^6</f>
        <v>0</v>
      </c>
    </row>
    <row r="58" spans="1:54">
      <c r="A58" s="990">
        <f>'Input data'!A102</f>
        <v>2002</v>
      </c>
      <c r="B58" s="1647">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2">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5">
        <f t="shared" si="6"/>
        <v>0.99999999999999989</v>
      </c>
      <c r="T58" s="648">
        <f t="shared" si="29"/>
        <v>0.8</v>
      </c>
      <c r="U58" s="411">
        <f t="shared" si="29"/>
        <v>0.11</v>
      </c>
      <c r="V58" s="411">
        <f t="shared" si="29"/>
        <v>0.09</v>
      </c>
      <c r="W58" s="411">
        <f t="shared" si="29"/>
        <v>0</v>
      </c>
      <c r="X58" s="1152">
        <f t="shared" si="8"/>
        <v>1</v>
      </c>
      <c r="Y58" s="648">
        <f>'Input data'!$G$35</f>
        <v>0.66241124199764068</v>
      </c>
      <c r="Z58" s="1152">
        <f>'Input data'!$H$35</f>
        <v>0.33758875800235938</v>
      </c>
      <c r="AA58" s="1356">
        <f>'Input data'!J102</f>
        <v>28.06789123869763</v>
      </c>
      <c r="AB58" s="1236">
        <f>'Input data'!L102</f>
        <v>58281.433980867463</v>
      </c>
      <c r="AC58" s="411">
        <f t="shared" si="30"/>
        <v>0.88463681982043585</v>
      </c>
      <c r="AD58" s="411">
        <f t="shared" si="30"/>
        <v>8.8860692477895534E-2</v>
      </c>
      <c r="AE58" s="411">
        <f t="shared" si="30"/>
        <v>0</v>
      </c>
      <c r="AF58" s="411">
        <f t="shared" si="30"/>
        <v>2.6502487701668711E-2</v>
      </c>
      <c r="AG58" s="411">
        <f t="shared" si="20"/>
        <v>1</v>
      </c>
      <c r="AH58" s="1354">
        <f t="shared" si="31"/>
        <v>0.78201761382701329</v>
      </c>
      <c r="AI58" s="1238">
        <f t="shared" si="31"/>
        <v>0.21798238617298668</v>
      </c>
      <c r="AJ58" s="1"/>
      <c r="AK58" s="990">
        <f t="shared" si="0"/>
        <v>2002</v>
      </c>
      <c r="AL58" s="766">
        <f t="shared" si="1"/>
        <v>21081.050472000003</v>
      </c>
      <c r="AM58" s="1236">
        <f t="shared" si="2"/>
        <v>1920.0946635437149</v>
      </c>
      <c r="AN58" s="1236">
        <f t="shared" si="3"/>
        <v>978.54977635628575</v>
      </c>
      <c r="AO58" s="1236">
        <f t="shared" si="4"/>
        <v>2371.6181781</v>
      </c>
      <c r="AP58" s="1236">
        <f t="shared" si="5"/>
        <v>0</v>
      </c>
      <c r="AQ58" s="663">
        <f t="shared" si="10"/>
        <v>26351.313090000003</v>
      </c>
      <c r="AR58" s="1"/>
      <c r="AS58" s="1239">
        <f t="shared" si="11"/>
        <v>51557.902411409275</v>
      </c>
      <c r="AT58" s="1240">
        <f t="shared" si="12"/>
        <v>4050.0133719892642</v>
      </c>
      <c r="AU58" s="1240">
        <f t="shared" si="13"/>
        <v>1128.91521015537</v>
      </c>
      <c r="AV58" s="1236">
        <f t="shared" si="14"/>
        <v>0</v>
      </c>
      <c r="AW58" s="1240">
        <f t="shared" si="15"/>
        <v>1544.6029873135569</v>
      </c>
      <c r="AX58" s="744">
        <f t="shared" si="16"/>
        <v>58281.433980867463</v>
      </c>
      <c r="AY58" s="1"/>
      <c r="AZ58" s="1150">
        <f t="shared" si="22"/>
        <v>84.632747070867467</v>
      </c>
      <c r="BA58" s="411">
        <f t="shared" si="17"/>
        <v>0.14171576136380343</v>
      </c>
      <c r="BB58" s="1360">
        <f>'Input data'!D102/10^6</f>
        <v>0</v>
      </c>
    </row>
    <row r="59" spans="1:54">
      <c r="A59" s="990">
        <f>'Input data'!A103</f>
        <v>2003</v>
      </c>
      <c r="B59" s="1647">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2">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5">
        <f t="shared" si="6"/>
        <v>0.99999999999999989</v>
      </c>
      <c r="T59" s="648">
        <f t="shared" si="29"/>
        <v>0.8</v>
      </c>
      <c r="U59" s="411">
        <f t="shared" si="29"/>
        <v>0.11</v>
      </c>
      <c r="V59" s="411">
        <f t="shared" si="29"/>
        <v>0.09</v>
      </c>
      <c r="W59" s="411">
        <f t="shared" si="29"/>
        <v>0</v>
      </c>
      <c r="X59" s="1152">
        <f t="shared" si="8"/>
        <v>1</v>
      </c>
      <c r="Y59" s="648">
        <f>'Input data'!$G$35</f>
        <v>0.66241124199764068</v>
      </c>
      <c r="Z59" s="1152">
        <f>'Input data'!$H$35</f>
        <v>0.33758875800235938</v>
      </c>
      <c r="AA59" s="1356">
        <f>'Input data'!J103</f>
        <v>28.06789123869763</v>
      </c>
      <c r="AB59" s="1236">
        <f>'Input data'!L103</f>
        <v>60000.199591141652</v>
      </c>
      <c r="AC59" s="411">
        <f>($AC$68-$AC$58)/($A$68-$A$58)+AC58</f>
        <v>0.87438818250331407</v>
      </c>
      <c r="AD59" s="411">
        <f>($AD$68-$AD$58)/($A$68-$A$58)+AD58</f>
        <v>8.8860692477895534E-2</v>
      </c>
      <c r="AE59" s="411">
        <f>($AE$68-$AE$58)/($A$68-$A$58)+AE58</f>
        <v>0</v>
      </c>
      <c r="AF59" s="411">
        <f>($AF$68-$AF$58)/($A$68-$A$58)+AF58</f>
        <v>3.6751125018790451E-2</v>
      </c>
      <c r="AG59" s="411">
        <f t="shared" si="20"/>
        <v>1</v>
      </c>
      <c r="AH59" s="1354">
        <f t="shared" si="31"/>
        <v>0.78201761382701329</v>
      </c>
      <c r="AI59" s="1238">
        <f t="shared" si="31"/>
        <v>0.21798238617298668</v>
      </c>
      <c r="AJ59" s="1"/>
      <c r="AK59" s="990">
        <f t="shared" si="0"/>
        <v>2003</v>
      </c>
      <c r="AL59" s="766">
        <f t="shared" si="1"/>
        <v>21350.970144000003</v>
      </c>
      <c r="AM59" s="1236">
        <f t="shared" si="2"/>
        <v>1944.6793645044681</v>
      </c>
      <c r="AN59" s="1236">
        <f t="shared" si="3"/>
        <v>991.07903029553222</v>
      </c>
      <c r="AO59" s="1236">
        <f t="shared" si="4"/>
        <v>2401.9841412000001</v>
      </c>
      <c r="AP59" s="1236">
        <f t="shared" si="5"/>
        <v>0</v>
      </c>
      <c r="AQ59" s="663">
        <f t="shared" si="10"/>
        <v>26688.712680000001</v>
      </c>
      <c r="AR59" s="1"/>
      <c r="AS59" s="1239">
        <f t="shared" si="11"/>
        <v>52463.465470334435</v>
      </c>
      <c r="AT59" s="1240">
        <f t="shared" si="12"/>
        <v>4169.45147138831</v>
      </c>
      <c r="AU59" s="1240">
        <f t="shared" si="13"/>
        <v>1162.2078130924817</v>
      </c>
      <c r="AV59" s="1236">
        <f t="shared" si="14"/>
        <v>0</v>
      </c>
      <c r="AW59" s="1240">
        <f t="shared" si="15"/>
        <v>2205.0748363264265</v>
      </c>
      <c r="AX59" s="744">
        <f t="shared" si="16"/>
        <v>60000.199591141652</v>
      </c>
      <c r="AY59" s="1"/>
      <c r="AZ59" s="1150">
        <f t="shared" si="22"/>
        <v>86.68891227114166</v>
      </c>
      <c r="BA59" s="411">
        <f t="shared" si="17"/>
        <v>0.14851353327100256</v>
      </c>
      <c r="BB59" s="1360">
        <f>'Input data'!D103/10^6</f>
        <v>0</v>
      </c>
    </row>
    <row r="60" spans="1:54">
      <c r="A60" s="990">
        <f>'Input data'!A104</f>
        <v>2004</v>
      </c>
      <c r="B60" s="1647">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2">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5">
        <f t="shared" si="6"/>
        <v>0.99999999999999989</v>
      </c>
      <c r="T60" s="648">
        <f t="shared" si="29"/>
        <v>0.8</v>
      </c>
      <c r="U60" s="411">
        <f t="shared" si="29"/>
        <v>0.11</v>
      </c>
      <c r="V60" s="411">
        <f t="shared" si="29"/>
        <v>0.09</v>
      </c>
      <c r="W60" s="411">
        <f t="shared" si="29"/>
        <v>0</v>
      </c>
      <c r="X60" s="1152">
        <f t="shared" si="8"/>
        <v>1</v>
      </c>
      <c r="Y60" s="648">
        <f>'Input data'!$G$35</f>
        <v>0.66241124199764068</v>
      </c>
      <c r="Z60" s="1152">
        <f>'Input data'!$H$35</f>
        <v>0.33758875800235938</v>
      </c>
      <c r="AA60" s="1356">
        <f>'Input data'!J104</f>
        <v>28.06789123869763</v>
      </c>
      <c r="AB60" s="1236">
        <f>'Input data'!L104</f>
        <v>62732.940328625482</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4">
        <f t="shared" si="31"/>
        <v>0.78201761382701329</v>
      </c>
      <c r="AI60" s="1238">
        <f t="shared" si="31"/>
        <v>0.21798238617298668</v>
      </c>
      <c r="AJ60" s="1"/>
      <c r="AK60" s="990">
        <f t="shared" si="0"/>
        <v>2004</v>
      </c>
      <c r="AL60" s="766">
        <f t="shared" si="1"/>
        <v>21605.148360000003</v>
      </c>
      <c r="AM60" s="1236">
        <f t="shared" si="2"/>
        <v>1967.8303093199975</v>
      </c>
      <c r="AN60" s="1236">
        <f t="shared" si="3"/>
        <v>1002.8775901800029</v>
      </c>
      <c r="AO60" s="1236">
        <f t="shared" si="4"/>
        <v>2430.5791905000001</v>
      </c>
      <c r="AP60" s="1236">
        <f t="shared" si="5"/>
        <v>0</v>
      </c>
      <c r="AQ60" s="663">
        <f t="shared" si="10"/>
        <v>27006.435450000004</v>
      </c>
      <c r="AR60" s="1"/>
      <c r="AS60" s="1239">
        <f t="shared" si="11"/>
        <v>54210.014523770966</v>
      </c>
      <c r="AT60" s="1240">
        <f t="shared" si="12"/>
        <v>4359.3513378298694</v>
      </c>
      <c r="AU60" s="1240">
        <f t="shared" si="13"/>
        <v>1215.14118094629</v>
      </c>
      <c r="AV60" s="1236">
        <f t="shared" si="14"/>
        <v>0</v>
      </c>
      <c r="AW60" s="1240">
        <f t="shared" si="15"/>
        <v>2948.4332860783593</v>
      </c>
      <c r="AX60" s="744">
        <f t="shared" si="16"/>
        <v>62732.940328625482</v>
      </c>
      <c r="AY60" s="1"/>
      <c r="AZ60" s="1150">
        <f t="shared" si="22"/>
        <v>89.739375778625487</v>
      </c>
      <c r="BA60" s="411">
        <f t="shared" si="17"/>
        <v>0.15516280087799594</v>
      </c>
      <c r="BB60" s="1360">
        <f>'Input data'!D104/10^6</f>
        <v>0</v>
      </c>
    </row>
    <row r="61" spans="1:54">
      <c r="A61" s="990">
        <f>'Input data'!A105</f>
        <v>2005</v>
      </c>
      <c r="B61" s="1647">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2">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5">
        <f t="shared" si="6"/>
        <v>0.99999999999999989</v>
      </c>
      <c r="T61" s="648">
        <f t="shared" si="29"/>
        <v>0.8</v>
      </c>
      <c r="U61" s="411">
        <f t="shared" si="29"/>
        <v>0.11</v>
      </c>
      <c r="V61" s="411">
        <f t="shared" si="29"/>
        <v>0.09</v>
      </c>
      <c r="W61" s="411">
        <f t="shared" si="29"/>
        <v>0</v>
      </c>
      <c r="X61" s="1152">
        <f t="shared" si="8"/>
        <v>1</v>
      </c>
      <c r="Y61" s="648">
        <f>'Input data'!$G$35</f>
        <v>0.66241124199764068</v>
      </c>
      <c r="Z61" s="1152">
        <f>'Input data'!$H$35</f>
        <v>0.33758875800235938</v>
      </c>
      <c r="AA61" s="1356">
        <f>'Input data'!J105</f>
        <v>28.06789123869763</v>
      </c>
      <c r="AB61" s="1236">
        <f>'Input data'!L105</f>
        <v>66043.392915940407</v>
      </c>
      <c r="AC61" s="411">
        <f t="shared" si="32"/>
        <v>0.85389090786907051</v>
      </c>
      <c r="AD61" s="411">
        <f t="shared" si="33"/>
        <v>8.8860692477895534E-2</v>
      </c>
      <c r="AE61" s="411">
        <f t="shared" si="34"/>
        <v>0</v>
      </c>
      <c r="AF61" s="411">
        <f t="shared" si="35"/>
        <v>5.7248399653033938E-2</v>
      </c>
      <c r="AG61" s="411">
        <f t="shared" si="20"/>
        <v>1</v>
      </c>
      <c r="AH61" s="1354">
        <f t="shared" si="31"/>
        <v>0.78201761382701329</v>
      </c>
      <c r="AI61" s="1238">
        <f t="shared" si="31"/>
        <v>0.21798238617298668</v>
      </c>
      <c r="AJ61" s="1"/>
      <c r="AK61" s="990">
        <f t="shared" si="0"/>
        <v>2005</v>
      </c>
      <c r="AL61" s="766">
        <f t="shared" si="1"/>
        <v>21851.918832000003</v>
      </c>
      <c r="AM61" s="1236">
        <f t="shared" si="2"/>
        <v>1990.3065453613035</v>
      </c>
      <c r="AN61" s="1236">
        <f t="shared" si="3"/>
        <v>1014.3322940386965</v>
      </c>
      <c r="AO61" s="1236">
        <f t="shared" si="4"/>
        <v>2458.3408686000002</v>
      </c>
      <c r="AP61" s="1236">
        <f t="shared" si="5"/>
        <v>0</v>
      </c>
      <c r="AQ61" s="663">
        <f t="shared" si="10"/>
        <v>27314.898540000002</v>
      </c>
      <c r="AR61" s="1"/>
      <c r="AS61" s="1239">
        <f t="shared" si="11"/>
        <v>56393.852735746092</v>
      </c>
      <c r="AT61" s="1240">
        <f t="shared" si="12"/>
        <v>4589.3967627650773</v>
      </c>
      <c r="AU61" s="1240">
        <f t="shared" si="13"/>
        <v>1279.2648653351275</v>
      </c>
      <c r="AV61" s="1236">
        <f t="shared" si="14"/>
        <v>0</v>
      </c>
      <c r="AW61" s="1240">
        <f t="shared" si="15"/>
        <v>3780.8785520941069</v>
      </c>
      <c r="AX61" s="744">
        <f t="shared" si="16"/>
        <v>66043.392915940407</v>
      </c>
      <c r="AY61" s="1"/>
      <c r="AZ61" s="1150">
        <f t="shared" si="22"/>
        <v>93.358291455940389</v>
      </c>
      <c r="BA61" s="411">
        <f t="shared" si="17"/>
        <v>0.16187656878153692</v>
      </c>
      <c r="BB61" s="1360">
        <f>'Input data'!D105/10^6</f>
        <v>0</v>
      </c>
    </row>
    <row r="62" spans="1:54">
      <c r="A62" s="990">
        <f>'Input data'!A106</f>
        <v>2006</v>
      </c>
      <c r="B62" s="1647">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2">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5">
        <f t="shared" si="6"/>
        <v>0.99999999999999989</v>
      </c>
      <c r="T62" s="648">
        <f t="shared" si="29"/>
        <v>0.8</v>
      </c>
      <c r="U62" s="411">
        <f t="shared" si="29"/>
        <v>0.11</v>
      </c>
      <c r="V62" s="411">
        <f t="shared" si="29"/>
        <v>0.09</v>
      </c>
      <c r="W62" s="411">
        <f t="shared" si="29"/>
        <v>0</v>
      </c>
      <c r="X62" s="1152">
        <f t="shared" si="8"/>
        <v>1</v>
      </c>
      <c r="Y62" s="648">
        <f>'Input data'!$G$35</f>
        <v>0.66241124199764068</v>
      </c>
      <c r="Z62" s="1152">
        <f>'Input data'!$H$35</f>
        <v>0.33758875800235938</v>
      </c>
      <c r="AA62" s="1356">
        <f>'Input data'!J106</f>
        <v>28.06789123869763</v>
      </c>
      <c r="AB62" s="1236">
        <f>'Input data'!L106</f>
        <v>69744.331020767189</v>
      </c>
      <c r="AC62" s="411">
        <f t="shared" si="32"/>
        <v>0.84364227055194874</v>
      </c>
      <c r="AD62" s="411">
        <f t="shared" si="33"/>
        <v>8.8860692477895534E-2</v>
      </c>
      <c r="AE62" s="411">
        <f t="shared" si="34"/>
        <v>0</v>
      </c>
      <c r="AF62" s="411">
        <f t="shared" si="35"/>
        <v>6.7497036970155674E-2</v>
      </c>
      <c r="AG62" s="411">
        <f t="shared" si="20"/>
        <v>0.99999999999999989</v>
      </c>
      <c r="AH62" s="1354">
        <f t="shared" si="31"/>
        <v>0.78201761382701329</v>
      </c>
      <c r="AI62" s="1238">
        <f t="shared" si="31"/>
        <v>0.21798238617298668</v>
      </c>
      <c r="AJ62" s="1"/>
      <c r="AK62" s="990">
        <f t="shared" si="0"/>
        <v>2006</v>
      </c>
      <c r="AL62" s="766">
        <f t="shared" si="1"/>
        <v>22098.689304000003</v>
      </c>
      <c r="AM62" s="1236">
        <f t="shared" si="2"/>
        <v>2012.7827814026102</v>
      </c>
      <c r="AN62" s="1236">
        <f t="shared" si="3"/>
        <v>1025.7869978973904</v>
      </c>
      <c r="AO62" s="1236">
        <f t="shared" si="4"/>
        <v>2486.1025467000004</v>
      </c>
      <c r="AP62" s="1236">
        <f t="shared" si="5"/>
        <v>0</v>
      </c>
      <c r="AQ62" s="663">
        <f t="shared" si="10"/>
        <v>27623.361630000003</v>
      </c>
      <c r="AR62" s="1"/>
      <c r="AS62" s="1239">
        <f t="shared" si="11"/>
        <v>58839.265780486741</v>
      </c>
      <c r="AT62" s="1240">
        <f t="shared" si="12"/>
        <v>4846.5772710273404</v>
      </c>
      <c r="AU62" s="1240">
        <f t="shared" si="13"/>
        <v>1350.9522798856019</v>
      </c>
      <c r="AV62" s="1236">
        <f t="shared" si="14"/>
        <v>0</v>
      </c>
      <c r="AW62" s="1240">
        <f t="shared" si="15"/>
        <v>4707.535689367498</v>
      </c>
      <c r="AX62" s="744">
        <f t="shared" si="16"/>
        <v>69744.331020767189</v>
      </c>
      <c r="AY62" s="1"/>
      <c r="AZ62" s="1150">
        <f t="shared" si="22"/>
        <v>97.367692650767196</v>
      </c>
      <c r="BA62" s="411">
        <f t="shared" si="17"/>
        <v>0.16873910759300498</v>
      </c>
      <c r="BB62" s="1360">
        <f>'Input data'!D106/10^6</f>
        <v>0</v>
      </c>
    </row>
    <row r="63" spans="1:54">
      <c r="A63" s="990">
        <f>'Input data'!A107</f>
        <v>2007</v>
      </c>
      <c r="B63" s="1647">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2">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5">
        <f t="shared" si="6"/>
        <v>0.99999999999999989</v>
      </c>
      <c r="T63" s="648">
        <f t="shared" si="29"/>
        <v>0.8</v>
      </c>
      <c r="U63" s="411">
        <f t="shared" si="29"/>
        <v>0.11</v>
      </c>
      <c r="V63" s="411">
        <f t="shared" si="29"/>
        <v>0.09</v>
      </c>
      <c r="W63" s="411">
        <f t="shared" si="29"/>
        <v>0</v>
      </c>
      <c r="X63" s="1152">
        <f t="shared" si="8"/>
        <v>1</v>
      </c>
      <c r="Y63" s="648">
        <f>'Input data'!$G$35</f>
        <v>0.66241124199764068</v>
      </c>
      <c r="Z63" s="1152">
        <f>'Input data'!$H$35</f>
        <v>0.33758875800235938</v>
      </c>
      <c r="AA63" s="1356">
        <f>'Input data'!J107</f>
        <v>28.06789123869763</v>
      </c>
      <c r="AB63" s="1236">
        <f>'Input data'!L107</f>
        <v>73482.959070474637</v>
      </c>
      <c r="AC63" s="411">
        <f t="shared" si="32"/>
        <v>0.83339363323482696</v>
      </c>
      <c r="AD63" s="411">
        <f t="shared" si="33"/>
        <v>8.8860692477895534E-2</v>
      </c>
      <c r="AE63" s="411">
        <f t="shared" si="34"/>
        <v>0</v>
      </c>
      <c r="AF63" s="411">
        <f t="shared" si="35"/>
        <v>7.7745674287277411E-2</v>
      </c>
      <c r="AG63" s="411">
        <f t="shared" si="20"/>
        <v>0.99999999999999989</v>
      </c>
      <c r="AH63" s="1354">
        <f t="shared" si="31"/>
        <v>0.78201761382701329</v>
      </c>
      <c r="AI63" s="1238">
        <f t="shared" si="31"/>
        <v>0.21798238617298668</v>
      </c>
      <c r="AJ63" s="1"/>
      <c r="AK63" s="990">
        <f t="shared" si="0"/>
        <v>2007</v>
      </c>
      <c r="AL63" s="766">
        <f t="shared" si="1"/>
        <v>22342.218888000003</v>
      </c>
      <c r="AM63" s="1236">
        <f t="shared" si="2"/>
        <v>2034.9638323551937</v>
      </c>
      <c r="AN63" s="1236">
        <f t="shared" si="3"/>
        <v>1037.0912647448067</v>
      </c>
      <c r="AO63" s="1236">
        <f t="shared" si="4"/>
        <v>2513.4996249000001</v>
      </c>
      <c r="AP63" s="1236">
        <f t="shared" si="5"/>
        <v>0</v>
      </c>
      <c r="AQ63" s="663">
        <f t="shared" si="10"/>
        <v>27927.773610000004</v>
      </c>
      <c r="AR63" s="1"/>
      <c r="AS63" s="1239">
        <f t="shared" si="11"/>
        <v>61240.230240588942</v>
      </c>
      <c r="AT63" s="1240">
        <f t="shared" si="12"/>
        <v>5106.3768771794466</v>
      </c>
      <c r="AU63" s="1240">
        <f t="shared" si="13"/>
        <v>1423.3697511477842</v>
      </c>
      <c r="AV63" s="1236">
        <f t="shared" si="14"/>
        <v>0</v>
      </c>
      <c r="AW63" s="1240">
        <f t="shared" si="15"/>
        <v>5712.9822015584587</v>
      </c>
      <c r="AX63" s="744">
        <f t="shared" si="16"/>
        <v>73482.959070474637</v>
      </c>
      <c r="AY63" s="1"/>
      <c r="AZ63" s="1150">
        <f t="shared" si="22"/>
        <v>101.41073268047464</v>
      </c>
      <c r="BA63" s="411">
        <f t="shared" si="17"/>
        <v>0.17580272896813717</v>
      </c>
      <c r="BB63" s="1360">
        <f>'Input data'!D107/10^6</f>
        <v>0</v>
      </c>
    </row>
    <row r="64" spans="1:54">
      <c r="A64" s="990">
        <f>'Input data'!A108</f>
        <v>2008</v>
      </c>
      <c r="B64" s="1647">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2">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5">
        <f t="shared" si="6"/>
        <v>0.99999999999999989</v>
      </c>
      <c r="T64" s="648">
        <f t="shared" si="29"/>
        <v>0.8</v>
      </c>
      <c r="U64" s="411">
        <f t="shared" si="29"/>
        <v>0.11</v>
      </c>
      <c r="V64" s="411">
        <f t="shared" si="29"/>
        <v>0.09</v>
      </c>
      <c r="W64" s="411">
        <f t="shared" si="29"/>
        <v>0</v>
      </c>
      <c r="X64" s="1152">
        <f t="shared" si="8"/>
        <v>1</v>
      </c>
      <c r="Y64" s="648">
        <f>'Input data'!$G$35</f>
        <v>0.66241124199764068</v>
      </c>
      <c r="Z64" s="1152">
        <f>'Input data'!$H$35</f>
        <v>0.33758875800235938</v>
      </c>
      <c r="AA64" s="1356">
        <f>'Input data'!J108</f>
        <v>28.06789123869763</v>
      </c>
      <c r="AB64" s="1236">
        <f>'Input data'!L108</f>
        <v>75827.834641083376</v>
      </c>
      <c r="AC64" s="411">
        <f t="shared" si="32"/>
        <v>0.82314499591770518</v>
      </c>
      <c r="AD64" s="411">
        <f t="shared" si="33"/>
        <v>8.8860692477895534E-2</v>
      </c>
      <c r="AE64" s="411">
        <f t="shared" si="34"/>
        <v>0</v>
      </c>
      <c r="AF64" s="411">
        <f t="shared" si="35"/>
        <v>8.7994311604399147E-2</v>
      </c>
      <c r="AG64" s="411">
        <f t="shared" si="20"/>
        <v>0.99999999999999989</v>
      </c>
      <c r="AH64" s="1354">
        <f t="shared" si="31"/>
        <v>0.78201761382701329</v>
      </c>
      <c r="AI64" s="1238">
        <f t="shared" si="31"/>
        <v>0.21798238617298668</v>
      </c>
      <c r="AJ64" s="1"/>
      <c r="AK64" s="990">
        <f t="shared" si="0"/>
        <v>2008</v>
      </c>
      <c r="AL64" s="766">
        <f t="shared" si="1"/>
        <v>22590.378312000001</v>
      </c>
      <c r="AM64" s="1236">
        <f t="shared" si="2"/>
        <v>2057.5665762916669</v>
      </c>
      <c r="AN64" s="1236">
        <f t="shared" si="3"/>
        <v>1048.6104416083335</v>
      </c>
      <c r="AO64" s="1236">
        <f t="shared" si="4"/>
        <v>2541.4175601000002</v>
      </c>
      <c r="AP64" s="1236">
        <f t="shared" si="5"/>
        <v>0</v>
      </c>
      <c r="AQ64" s="663">
        <f t="shared" si="10"/>
        <v>28237.972890000001</v>
      </c>
      <c r="AR64" s="1"/>
      <c r="AS64" s="1239">
        <f t="shared" si="11"/>
        <v>62417.302636082997</v>
      </c>
      <c r="AT64" s="1240">
        <f t="shared" si="12"/>
        <v>5269.3237501018584</v>
      </c>
      <c r="AU64" s="1240">
        <f t="shared" si="13"/>
        <v>1468.7901452041654</v>
      </c>
      <c r="AV64" s="1236">
        <f t="shared" si="14"/>
        <v>0</v>
      </c>
      <c r="AW64" s="1240">
        <f t="shared" si="15"/>
        <v>6672.418109694343</v>
      </c>
      <c r="AX64" s="744">
        <f t="shared" si="16"/>
        <v>75827.834641083376</v>
      </c>
      <c r="AY64" s="1"/>
      <c r="AZ64" s="1150">
        <f t="shared" si="22"/>
        <v>104.06580753108338</v>
      </c>
      <c r="BA64" s="411">
        <f t="shared" si="17"/>
        <v>0.1831353355645457</v>
      </c>
      <c r="BB64" s="1360">
        <f>'Input data'!D108/10^6</f>
        <v>0</v>
      </c>
    </row>
    <row r="65" spans="1:54">
      <c r="A65" s="990">
        <f>'Input data'!A109</f>
        <v>2009</v>
      </c>
      <c r="B65" s="1647">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2">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5">
        <f t="shared" si="6"/>
        <v>0.99999999999999989</v>
      </c>
      <c r="T65" s="648">
        <f t="shared" si="29"/>
        <v>0.8</v>
      </c>
      <c r="U65" s="411">
        <f t="shared" si="29"/>
        <v>0.11</v>
      </c>
      <c r="V65" s="411">
        <f t="shared" si="29"/>
        <v>0.09</v>
      </c>
      <c r="W65" s="411">
        <f t="shared" si="29"/>
        <v>0</v>
      </c>
      <c r="X65" s="1152">
        <f t="shared" si="8"/>
        <v>1</v>
      </c>
      <c r="Y65" s="648">
        <f>'Input data'!$G$35</f>
        <v>0.66241124199764068</v>
      </c>
      <c r="Z65" s="1152">
        <f>'Input data'!$H$35</f>
        <v>0.33758875800235938</v>
      </c>
      <c r="AA65" s="1356">
        <f>'Input data'!J109</f>
        <v>28.06789123869763</v>
      </c>
      <c r="AB65" s="1236">
        <f>'Input data'!L109</f>
        <v>74661.534804265713</v>
      </c>
      <c r="AC65" s="411">
        <f t="shared" si="32"/>
        <v>0.8128963586005834</v>
      </c>
      <c r="AD65" s="411">
        <f t="shared" si="33"/>
        <v>8.8860692477895534E-2</v>
      </c>
      <c r="AE65" s="411">
        <f t="shared" si="34"/>
        <v>0</v>
      </c>
      <c r="AF65" s="411">
        <f t="shared" si="35"/>
        <v>9.8242948921520884E-2</v>
      </c>
      <c r="AG65" s="411">
        <f t="shared" si="20"/>
        <v>0.99999999999999978</v>
      </c>
      <c r="AH65" s="1354">
        <f t="shared" si="31"/>
        <v>0.78201761382701329</v>
      </c>
      <c r="AI65" s="1238">
        <f t="shared" si="31"/>
        <v>0.21798238617298668</v>
      </c>
      <c r="AJ65" s="1"/>
      <c r="AK65" s="990">
        <f t="shared" si="0"/>
        <v>2009</v>
      </c>
      <c r="AL65" s="766">
        <f t="shared" si="1"/>
        <v>22834.370880000002</v>
      </c>
      <c r="AM65" s="1236">
        <f t="shared" si="2"/>
        <v>2079.7897965426396</v>
      </c>
      <c r="AN65" s="1236">
        <f t="shared" si="3"/>
        <v>1059.9361994573608</v>
      </c>
      <c r="AO65" s="1236">
        <f t="shared" si="4"/>
        <v>2568.866724</v>
      </c>
      <c r="AP65" s="1236">
        <f t="shared" si="5"/>
        <v>0</v>
      </c>
      <c r="AQ65" s="663">
        <f t="shared" si="10"/>
        <v>28542.963599999999</v>
      </c>
      <c r="AR65" s="1"/>
      <c r="AS65" s="1239">
        <f t="shared" si="11"/>
        <v>60692.089769918319</v>
      </c>
      <c r="AT65" s="1240">
        <f t="shared" si="12"/>
        <v>5188.276843527613</v>
      </c>
      <c r="AU65" s="1240">
        <f t="shared" si="13"/>
        <v>1446.1988406419368</v>
      </c>
      <c r="AV65" s="1236">
        <f t="shared" si="14"/>
        <v>0</v>
      </c>
      <c r="AW65" s="1240">
        <f t="shared" si="15"/>
        <v>7334.9693501778302</v>
      </c>
      <c r="AX65" s="744">
        <f t="shared" si="16"/>
        <v>74661.534804265699</v>
      </c>
      <c r="AY65" s="1"/>
      <c r="AZ65" s="1150">
        <f t="shared" si="22"/>
        <v>103.20449840426571</v>
      </c>
      <c r="BA65" s="411">
        <f t="shared" si="17"/>
        <v>0.19067034924452517</v>
      </c>
      <c r="BB65" s="1360">
        <f>'Input data'!D109/10^6</f>
        <v>0</v>
      </c>
    </row>
    <row r="66" spans="1:54" s="1243" customFormat="1">
      <c r="A66" s="1241">
        <f>'Input data'!A110</f>
        <v>2010</v>
      </c>
      <c r="B66" s="1648">
        <f>'Input data'!I110</f>
        <v>559.42164173673609</v>
      </c>
      <c r="C66" s="532">
        <f>B66*'Input data'!B110</f>
        <v>27898.357273411028</v>
      </c>
      <c r="D66" s="1232">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3">
        <f>'Input data'!U110</f>
        <v>1</v>
      </c>
      <c r="L66" s="1232">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2">
        <f>($T$73-$T$65)/($A$73-$A$65)+T65</f>
        <v>0.75808980601378384</v>
      </c>
      <c r="U66" s="415">
        <f t="shared" ref="U66:U72" si="36">($U$73-$U$65)/($A$73-$A$65)+U65</f>
        <v>0.14797665887920658</v>
      </c>
      <c r="V66" s="415">
        <f t="shared" ref="V66:V72" si="37">($V$73-$V$65)/($A$73-$A$65)+V65</f>
        <v>9.3933535107009608E-2</v>
      </c>
      <c r="W66" s="415">
        <f t="shared" si="29"/>
        <v>0</v>
      </c>
      <c r="X66" s="1233">
        <f t="shared" si="8"/>
        <v>1</v>
      </c>
      <c r="Y66" s="1232">
        <f>'Input data'!$G$35</f>
        <v>0.66241124199764068</v>
      </c>
      <c r="Z66" s="1233">
        <f>'Input data'!$H$35</f>
        <v>0.33758875800235938</v>
      </c>
      <c r="AA66" s="1355">
        <f>'Input data'!J110</f>
        <v>28.06789123869763</v>
      </c>
      <c r="AB66" s="471">
        <f>'Input data'!L110</f>
        <v>76931.04448391631</v>
      </c>
      <c r="AC66" s="411">
        <f t="shared" si="32"/>
        <v>0.80264772128346162</v>
      </c>
      <c r="AD66" s="411">
        <f t="shared" si="33"/>
        <v>8.8860692477895534E-2</v>
      </c>
      <c r="AE66" s="411">
        <f t="shared" si="34"/>
        <v>0</v>
      </c>
      <c r="AF66" s="411">
        <f t="shared" si="35"/>
        <v>0.10849158623864262</v>
      </c>
      <c r="AG66" s="415">
        <f t="shared" si="20"/>
        <v>0.99999999999999978</v>
      </c>
      <c r="AH66" s="1353">
        <f t="shared" si="31"/>
        <v>0.78201761382701329</v>
      </c>
      <c r="AI66" s="1234">
        <f t="shared" si="31"/>
        <v>0.21798238617298668</v>
      </c>
      <c r="AJ66" s="413"/>
      <c r="AK66" s="1241">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61748.527550972045</v>
      </c>
      <c r="AT66" s="517">
        <f t="shared" si="12"/>
        <v>5345.9864934559482</v>
      </c>
      <c r="AU66" s="517">
        <f t="shared" si="13"/>
        <v>1490.1593924326405</v>
      </c>
      <c r="AV66" s="471">
        <f t="shared" si="14"/>
        <v>0</v>
      </c>
      <c r="AW66" s="517">
        <f t="shared" si="15"/>
        <v>8346.371047055658</v>
      </c>
      <c r="AX66" s="534">
        <f t="shared" si="16"/>
        <v>76931.044483916296</v>
      </c>
      <c r="AY66" s="413"/>
      <c r="AZ66" s="1242">
        <f t="shared" si="22"/>
        <v>104.82940175732732</v>
      </c>
      <c r="BA66" s="415">
        <f t="shared" si="17"/>
        <v>0.20921052286095793</v>
      </c>
      <c r="BB66" s="1361">
        <f>'Input data'!D110/10^6</f>
        <v>0</v>
      </c>
    </row>
    <row r="67" spans="1:54">
      <c r="A67" s="990">
        <f>'Input data'!A111</f>
        <v>2011</v>
      </c>
      <c r="B67" s="1647">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2">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5">
        <f t="shared" si="6"/>
        <v>0.99999999999999989</v>
      </c>
      <c r="T67" s="648">
        <f t="shared" ref="T67:T72" si="38">($T$73-$T$65)/($A$73-$A$65)+T66</f>
        <v>0.71617961202756764</v>
      </c>
      <c r="U67" s="411">
        <f t="shared" si="36"/>
        <v>0.18595331775841314</v>
      </c>
      <c r="V67" s="411">
        <f t="shared" si="37"/>
        <v>9.7867070214019219E-2</v>
      </c>
      <c r="W67" s="411">
        <f t="shared" si="29"/>
        <v>0</v>
      </c>
      <c r="X67" s="1152">
        <f t="shared" si="8"/>
        <v>1</v>
      </c>
      <c r="Y67" s="648">
        <f>'Input data'!$G$35</f>
        <v>0.66241124199764068</v>
      </c>
      <c r="Z67" s="1152">
        <f>'Input data'!$H$35</f>
        <v>0.33758875800235938</v>
      </c>
      <c r="AA67" s="1356">
        <f>'Input data'!J111</f>
        <v>28.06789123869763</v>
      </c>
      <c r="AB67" s="1236">
        <f>'Input data'!L111</f>
        <v>79457.589338164951</v>
      </c>
      <c r="AC67" s="411">
        <f t="shared" si="32"/>
        <v>0.79239908396633985</v>
      </c>
      <c r="AD67" s="411">
        <f t="shared" si="33"/>
        <v>8.8860692477895534E-2</v>
      </c>
      <c r="AE67" s="411">
        <f t="shared" si="34"/>
        <v>0</v>
      </c>
      <c r="AF67" s="411">
        <f t="shared" si="35"/>
        <v>0.11874022355576436</v>
      </c>
      <c r="AG67" s="411">
        <f t="shared" si="20"/>
        <v>0.99999999999999978</v>
      </c>
      <c r="AH67" s="1354">
        <f t="shared" si="31"/>
        <v>0.78201761382701329</v>
      </c>
      <c r="AI67" s="1238">
        <f t="shared" si="31"/>
        <v>0.21798238617298668</v>
      </c>
      <c r="AJ67" s="1"/>
      <c r="AK67" s="990">
        <f t="shared" si="0"/>
        <v>2011</v>
      </c>
      <c r="AL67" s="766">
        <f t="shared" si="1"/>
        <v>20025.960984172027</v>
      </c>
      <c r="AM67" s="1236">
        <f t="shared" si="2"/>
        <v>3444.3163877741108</v>
      </c>
      <c r="AN67" s="1236">
        <f t="shared" si="3"/>
        <v>1755.3483663853285</v>
      </c>
      <c r="AO67" s="1236">
        <f t="shared" si="4"/>
        <v>2736.5790603736596</v>
      </c>
      <c r="AP67" s="1236">
        <f t="shared" si="5"/>
        <v>0</v>
      </c>
      <c r="AQ67" s="663">
        <f t="shared" si="10"/>
        <v>27962.204798705126</v>
      </c>
      <c r="AR67" s="1"/>
      <c r="AS67" s="1239">
        <f t="shared" si="11"/>
        <v>62962.12100573552</v>
      </c>
      <c r="AT67" s="1240">
        <f t="shared" si="12"/>
        <v>5521.557678749652</v>
      </c>
      <c r="AU67" s="1240">
        <f t="shared" si="13"/>
        <v>1539.0987324639343</v>
      </c>
      <c r="AV67" s="1236">
        <f t="shared" si="14"/>
        <v>0</v>
      </c>
      <c r="AW67" s="1240">
        <f t="shared" si="15"/>
        <v>9434.8119212158254</v>
      </c>
      <c r="AX67" s="744">
        <f t="shared" si="16"/>
        <v>79457.589338164922</v>
      </c>
      <c r="AY67" s="1"/>
      <c r="AZ67" s="1150">
        <f t="shared" si="22"/>
        <v>107.41979413687004</v>
      </c>
      <c r="BA67" s="411">
        <f t="shared" si="17"/>
        <v>0.22744143519612944</v>
      </c>
      <c r="BB67" s="1360">
        <f>'Input data'!D111/10^6</f>
        <v>0</v>
      </c>
    </row>
    <row r="68" spans="1:54">
      <c r="A68" s="990">
        <f>'Input data'!A112</f>
        <v>2012</v>
      </c>
      <c r="B68" s="1647">
        <f>'Input data'!I112</f>
        <v>520.80492521020824</v>
      </c>
      <c r="C68" s="663">
        <f>B68*'Input data'!B112</f>
        <v>27251.34315873828</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2">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5">
        <f t="shared" si="6"/>
        <v>0.99999999999999989</v>
      </c>
      <c r="T68" s="648">
        <f t="shared" si="38"/>
        <v>0.67426941804135143</v>
      </c>
      <c r="U68" s="411">
        <f t="shared" si="36"/>
        <v>0.22392997663761971</v>
      </c>
      <c r="V68" s="411">
        <f t="shared" si="37"/>
        <v>0.10180060532102883</v>
      </c>
      <c r="W68" s="411">
        <f t="shared" si="29"/>
        <v>0</v>
      </c>
      <c r="X68" s="1152">
        <f t="shared" si="8"/>
        <v>1</v>
      </c>
      <c r="Y68" s="648">
        <f>'Input data'!$G$35</f>
        <v>0.66241124199764068</v>
      </c>
      <c r="Z68" s="1152">
        <f>'Input data'!$H$35</f>
        <v>0.33758875800235938</v>
      </c>
      <c r="AA68" s="1356">
        <f>'Input data'!J112</f>
        <v>28.06789123869763</v>
      </c>
      <c r="AB68" s="1236">
        <f>'Input data'!L112</f>
        <v>81216.267712103698</v>
      </c>
      <c r="AC68" s="411">
        <f>'Input data'!B36</f>
        <v>0.7821504466492184</v>
      </c>
      <c r="AD68" s="411">
        <f>'Input data'!C36</f>
        <v>8.8860692477895534E-2</v>
      </c>
      <c r="AE68" s="411">
        <f>'Input data'!D36</f>
        <v>0</v>
      </c>
      <c r="AF68" s="411">
        <f>'Input data'!E36</f>
        <v>0.12898886087288614</v>
      </c>
      <c r="AG68" s="411">
        <f t="shared" si="20"/>
        <v>1</v>
      </c>
      <c r="AH68" s="1354">
        <f t="shared" si="31"/>
        <v>0.78201761382701329</v>
      </c>
      <c r="AI68" s="1238">
        <f t="shared" si="31"/>
        <v>0.21798238617298668</v>
      </c>
      <c r="AJ68" s="1"/>
      <c r="AK68" s="990">
        <f t="shared" si="0"/>
        <v>2012</v>
      </c>
      <c r="AL68" s="766">
        <f t="shared" si="1"/>
        <v>18374.747292487624</v>
      </c>
      <c r="AM68" s="1236">
        <f t="shared" si="2"/>
        <v>4042.2934857529522</v>
      </c>
      <c r="AN68" s="1236">
        <f t="shared" si="3"/>
        <v>2060.099151127069</v>
      </c>
      <c r="AO68" s="1236">
        <f t="shared" si="4"/>
        <v>2774.2032293706347</v>
      </c>
      <c r="AP68" s="1236">
        <f t="shared" si="5"/>
        <v>0</v>
      </c>
      <c r="AQ68" s="663">
        <f t="shared" si="10"/>
        <v>27251.34315873828</v>
      </c>
      <c r="AR68" s="1"/>
      <c r="AS68" s="1239">
        <f t="shared" si="11"/>
        <v>63523.340066204401</v>
      </c>
      <c r="AT68" s="1240">
        <f t="shared" si="12"/>
        <v>5643.7693411088603</v>
      </c>
      <c r="AU68" s="1240">
        <f t="shared" si="13"/>
        <v>1573.1644482588224</v>
      </c>
      <c r="AV68" s="1236">
        <f t="shared" si="14"/>
        <v>0</v>
      </c>
      <c r="AW68" s="1240">
        <f t="shared" si="15"/>
        <v>10475.993856531619</v>
      </c>
      <c r="AX68" s="744">
        <f t="shared" si="16"/>
        <v>81216.267712103698</v>
      </c>
      <c r="AY68" s="1"/>
      <c r="AZ68" s="1150">
        <f t="shared" si="22"/>
        <v>108.46761087084198</v>
      </c>
      <c r="BA68" s="411">
        <f t="shared" si="17"/>
        <v>0.24495352390298028</v>
      </c>
      <c r="BB68" s="1360">
        <f>'Input data'!D112/10^6</f>
        <v>0</v>
      </c>
    </row>
    <row r="69" spans="1:54">
      <c r="A69" s="990">
        <f>'Input data'!A113</f>
        <v>2013</v>
      </c>
      <c r="B69" s="1647">
        <f>'Input data'!I113</f>
        <v>501.49656694694431</v>
      </c>
      <c r="C69" s="663">
        <f>B69*'Input data'!B113</f>
        <v>26631.667498723105</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2">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5">
        <f t="shared" si="6"/>
        <v>0.99999999999999989</v>
      </c>
      <c r="T69" s="648">
        <f t="shared" si="38"/>
        <v>0.63235922405513523</v>
      </c>
      <c r="U69" s="411">
        <f t="shared" si="36"/>
        <v>0.26190663551682625</v>
      </c>
      <c r="V69" s="411">
        <f t="shared" si="37"/>
        <v>0.10573414042803844</v>
      </c>
      <c r="W69" s="411">
        <f t="shared" si="29"/>
        <v>0</v>
      </c>
      <c r="X69" s="1152">
        <f t="shared" si="8"/>
        <v>0.99999999999999989</v>
      </c>
      <c r="Y69" s="648">
        <f>'Input data'!$G$35</f>
        <v>0.66241124199764068</v>
      </c>
      <c r="Z69" s="1152">
        <f>'Input data'!$H$35</f>
        <v>0.33758875800235938</v>
      </c>
      <c r="AA69" s="1356">
        <f>'Input data'!J113</f>
        <v>28.06789123869763</v>
      </c>
      <c r="AB69" s="1236">
        <f>'Input data'!L113</f>
        <v>83339.078958887578</v>
      </c>
      <c r="AC69" s="411">
        <f t="shared" si="30"/>
        <v>0.7821504466492184</v>
      </c>
      <c r="AD69" s="411">
        <f t="shared" si="30"/>
        <v>8.8860692477895534E-2</v>
      </c>
      <c r="AE69" s="411">
        <f t="shared" si="30"/>
        <v>0</v>
      </c>
      <c r="AF69" s="411">
        <f t="shared" si="30"/>
        <v>0.12898886087288614</v>
      </c>
      <c r="AG69" s="411">
        <f t="shared" si="20"/>
        <v>1</v>
      </c>
      <c r="AH69" s="1354">
        <f t="shared" si="31"/>
        <v>0.78201761382701329</v>
      </c>
      <c r="AI69" s="1238">
        <f t="shared" si="31"/>
        <v>0.21798238617298668</v>
      </c>
      <c r="AJ69" s="1"/>
      <c r="AK69" s="990">
        <f t="shared" si="0"/>
        <v>2013</v>
      </c>
      <c r="AL69" s="766">
        <f t="shared" si="1"/>
        <v>16840.780594786906</v>
      </c>
      <c r="AM69" s="1236">
        <f t="shared" si="2"/>
        <v>4620.3253237331637</v>
      </c>
      <c r="AN69" s="1236">
        <f t="shared" si="3"/>
        <v>2354.6851090602163</v>
      </c>
      <c r="AO69" s="1236">
        <f t="shared" si="4"/>
        <v>2815.8764711428162</v>
      </c>
      <c r="AP69" s="1236">
        <f t="shared" si="5"/>
        <v>0</v>
      </c>
      <c r="AQ69" s="663">
        <f t="shared" si="10"/>
        <v>26631.667498723102</v>
      </c>
      <c r="AR69" s="1"/>
      <c r="AS69" s="1239">
        <f t="shared" si="11"/>
        <v>65183.697831028396</v>
      </c>
      <c r="AT69" s="1240">
        <f t="shared" si="12"/>
        <v>5791.2848250021752</v>
      </c>
      <c r="AU69" s="1240">
        <f t="shared" si="13"/>
        <v>1614.2834417545885</v>
      </c>
      <c r="AV69" s="1236">
        <f t="shared" si="14"/>
        <v>0</v>
      </c>
      <c r="AW69" s="1240">
        <f t="shared" si="15"/>
        <v>10749.812861102422</v>
      </c>
      <c r="AX69" s="744">
        <f t="shared" si="16"/>
        <v>83339.078958887578</v>
      </c>
      <c r="AY69" s="1"/>
      <c r="AZ69" s="1150">
        <f t="shared" si="22"/>
        <v>109.97074645761069</v>
      </c>
      <c r="BA69" s="411">
        <f t="shared" si="17"/>
        <v>0.25412456432281788</v>
      </c>
      <c r="BB69" s="1360">
        <f>'Input data'!D113/10^6</f>
        <v>0</v>
      </c>
    </row>
    <row r="70" spans="1:54">
      <c r="A70" s="990">
        <f>'Input data'!A114</f>
        <v>2014</v>
      </c>
      <c r="B70" s="1647">
        <f>'Input data'!I114</f>
        <v>482.18820868368039</v>
      </c>
      <c r="C70" s="663">
        <f>B70*'Input data'!B114</f>
        <v>25995.907038649788</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2">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5">
        <f t="shared" si="6"/>
        <v>0.99999999999999989</v>
      </c>
      <c r="T70" s="648">
        <f t="shared" si="38"/>
        <v>0.59044903006891902</v>
      </c>
      <c r="U70" s="411">
        <f t="shared" si="36"/>
        <v>0.29988329439603278</v>
      </c>
      <c r="V70" s="411">
        <f t="shared" si="37"/>
        <v>0.10966767553504805</v>
      </c>
      <c r="W70" s="411">
        <f t="shared" si="29"/>
        <v>0</v>
      </c>
      <c r="X70" s="1152">
        <f t="shared" si="8"/>
        <v>0.99999999999999989</v>
      </c>
      <c r="Y70" s="648">
        <f>'Input data'!$G$35</f>
        <v>0.66241124199764068</v>
      </c>
      <c r="Z70" s="1152">
        <f>'Input data'!$H$35</f>
        <v>0.33758875800235938</v>
      </c>
      <c r="AA70" s="1356">
        <f>'Input data'!J114</f>
        <v>28.06789123869763</v>
      </c>
      <c r="AB70" s="1236">
        <f>'Input data'!L114</f>
        <v>84827.268250850117</v>
      </c>
      <c r="AC70" s="411">
        <f t="shared" si="30"/>
        <v>0.7821504466492184</v>
      </c>
      <c r="AD70" s="411">
        <f t="shared" si="30"/>
        <v>8.8860692477895534E-2</v>
      </c>
      <c r="AE70" s="411">
        <f t="shared" si="30"/>
        <v>0</v>
      </c>
      <c r="AF70" s="411">
        <f t="shared" si="30"/>
        <v>0.12898886087288614</v>
      </c>
      <c r="AG70" s="411">
        <f t="shared" si="20"/>
        <v>1</v>
      </c>
      <c r="AH70" s="1354">
        <f t="shared" si="31"/>
        <v>0.78201761382701329</v>
      </c>
      <c r="AI70" s="1238">
        <f t="shared" si="31"/>
        <v>0.21798238617298668</v>
      </c>
      <c r="AJ70" s="1"/>
      <c r="AK70" s="990">
        <f t="shared" ref="AK70:AK73" si="39">A70</f>
        <v>2014</v>
      </c>
      <c r="AL70" s="766">
        <f t="shared" ref="AL70:AL73" si="40">C70*T70</f>
        <v>15349.258096732552</v>
      </c>
      <c r="AM70" s="1236">
        <f t="shared" ref="AM70:AM73" si="41">C70*Y70*U70</f>
        <v>5163.9846522072812</v>
      </c>
      <c r="AN70" s="1236">
        <f t="shared" ref="AN70:AN73" si="42">C70*U70*Z70</f>
        <v>2631.7535913560341</v>
      </c>
      <c r="AO70" s="1236">
        <f t="shared" ref="AO70:AO73" si="43">C70*V70</f>
        <v>2850.9106983539168</v>
      </c>
      <c r="AP70" s="1236">
        <f t="shared" ref="AP70:AP73" si="44">C70*W70</f>
        <v>0</v>
      </c>
      <c r="AQ70" s="663">
        <f t="shared" si="10"/>
        <v>25995.907038649784</v>
      </c>
      <c r="AR70" s="1"/>
      <c r="AS70" s="1239">
        <f t="shared" si="11"/>
        <v>66347.685750435485</v>
      </c>
      <c r="AT70" s="1240">
        <f t="shared" si="12"/>
        <v>5894.700031540815</v>
      </c>
      <c r="AU70" s="1240">
        <f t="shared" si="13"/>
        <v>1643.1097662379286</v>
      </c>
      <c r="AV70" s="1236">
        <f t="shared" si="14"/>
        <v>0</v>
      </c>
      <c r="AW70" s="1240">
        <f t="shared" si="15"/>
        <v>10941.772702635897</v>
      </c>
      <c r="AX70" s="744">
        <f t="shared" si="16"/>
        <v>84827.268250850131</v>
      </c>
      <c r="AY70" s="1"/>
      <c r="AZ70" s="1150">
        <f t="shared" si="22"/>
        <v>110.82317528949993</v>
      </c>
      <c r="BA70" s="411">
        <f t="shared" si="17"/>
        <v>0.26281715323754568</v>
      </c>
      <c r="BB70" s="1360">
        <f>'Input data'!D114/10^6</f>
        <v>0</v>
      </c>
    </row>
    <row r="71" spans="1:54">
      <c r="A71" s="990">
        <f>'Input data'!A115</f>
        <v>2015</v>
      </c>
      <c r="B71" s="1647">
        <f>'Input data'!I115</f>
        <v>462.87985042041646</v>
      </c>
      <c r="C71" s="663">
        <f>B71*'Input data'!B115</f>
        <v>25342.899296209085</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2">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5">
        <f t="shared" ref="S71:S73" si="45">SUM(L71:R71)</f>
        <v>0.99999999999999989</v>
      </c>
      <c r="T71" s="648">
        <f t="shared" si="38"/>
        <v>0.54853883608270282</v>
      </c>
      <c r="U71" s="411">
        <f t="shared" si="36"/>
        <v>0.33785995327523932</v>
      </c>
      <c r="V71" s="411">
        <f t="shared" si="37"/>
        <v>0.11360121064205767</v>
      </c>
      <c r="W71" s="411">
        <f t="shared" si="29"/>
        <v>0</v>
      </c>
      <c r="X71" s="1152">
        <f t="shared" ref="X71:X72" si="46">SUM(T71:W71)</f>
        <v>0.99999999999999978</v>
      </c>
      <c r="Y71" s="648">
        <f>'Input data'!$G$35</f>
        <v>0.66241124199764068</v>
      </c>
      <c r="Z71" s="1152">
        <f>'Input data'!$H$35</f>
        <v>0.33758875800235938</v>
      </c>
      <c r="AA71" s="1356">
        <f>'Input data'!J115</f>
        <v>28.06789123869763</v>
      </c>
      <c r="AB71" s="1236">
        <f>'Input data'!L115</f>
        <v>85894.248849119918</v>
      </c>
      <c r="AC71" s="411">
        <f t="shared" si="30"/>
        <v>0.7821504466492184</v>
      </c>
      <c r="AD71" s="411">
        <f t="shared" si="30"/>
        <v>8.8860692477895534E-2</v>
      </c>
      <c r="AE71" s="411">
        <f t="shared" si="30"/>
        <v>0</v>
      </c>
      <c r="AF71" s="411">
        <f t="shared" si="30"/>
        <v>0.12898886087288614</v>
      </c>
      <c r="AG71" s="411">
        <f t="shared" si="20"/>
        <v>1</v>
      </c>
      <c r="AH71" s="1354">
        <f t="shared" si="31"/>
        <v>0.78201761382701329</v>
      </c>
      <c r="AI71" s="1238">
        <f t="shared" si="31"/>
        <v>0.21798238617298668</v>
      </c>
      <c r="AJ71" s="1"/>
      <c r="AK71" s="990">
        <f t="shared" si="39"/>
        <v>2015</v>
      </c>
      <c r="AL71" s="766">
        <f t="shared" si="40"/>
        <v>13901.564482903679</v>
      </c>
      <c r="AM71" s="1236">
        <f t="shared" si="41"/>
        <v>5671.7974093505181</v>
      </c>
      <c r="AN71" s="1236">
        <f t="shared" si="42"/>
        <v>2890.5533627257801</v>
      </c>
      <c r="AO71" s="1236">
        <f t="shared" si="43"/>
        <v>2878.9840412291032</v>
      </c>
      <c r="AP71" s="1236">
        <f t="shared" si="44"/>
        <v>0</v>
      </c>
      <c r="AQ71" s="663">
        <f t="shared" ref="AQ71:AQ73" si="47">SUM(AL71:AP71)</f>
        <v>25342.899296209078</v>
      </c>
      <c r="AR71" s="1"/>
      <c r="AS71" s="1239">
        <f t="shared" ref="AS71:AS73" si="48">AC71*AB71</f>
        <v>67182.225101938253</v>
      </c>
      <c r="AT71" s="1240">
        <f t="shared" ref="AT71:AT73" si="49">AB71*AD71*AH71</f>
        <v>5968.8451819855409</v>
      </c>
      <c r="AU71" s="1240">
        <f t="shared" ref="AU71:AU73" si="50">AI71*AD71*AB71</f>
        <v>1663.7772506159363</v>
      </c>
      <c r="AV71" s="1236">
        <f t="shared" ref="AV71:AV73" si="51">AE71*AB71</f>
        <v>0</v>
      </c>
      <c r="AW71" s="1240">
        <f t="shared" ref="AW71:AW73" si="52">AF71*AB71</f>
        <v>11079.401314580189</v>
      </c>
      <c r="AX71" s="744">
        <f t="shared" ref="AX71:AX73" si="53">SUM(AS71:AW71)</f>
        <v>85894.248849119918</v>
      </c>
      <c r="AY71" s="1"/>
      <c r="AZ71" s="1150">
        <f t="shared" si="22"/>
        <v>111.237148145329</v>
      </c>
      <c r="BA71" s="411">
        <f t="shared" ref="BA71:BA73" si="54">(AX71+AQ71-AS71-AL71)/(AQ71+AX71)</f>
        <v>0.27107274020628741</v>
      </c>
      <c r="BB71" s="1360">
        <f>'Input data'!D115/10^6</f>
        <v>0</v>
      </c>
    </row>
    <row r="72" spans="1:54">
      <c r="A72" s="990">
        <f>'Input data'!A116</f>
        <v>2016</v>
      </c>
      <c r="B72" s="1647">
        <f>'Input data'!I116</f>
        <v>443.57149215715253</v>
      </c>
      <c r="C72" s="663">
        <f>B72*'Input data'!B116</f>
        <v>24671.419987892194</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2">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5">
        <f t="shared" si="45"/>
        <v>0.99999999999999989</v>
      </c>
      <c r="T72" s="648">
        <f t="shared" si="38"/>
        <v>0.50662864209648661</v>
      </c>
      <c r="U72" s="411">
        <f t="shared" si="36"/>
        <v>0.37583661215444586</v>
      </c>
      <c r="V72" s="411">
        <f t="shared" si="37"/>
        <v>0.11753474574906728</v>
      </c>
      <c r="W72" s="411">
        <f t="shared" ref="W72" si="55">W71</f>
        <v>0</v>
      </c>
      <c r="X72" s="1152">
        <f t="shared" si="46"/>
        <v>0.99999999999999978</v>
      </c>
      <c r="Y72" s="648">
        <f>'Input data'!$G$35</f>
        <v>0.66241124199764068</v>
      </c>
      <c r="Z72" s="1152">
        <f>'Input data'!$H$35</f>
        <v>0.33758875800235938</v>
      </c>
      <c r="AA72" s="1356">
        <f>'Input data'!J116</f>
        <v>28.06789123869763</v>
      </c>
      <c r="AB72" s="1236">
        <f>'Input data'!L116</f>
        <v>86529.544755273513</v>
      </c>
      <c r="AC72" s="411">
        <f t="shared" ref="AC72:AF73" si="56">AC71</f>
        <v>0.7821504466492184</v>
      </c>
      <c r="AD72" s="411">
        <f t="shared" si="56"/>
        <v>8.8860692477895534E-2</v>
      </c>
      <c r="AE72" s="411">
        <f t="shared" si="56"/>
        <v>0</v>
      </c>
      <c r="AF72" s="411">
        <f t="shared" si="56"/>
        <v>0.12898886087288614</v>
      </c>
      <c r="AG72" s="411">
        <f t="shared" ref="AG72:AG73" si="57">SUM(AC72:AF72)</f>
        <v>1</v>
      </c>
      <c r="AH72" s="1354">
        <f t="shared" ref="AH72:AI73" si="58">AH71</f>
        <v>0.78201761382701329</v>
      </c>
      <c r="AI72" s="1238">
        <f t="shared" si="58"/>
        <v>0.21798238617298668</v>
      </c>
      <c r="AJ72" s="1"/>
      <c r="AK72" s="990">
        <f t="shared" si="39"/>
        <v>2016</v>
      </c>
      <c r="AL72" s="766">
        <f t="shared" si="40"/>
        <v>12499.24800705794</v>
      </c>
      <c r="AM72" s="1236">
        <f t="shared" si="41"/>
        <v>6142.1571730197802</v>
      </c>
      <c r="AN72" s="1236">
        <f t="shared" si="42"/>
        <v>3130.2657322691025</v>
      </c>
      <c r="AO72" s="1236">
        <f t="shared" si="43"/>
        <v>2899.7490755453655</v>
      </c>
      <c r="AP72" s="1236">
        <f t="shared" si="44"/>
        <v>0</v>
      </c>
      <c r="AQ72" s="663">
        <f t="shared" si="47"/>
        <v>24671.419987892186</v>
      </c>
      <c r="AR72" s="1"/>
      <c r="AS72" s="1239">
        <f t="shared" si="48"/>
        <v>67679.122078690707</v>
      </c>
      <c r="AT72" s="1240">
        <f t="shared" si="49"/>
        <v>6012.9922926406553</v>
      </c>
      <c r="AU72" s="1240">
        <f t="shared" si="50"/>
        <v>1676.0829741100024</v>
      </c>
      <c r="AV72" s="1236">
        <f t="shared" si="51"/>
        <v>0</v>
      </c>
      <c r="AW72" s="1240">
        <f t="shared" si="52"/>
        <v>11161.347409832149</v>
      </c>
      <c r="AX72" s="744">
        <f t="shared" si="53"/>
        <v>86529.544755273513</v>
      </c>
      <c r="AY72" s="1"/>
      <c r="AZ72" s="1150">
        <f t="shared" ref="AZ72:AZ73" si="59">(AX72+AQ72)*1000/10^6</f>
        <v>111.2009647431657</v>
      </c>
      <c r="BA72" s="411">
        <f t="shared" si="54"/>
        <v>0.27897774744192294</v>
      </c>
      <c r="BB72" s="1360">
        <f>'Input data'!D116/10^6</f>
        <v>0</v>
      </c>
    </row>
    <row r="73" spans="1:54" s="1" customFormat="1" ht="16.5" thickBot="1">
      <c r="A73" s="1650">
        <f>'Input data'!A117</f>
        <v>2017</v>
      </c>
      <c r="B73" s="1651">
        <f>'Input data'!I117</f>
        <v>424.26313389388866</v>
      </c>
      <c r="C73" s="538">
        <f>B73*'Input data'!B117</f>
        <v>23980.178809937162</v>
      </c>
      <c r="D73" s="1244">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5">
        <f>'Input data'!U117</f>
        <v>1</v>
      </c>
      <c r="L73" s="1244">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4">
        <f>'Input data'!B35</f>
        <v>0.46471844811027063</v>
      </c>
      <c r="U73" s="536">
        <f>'Input data'!C35</f>
        <v>0.41381327103365251</v>
      </c>
      <c r="V73" s="536">
        <f>'Input data'!D35</f>
        <v>0.12146828085607692</v>
      </c>
      <c r="W73" s="536">
        <f>'Input data'!E35</f>
        <v>0</v>
      </c>
      <c r="X73" s="1245">
        <f>SUM(T73:W73)</f>
        <v>1</v>
      </c>
      <c r="Y73" s="1244">
        <f>'Input data'!$G$35</f>
        <v>0.66241124199764068</v>
      </c>
      <c r="Z73" s="1245">
        <f>'Input data'!$H$35</f>
        <v>0.33758875800235938</v>
      </c>
      <c r="AA73" s="1357">
        <f>'Input data'!J117</f>
        <v>12.031045626813224</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6">
        <f t="shared" si="58"/>
        <v>0.78201761382701329</v>
      </c>
      <c r="AI73" s="1247">
        <f t="shared" si="58"/>
        <v>0.21798238617298668</v>
      </c>
      <c r="AJ73" s="413"/>
      <c r="AK73" s="1650">
        <f t="shared" si="39"/>
        <v>2017</v>
      </c>
      <c r="AL73" s="537">
        <f t="shared" si="40"/>
        <v>11144.031481960794</v>
      </c>
      <c r="AM73" s="535">
        <f t="shared" si="41"/>
        <v>6573.3162308435367</v>
      </c>
      <c r="AN73" s="535">
        <f t="shared" si="42"/>
        <v>3350.0000024684418</v>
      </c>
      <c r="AO73" s="535">
        <f t="shared" si="43"/>
        <v>2912.8310946643915</v>
      </c>
      <c r="AP73" s="535">
        <f t="shared" si="44"/>
        <v>0</v>
      </c>
      <c r="AQ73" s="538">
        <f t="shared" si="47"/>
        <v>23980.178809937162</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2">
        <f t="shared" si="59"/>
        <v>111.48215319455257</v>
      </c>
      <c r="BA73" s="536">
        <f t="shared" si="54"/>
        <v>0.28613022309776337</v>
      </c>
      <c r="BB73" s="1653">
        <f>'Input data'!D117/10^6</f>
        <v>49.995050999999997</v>
      </c>
    </row>
    <row r="74" spans="1:54">
      <c r="B74" s="1248"/>
      <c r="F74" s="1249"/>
      <c r="G74" s="1249"/>
      <c r="H74" s="1249"/>
      <c r="I74" s="1249"/>
      <c r="J74" s="419"/>
      <c r="K74" s="419"/>
      <c r="L74" s="623"/>
      <c r="N74" s="1249"/>
      <c r="O74" s="1249"/>
      <c r="P74" s="1249"/>
      <c r="Q74" s="1249"/>
      <c r="R74" s="419"/>
      <c r="S74" s="419"/>
      <c r="T74" s="419"/>
      <c r="U74" s="419"/>
      <c r="V74" s="419"/>
      <c r="W74" s="419"/>
      <c r="X74" s="419"/>
    </row>
    <row r="75" spans="1:54">
      <c r="B75" s="1248"/>
      <c r="F75" s="1249"/>
      <c r="G75" s="1249"/>
      <c r="H75" s="1249"/>
      <c r="I75" s="1249"/>
      <c r="J75" s="419"/>
      <c r="K75" s="419"/>
      <c r="N75" s="1249"/>
      <c r="O75" s="1249"/>
      <c r="P75" s="1249"/>
      <c r="Q75" s="1249"/>
      <c r="R75" s="419"/>
      <c r="S75" s="419"/>
      <c r="T75" s="419"/>
      <c r="U75" s="419"/>
      <c r="V75" s="419"/>
      <c r="W75" s="419"/>
      <c r="X75" s="419"/>
    </row>
    <row r="76" spans="1:54">
      <c r="B76" s="1248"/>
      <c r="F76" s="1249"/>
      <c r="G76" s="1249"/>
      <c r="H76" s="1249"/>
      <c r="I76" s="1249"/>
      <c r="J76" s="419"/>
      <c r="K76" s="419"/>
      <c r="N76" s="1249"/>
      <c r="O76" s="1249"/>
      <c r="P76" s="1249"/>
      <c r="Q76" s="1249"/>
      <c r="R76" s="419"/>
      <c r="S76" s="419"/>
      <c r="T76" s="419"/>
      <c r="U76" s="419"/>
      <c r="V76" s="419"/>
      <c r="W76" s="419"/>
      <c r="X76" s="419"/>
    </row>
    <row r="77" spans="1:54">
      <c r="B77" s="1248"/>
      <c r="F77" s="1249"/>
      <c r="G77" s="1249"/>
      <c r="H77" s="1249"/>
      <c r="I77" s="1249"/>
      <c r="J77" s="419"/>
      <c r="K77" s="419"/>
      <c r="N77" s="1249"/>
      <c r="O77" s="1249"/>
      <c r="P77" s="1249"/>
      <c r="Q77" s="1249"/>
      <c r="R77" s="419"/>
      <c r="S77" s="419"/>
      <c r="T77" s="419"/>
      <c r="U77" s="419"/>
      <c r="V77" s="419"/>
      <c r="W77" s="419"/>
      <c r="X77" s="419"/>
    </row>
    <row r="78" spans="1:54">
      <c r="B78" s="1248"/>
      <c r="F78" s="1249"/>
      <c r="G78" s="1249"/>
      <c r="H78" s="1249"/>
      <c r="I78" s="1249"/>
      <c r="J78" s="419"/>
      <c r="K78" s="419"/>
      <c r="N78" s="1249"/>
      <c r="O78" s="1249"/>
      <c r="P78" s="1249"/>
      <c r="Q78" s="1249"/>
      <c r="R78" s="419"/>
      <c r="S78" s="419"/>
      <c r="T78" s="419"/>
      <c r="U78" s="419"/>
      <c r="V78" s="419"/>
      <c r="W78" s="419"/>
      <c r="X78" s="419"/>
    </row>
    <row r="79" spans="1:54">
      <c r="B79" s="1248"/>
      <c r="F79" s="1249"/>
      <c r="G79" s="1249"/>
      <c r="H79" s="1249"/>
      <c r="I79" s="1249"/>
      <c r="J79" s="419"/>
      <c r="K79" s="419"/>
      <c r="N79" s="1249"/>
      <c r="O79" s="1249"/>
      <c r="P79" s="1249"/>
      <c r="Q79" s="1249"/>
      <c r="R79" s="419"/>
      <c r="S79" s="419"/>
      <c r="T79" s="419"/>
      <c r="U79" s="419"/>
      <c r="V79" s="419"/>
      <c r="W79" s="419"/>
      <c r="X79" s="419"/>
    </row>
    <row r="80" spans="1:54">
      <c r="B80" s="1248"/>
      <c r="F80" s="1249"/>
      <c r="G80" s="1249"/>
      <c r="H80" s="1249"/>
      <c r="I80" s="1249"/>
      <c r="J80" s="419"/>
      <c r="K80" s="419"/>
      <c r="N80" s="1249"/>
      <c r="O80" s="1249"/>
      <c r="P80" s="1249"/>
      <c r="Q80" s="1249"/>
      <c r="R80" s="419"/>
      <c r="S80" s="419"/>
      <c r="T80" s="419"/>
      <c r="U80" s="419"/>
      <c r="V80" s="419"/>
      <c r="W80" s="419"/>
      <c r="X80" s="419"/>
    </row>
    <row r="81" spans="2:35" s="1" customFormat="1">
      <c r="B81" s="1248"/>
      <c r="F81" s="1249"/>
      <c r="G81" s="1249"/>
      <c r="H81" s="1249"/>
      <c r="I81" s="1249"/>
      <c r="J81" s="419"/>
      <c r="K81" s="419"/>
      <c r="N81" s="1249"/>
      <c r="O81" s="1249"/>
      <c r="P81" s="1249"/>
      <c r="Q81" s="1249"/>
      <c r="R81" s="419"/>
      <c r="S81" s="419"/>
      <c r="T81" s="419"/>
      <c r="U81" s="419"/>
      <c r="V81" s="419"/>
      <c r="W81" s="419"/>
      <c r="X81" s="419"/>
      <c r="AH81" s="1237"/>
      <c r="AI81" s="1237"/>
    </row>
    <row r="82" spans="2:35">
      <c r="B82" s="1248"/>
      <c r="F82" s="1249"/>
      <c r="G82" s="1249"/>
      <c r="H82" s="1249"/>
      <c r="I82" s="1249"/>
      <c r="J82" s="419"/>
      <c r="K82" s="419"/>
      <c r="N82" s="1249"/>
      <c r="O82" s="1249"/>
      <c r="P82" s="1249"/>
      <c r="Q82" s="1249"/>
      <c r="R82" s="419"/>
      <c r="S82" s="419"/>
      <c r="T82" s="419"/>
      <c r="U82" s="419"/>
      <c r="V82" s="419"/>
      <c r="W82" s="419"/>
      <c r="X82" s="419"/>
    </row>
    <row r="83" spans="2:35">
      <c r="B83" s="1248"/>
      <c r="F83" s="1249"/>
      <c r="G83" s="1249"/>
      <c r="H83" s="1249"/>
      <c r="I83" s="1249"/>
      <c r="J83" s="419"/>
      <c r="K83" s="419"/>
      <c r="N83" s="1249"/>
      <c r="O83" s="1249"/>
      <c r="P83" s="1249"/>
      <c r="Q83" s="1249"/>
      <c r="R83" s="419"/>
      <c r="S83" s="419"/>
      <c r="T83" s="419"/>
      <c r="U83" s="419"/>
      <c r="V83" s="419"/>
      <c r="W83" s="419"/>
      <c r="X83" s="419"/>
    </row>
    <row r="84" spans="2:35">
      <c r="B84" s="1248"/>
      <c r="F84" s="1249"/>
      <c r="G84" s="1249"/>
      <c r="H84" s="1249"/>
      <c r="I84" s="1249"/>
      <c r="J84" s="419"/>
      <c r="K84" s="419"/>
      <c r="N84" s="1249"/>
      <c r="O84" s="1249"/>
      <c r="P84" s="1249"/>
      <c r="Q84" s="1249"/>
      <c r="R84" s="419"/>
      <c r="S84" s="419"/>
      <c r="T84" s="419"/>
      <c r="U84" s="419"/>
      <c r="V84" s="419"/>
      <c r="W84" s="419"/>
      <c r="X84" s="419"/>
    </row>
    <row r="85" spans="2:35">
      <c r="B85" s="1248"/>
      <c r="F85" s="1249"/>
      <c r="G85" s="1249"/>
      <c r="H85" s="1249"/>
      <c r="I85" s="1249"/>
      <c r="J85" s="419"/>
      <c r="K85" s="419"/>
      <c r="N85" s="1249"/>
      <c r="O85" s="1249"/>
      <c r="P85" s="1249"/>
      <c r="Q85" s="1249"/>
      <c r="R85" s="419"/>
      <c r="S85" s="419"/>
      <c r="T85" s="419"/>
      <c r="U85" s="419"/>
      <c r="V85" s="419"/>
      <c r="W85" s="419"/>
      <c r="X85" s="419"/>
    </row>
    <row r="86" spans="2:35">
      <c r="B86" s="1248"/>
      <c r="F86" s="1249"/>
      <c r="G86" s="1249"/>
      <c r="H86" s="1249"/>
      <c r="I86" s="1249"/>
      <c r="J86" s="419"/>
      <c r="K86" s="419"/>
      <c r="N86" s="1249"/>
      <c r="O86" s="1249"/>
      <c r="P86" s="1249"/>
      <c r="Q86" s="1249"/>
      <c r="R86" s="419"/>
      <c r="S86" s="419"/>
      <c r="T86" s="419"/>
      <c r="U86" s="419"/>
      <c r="V86" s="419"/>
      <c r="W86" s="419"/>
      <c r="X86" s="419"/>
    </row>
    <row r="87" spans="2:35">
      <c r="B87" s="1248"/>
      <c r="F87" s="1249"/>
      <c r="G87" s="1249"/>
      <c r="H87" s="1249"/>
      <c r="I87" s="1249"/>
      <c r="J87" s="419"/>
      <c r="K87" s="419"/>
      <c r="N87" s="1249"/>
      <c r="O87" s="1249"/>
      <c r="P87" s="1249"/>
      <c r="Q87" s="1249"/>
      <c r="R87" s="419"/>
      <c r="S87" s="419"/>
      <c r="T87" s="419"/>
      <c r="U87" s="419"/>
      <c r="V87" s="419"/>
      <c r="W87" s="419"/>
      <c r="X87" s="419"/>
    </row>
    <row r="88" spans="2:35">
      <c r="B88" s="1248"/>
      <c r="F88" s="1249"/>
      <c r="G88" s="1249"/>
      <c r="H88" s="1249"/>
      <c r="I88" s="1249"/>
      <c r="J88" s="419"/>
      <c r="K88" s="419"/>
      <c r="N88" s="1249"/>
      <c r="O88" s="1249"/>
      <c r="P88" s="1249"/>
      <c r="Q88" s="1249"/>
      <c r="R88" s="419"/>
      <c r="S88" s="419"/>
      <c r="T88" s="419"/>
      <c r="U88" s="419"/>
      <c r="V88" s="419"/>
      <c r="W88" s="419"/>
      <c r="X88" s="419"/>
    </row>
    <row r="89" spans="2:35">
      <c r="B89" s="1248"/>
      <c r="F89" s="1249"/>
      <c r="G89" s="1249"/>
      <c r="H89" s="1249"/>
      <c r="I89" s="1249"/>
      <c r="J89" s="419"/>
      <c r="K89" s="419"/>
      <c r="N89" s="1249"/>
      <c r="O89" s="1249"/>
      <c r="P89" s="1249"/>
      <c r="Q89" s="1249"/>
      <c r="R89" s="419"/>
      <c r="S89" s="419"/>
      <c r="T89" s="419"/>
      <c r="U89" s="419"/>
      <c r="V89" s="419"/>
      <c r="W89" s="419"/>
      <c r="X89" s="419"/>
    </row>
    <row r="90" spans="2:35">
      <c r="B90" s="1248"/>
      <c r="F90" s="1249"/>
      <c r="G90" s="1249"/>
      <c r="H90" s="1249"/>
      <c r="I90" s="1249"/>
      <c r="J90" s="419"/>
      <c r="K90" s="419"/>
      <c r="N90" s="1249"/>
      <c r="O90" s="1249"/>
      <c r="P90" s="1249"/>
      <c r="Q90" s="1249"/>
      <c r="R90" s="419"/>
      <c r="S90" s="419"/>
      <c r="T90" s="419"/>
      <c r="U90" s="419"/>
      <c r="V90" s="419"/>
      <c r="W90" s="419"/>
      <c r="X90" s="419"/>
    </row>
    <row r="91" spans="2:35">
      <c r="B91" s="1248"/>
      <c r="F91" s="1249"/>
      <c r="G91" s="1249"/>
      <c r="H91" s="1249"/>
      <c r="I91" s="1249"/>
      <c r="J91" s="419"/>
      <c r="K91" s="419"/>
      <c r="N91" s="1249"/>
      <c r="O91" s="1249"/>
      <c r="P91" s="1249"/>
      <c r="Q91" s="1249"/>
      <c r="R91" s="419"/>
      <c r="S91" s="419"/>
      <c r="T91" s="419"/>
      <c r="U91" s="419"/>
      <c r="V91" s="419"/>
      <c r="W91" s="419"/>
      <c r="X91" s="419"/>
    </row>
    <row r="92" spans="2:35">
      <c r="B92" s="1248"/>
      <c r="F92" s="1249"/>
      <c r="G92" s="1249"/>
      <c r="H92" s="1249"/>
      <c r="I92" s="1249"/>
      <c r="J92" s="419"/>
      <c r="K92" s="419"/>
      <c r="N92" s="1249"/>
      <c r="O92" s="1249"/>
      <c r="P92" s="1249"/>
      <c r="Q92" s="1249"/>
      <c r="R92" s="419"/>
      <c r="S92" s="419"/>
      <c r="T92" s="419"/>
      <c r="U92" s="419"/>
      <c r="V92" s="419"/>
      <c r="W92" s="419"/>
      <c r="X92" s="419"/>
    </row>
    <row r="93" spans="2:35">
      <c r="B93" s="1248"/>
      <c r="F93" s="1249"/>
      <c r="G93" s="1249"/>
      <c r="H93" s="1249"/>
      <c r="I93" s="1249"/>
      <c r="J93" s="419"/>
      <c r="K93" s="419"/>
      <c r="N93" s="1249"/>
      <c r="O93" s="1249"/>
      <c r="P93" s="1249"/>
      <c r="Q93" s="1249"/>
      <c r="R93" s="419"/>
      <c r="S93" s="419"/>
      <c r="T93" s="419"/>
      <c r="U93" s="419"/>
      <c r="V93" s="419"/>
      <c r="W93" s="419"/>
      <c r="X93" s="419"/>
    </row>
    <row r="94" spans="2:35">
      <c r="B94" s="1248"/>
      <c r="F94" s="1249"/>
      <c r="G94" s="1249"/>
      <c r="H94" s="1249"/>
      <c r="I94" s="1249"/>
      <c r="J94" s="419"/>
      <c r="K94" s="419"/>
      <c r="N94" s="1249"/>
      <c r="O94" s="1249"/>
      <c r="P94" s="1249"/>
      <c r="Q94" s="1249"/>
      <c r="R94" s="419"/>
      <c r="S94" s="419"/>
      <c r="T94" s="419"/>
      <c r="U94" s="419"/>
      <c r="V94" s="419"/>
      <c r="W94" s="419"/>
      <c r="X94" s="419"/>
    </row>
    <row r="95" spans="2:35">
      <c r="B95" s="1248"/>
      <c r="F95" s="1249"/>
      <c r="G95" s="1249"/>
      <c r="H95" s="1249"/>
      <c r="I95" s="1249"/>
      <c r="J95" s="419"/>
      <c r="K95" s="419"/>
      <c r="N95" s="1249"/>
      <c r="O95" s="1249"/>
      <c r="P95" s="1249"/>
      <c r="Q95" s="1249"/>
      <c r="R95" s="419"/>
      <c r="S95" s="419"/>
      <c r="T95" s="419"/>
      <c r="U95" s="419"/>
      <c r="V95" s="419"/>
      <c r="W95" s="419"/>
      <c r="X95" s="419"/>
    </row>
    <row r="96" spans="2:35">
      <c r="B96" s="1248"/>
      <c r="F96" s="1249"/>
      <c r="G96" s="1249"/>
      <c r="H96" s="1249"/>
      <c r="I96" s="1249"/>
      <c r="J96" s="419"/>
      <c r="K96" s="419"/>
      <c r="N96" s="1249"/>
      <c r="O96" s="1249"/>
      <c r="P96" s="1249"/>
      <c r="Q96" s="1249"/>
      <c r="R96" s="419"/>
      <c r="S96" s="419"/>
      <c r="T96" s="419"/>
      <c r="U96" s="419"/>
      <c r="V96" s="419"/>
      <c r="W96" s="419"/>
      <c r="X96" s="419"/>
    </row>
    <row r="97" spans="2:24">
      <c r="B97" s="1248"/>
      <c r="F97" s="1249"/>
      <c r="G97" s="1249"/>
      <c r="H97" s="1249"/>
      <c r="I97" s="1249"/>
      <c r="J97" s="419"/>
      <c r="K97" s="419"/>
      <c r="N97" s="1249"/>
      <c r="O97" s="1249"/>
      <c r="P97" s="1249"/>
      <c r="Q97" s="1249"/>
      <c r="R97" s="419"/>
      <c r="S97" s="419"/>
      <c r="T97" s="419"/>
      <c r="U97" s="419"/>
      <c r="V97" s="419"/>
      <c r="W97" s="419"/>
      <c r="X97" s="419"/>
    </row>
    <row r="98" spans="2:24">
      <c r="B98" s="1248"/>
      <c r="F98" s="1249"/>
      <c r="G98" s="1249"/>
      <c r="H98" s="1249"/>
      <c r="I98" s="1249"/>
      <c r="J98" s="419"/>
      <c r="K98" s="419"/>
      <c r="N98" s="1249"/>
      <c r="O98" s="1249"/>
      <c r="P98" s="1249"/>
      <c r="Q98" s="1249"/>
      <c r="R98" s="419"/>
      <c r="S98" s="419"/>
      <c r="T98" s="419"/>
      <c r="U98" s="419"/>
      <c r="V98" s="419"/>
      <c r="W98" s="419"/>
      <c r="X98" s="419"/>
    </row>
    <row r="99" spans="2:24">
      <c r="B99" s="1248"/>
      <c r="F99" s="1249"/>
      <c r="G99" s="1249"/>
      <c r="H99" s="1249"/>
      <c r="I99" s="1249"/>
      <c r="J99" s="419"/>
      <c r="K99" s="419"/>
      <c r="N99" s="1249"/>
      <c r="O99" s="1249"/>
      <c r="P99" s="1249"/>
      <c r="Q99" s="1249"/>
      <c r="R99" s="419"/>
      <c r="S99" s="419"/>
      <c r="T99" s="419"/>
      <c r="U99" s="419"/>
      <c r="V99" s="419"/>
      <c r="W99" s="419"/>
      <c r="X99" s="419"/>
    </row>
    <row r="100" spans="2:24">
      <c r="B100" s="1248"/>
      <c r="F100" s="1249"/>
      <c r="G100" s="1249"/>
      <c r="H100" s="1249"/>
      <c r="I100" s="1249"/>
      <c r="J100" s="419"/>
      <c r="K100" s="419"/>
      <c r="N100" s="1249"/>
      <c r="O100" s="1249"/>
      <c r="P100" s="1249"/>
      <c r="Q100" s="1249"/>
      <c r="R100" s="419"/>
      <c r="S100" s="419"/>
      <c r="T100" s="419"/>
      <c r="U100" s="419"/>
      <c r="V100" s="419"/>
      <c r="W100" s="419"/>
      <c r="X100" s="419"/>
    </row>
    <row r="101" spans="2:24">
      <c r="B101" s="1248"/>
      <c r="F101" s="1249"/>
      <c r="G101" s="1249"/>
      <c r="H101" s="1249"/>
      <c r="I101" s="1249"/>
      <c r="J101" s="419"/>
      <c r="K101" s="419"/>
      <c r="N101" s="1249"/>
      <c r="O101" s="1249"/>
      <c r="P101" s="1249"/>
      <c r="Q101" s="1249"/>
      <c r="R101" s="419"/>
      <c r="S101" s="419"/>
      <c r="T101" s="419"/>
      <c r="U101" s="419"/>
      <c r="V101" s="419"/>
      <c r="W101" s="419"/>
      <c r="X101" s="419"/>
    </row>
    <row r="102" spans="2:24">
      <c r="B102" s="1248"/>
      <c r="F102" s="1249"/>
      <c r="G102" s="1249"/>
      <c r="H102" s="1249"/>
      <c r="I102" s="1249"/>
      <c r="J102" s="419"/>
      <c r="K102" s="419"/>
      <c r="N102" s="1249"/>
      <c r="O102" s="1249"/>
      <c r="P102" s="1249"/>
      <c r="Q102" s="1249"/>
      <c r="R102" s="419"/>
      <c r="S102" s="419"/>
      <c r="T102" s="419"/>
      <c r="U102" s="419"/>
      <c r="V102" s="419"/>
      <c r="W102" s="419"/>
      <c r="X102" s="419"/>
    </row>
    <row r="103" spans="2:24">
      <c r="B103" s="1248"/>
      <c r="F103" s="1249"/>
      <c r="G103" s="1249"/>
      <c r="H103" s="1249"/>
      <c r="I103" s="1249"/>
      <c r="J103" s="419"/>
      <c r="K103" s="419"/>
      <c r="N103" s="1249"/>
      <c r="O103" s="1249"/>
      <c r="P103" s="1249"/>
      <c r="Q103" s="1249"/>
      <c r="R103" s="419"/>
      <c r="S103" s="419"/>
      <c r="T103" s="419"/>
      <c r="U103" s="419"/>
      <c r="V103" s="419"/>
      <c r="W103" s="419"/>
      <c r="X103" s="419"/>
    </row>
    <row r="104" spans="2:24">
      <c r="B104" s="1248"/>
      <c r="F104" s="1249"/>
      <c r="G104" s="1249"/>
      <c r="H104" s="1249"/>
      <c r="I104" s="1249"/>
      <c r="J104" s="419"/>
      <c r="K104" s="419"/>
      <c r="N104" s="1249"/>
      <c r="O104" s="1249"/>
      <c r="P104" s="1249"/>
      <c r="Q104" s="1249"/>
      <c r="R104" s="419"/>
      <c r="S104" s="419"/>
      <c r="T104" s="419"/>
      <c r="U104" s="419"/>
      <c r="V104" s="419"/>
      <c r="W104" s="419"/>
      <c r="X104" s="419"/>
    </row>
    <row r="105" spans="2:24">
      <c r="B105" s="1248"/>
      <c r="F105" s="1249"/>
      <c r="G105" s="1249"/>
      <c r="H105" s="1249"/>
      <c r="I105" s="1249"/>
      <c r="J105" s="419"/>
      <c r="K105" s="419"/>
      <c r="N105" s="1249"/>
      <c r="O105" s="1249"/>
      <c r="P105" s="1249"/>
      <c r="Q105" s="1249"/>
      <c r="R105" s="419"/>
      <c r="S105" s="419"/>
      <c r="T105" s="419"/>
      <c r="U105" s="419"/>
      <c r="V105" s="419"/>
      <c r="W105" s="419"/>
      <c r="X105" s="419"/>
    </row>
    <row r="106" spans="2:24">
      <c r="B106" s="1248"/>
      <c r="F106" s="1249"/>
      <c r="G106" s="1249"/>
      <c r="H106" s="1249"/>
      <c r="I106" s="1249"/>
      <c r="J106" s="419"/>
      <c r="K106" s="419"/>
      <c r="N106" s="1249"/>
      <c r="O106" s="1249"/>
      <c r="P106" s="1249"/>
      <c r="Q106" s="1249"/>
      <c r="R106" s="419"/>
      <c r="S106" s="419"/>
      <c r="T106" s="419"/>
      <c r="U106" s="419"/>
      <c r="V106" s="419"/>
      <c r="W106" s="419"/>
      <c r="X106" s="419"/>
    </row>
    <row r="107" spans="2:24">
      <c r="E107" s="1226"/>
      <c r="J107" s="419"/>
      <c r="K107" s="419"/>
      <c r="M107" s="1226"/>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c r="J1" s="99"/>
      <c r="K1" s="99"/>
    </row>
    <row r="2" spans="1:11" ht="15.75" thickBot="1">
      <c r="A2" s="2" t="s">
        <v>543</v>
      </c>
      <c r="B2" s="413" t="s">
        <v>555</v>
      </c>
      <c r="J2" s="99"/>
      <c r="K2" s="99"/>
    </row>
    <row r="3" spans="1:11" ht="15.75" thickBot="1">
      <c r="A3" s="2"/>
      <c r="C3" s="580" t="s">
        <v>551</v>
      </c>
      <c r="D3" s="581" t="s">
        <v>558</v>
      </c>
      <c r="E3" s="580" t="s">
        <v>552</v>
      </c>
      <c r="F3" s="581" t="s">
        <v>558</v>
      </c>
      <c r="G3" s="580" t="s">
        <v>553</v>
      </c>
      <c r="H3" s="581" t="s">
        <v>558</v>
      </c>
      <c r="J3" s="99"/>
      <c r="K3" s="99"/>
    </row>
    <row r="4" spans="1:11">
      <c r="A4" s="1896" t="s">
        <v>556</v>
      </c>
      <c r="B4" s="1892" t="s">
        <v>557</v>
      </c>
      <c r="C4" s="579">
        <v>0.5</v>
      </c>
      <c r="D4" s="116">
        <v>2030</v>
      </c>
      <c r="E4" s="579">
        <f>C4</f>
        <v>0.5</v>
      </c>
      <c r="F4" s="116">
        <f>2017+5</f>
        <v>2022</v>
      </c>
      <c r="G4" s="579">
        <f>E4</f>
        <v>0.5</v>
      </c>
      <c r="H4" s="116">
        <f>F4</f>
        <v>2022</v>
      </c>
      <c r="J4" s="99"/>
      <c r="K4" s="99"/>
    </row>
    <row r="5" spans="1:11">
      <c r="A5" s="1846"/>
      <c r="B5" s="1872"/>
      <c r="C5" s="575">
        <v>0.65</v>
      </c>
      <c r="D5" s="130">
        <v>2040</v>
      </c>
      <c r="E5" s="575">
        <f t="shared" ref="E5:E6" si="0">C5</f>
        <v>0.65</v>
      </c>
      <c r="F5" s="130">
        <f>2017+10</f>
        <v>2027</v>
      </c>
      <c r="G5" s="575">
        <f t="shared" ref="G5:G6" si="1">E5</f>
        <v>0.65</v>
      </c>
      <c r="H5" s="130">
        <f t="shared" ref="H5:H6" si="2">F5</f>
        <v>2027</v>
      </c>
      <c r="J5" s="99"/>
      <c r="K5" s="99"/>
    </row>
    <row r="6" spans="1:11" ht="15.75" thickBot="1">
      <c r="A6" s="1847"/>
      <c r="B6" s="1873"/>
      <c r="C6" s="577">
        <v>0.8</v>
      </c>
      <c r="D6" s="140">
        <v>2050</v>
      </c>
      <c r="E6" s="577">
        <f t="shared" si="0"/>
        <v>0.8</v>
      </c>
      <c r="F6" s="140">
        <f>15+2017</f>
        <v>2032</v>
      </c>
      <c r="G6" s="577">
        <f t="shared" si="1"/>
        <v>0.8</v>
      </c>
      <c r="H6" s="140">
        <f t="shared" si="2"/>
        <v>2032</v>
      </c>
      <c r="J6" s="99"/>
      <c r="K6" s="99"/>
    </row>
    <row r="7" spans="1:11" ht="15.75" thickBot="1">
      <c r="A7" s="591"/>
      <c r="B7" s="591"/>
      <c r="C7" s="576"/>
      <c r="D7" s="104"/>
      <c r="E7" s="576"/>
      <c r="F7" s="104"/>
      <c r="G7" s="576"/>
      <c r="H7" s="104"/>
      <c r="J7" s="99"/>
      <c r="K7" s="99"/>
    </row>
    <row r="8" spans="1:11" ht="15.6" customHeight="1">
      <c r="A8" s="1874" t="s">
        <v>574</v>
      </c>
      <c r="B8" s="1698" t="s">
        <v>485</v>
      </c>
      <c r="C8" s="1699"/>
      <c r="D8" s="1699"/>
      <c r="E8" s="1699"/>
      <c r="F8" s="1700"/>
      <c r="G8" s="1698" t="s">
        <v>532</v>
      </c>
      <c r="H8" s="1699"/>
      <c r="I8" s="1700"/>
      <c r="J8" s="327"/>
      <c r="K8" s="99"/>
    </row>
    <row r="9" spans="1:11" ht="32.25" thickBot="1">
      <c r="A9" s="1875"/>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590" t="s">
        <v>552</v>
      </c>
      <c r="F25" s="581" t="s">
        <v>558</v>
      </c>
      <c r="G25" s="595" t="s">
        <v>553</v>
      </c>
      <c r="H25" s="581" t="s">
        <v>558</v>
      </c>
    </row>
    <row r="26" spans="1:11">
      <c r="A26" s="1846" t="s">
        <v>560</v>
      </c>
      <c r="B26" s="1872" t="s">
        <v>557</v>
      </c>
      <c r="C26" s="575">
        <v>0.25</v>
      </c>
      <c r="D26" s="104">
        <f>2017+5</f>
        <v>2022</v>
      </c>
      <c r="E26" s="1901">
        <v>0.5</v>
      </c>
      <c r="F26" s="1903">
        <f>2017+5</f>
        <v>2022</v>
      </c>
      <c r="G26" s="1870">
        <f>E26</f>
        <v>0.5</v>
      </c>
      <c r="H26" s="1903">
        <f>F26</f>
        <v>2022</v>
      </c>
    </row>
    <row r="27" spans="1:11" ht="15.75" thickBot="1">
      <c r="A27" s="1847"/>
      <c r="B27" s="1873"/>
      <c r="C27" s="577">
        <v>0.5</v>
      </c>
      <c r="D27" s="163">
        <f>2017+10</f>
        <v>2027</v>
      </c>
      <c r="E27" s="1902"/>
      <c r="F27" s="1904"/>
      <c r="G27" s="1871"/>
      <c r="H27" s="1904"/>
    </row>
    <row r="28" spans="1:11" ht="15.75" thickBot="1">
      <c r="A28" s="591"/>
      <c r="B28" s="591"/>
      <c r="C28" s="576"/>
      <c r="D28" s="104"/>
      <c r="E28" s="576"/>
      <c r="F28" s="104"/>
      <c r="G28" s="576"/>
      <c r="H28" s="104"/>
    </row>
    <row r="29" spans="1:11">
      <c r="A29" s="594"/>
      <c r="B29" s="600"/>
      <c r="C29" s="1898" t="s">
        <v>551</v>
      </c>
      <c r="D29" s="1899"/>
      <c r="E29" s="1898" t="s">
        <v>552</v>
      </c>
      <c r="F29" s="1899"/>
      <c r="G29" s="1900" t="s">
        <v>553</v>
      </c>
      <c r="H29" s="1899"/>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1" t="s">
        <v>551</v>
      </c>
      <c r="B36" s="990">
        <v>2030</v>
      </c>
      <c r="C36" s="608">
        <f>C35</f>
        <v>0</v>
      </c>
      <c r="D36" s="604">
        <f>D35</f>
        <v>0</v>
      </c>
      <c r="E36" s="604">
        <f>1-F36-G36</f>
        <v>0.7</v>
      </c>
      <c r="F36" s="604">
        <f>F35/2</f>
        <v>0.15</v>
      </c>
      <c r="G36" s="605">
        <f>G35/2</f>
        <v>0.15</v>
      </c>
      <c r="H36" t="s">
        <v>565</v>
      </c>
    </row>
    <row r="37" spans="1:24">
      <c r="A37" s="1851"/>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97" t="s">
        <v>6</v>
      </c>
      <c r="D42" s="1864"/>
      <c r="E42" s="1864"/>
      <c r="F42" s="1864"/>
      <c r="G42" s="1864"/>
      <c r="H42" s="1864"/>
      <c r="I42" s="1865"/>
      <c r="J42" s="1863" t="s">
        <v>298</v>
      </c>
      <c r="K42" s="1864"/>
      <c r="L42" s="1864"/>
      <c r="M42" s="1864"/>
      <c r="N42" s="1864"/>
      <c r="O42" s="1864"/>
      <c r="P42" s="1865"/>
      <c r="Q42" s="1848" t="s">
        <v>299</v>
      </c>
      <c r="R42" s="1848"/>
      <c r="S42" s="1848"/>
      <c r="T42" s="1848"/>
      <c r="U42" s="1848"/>
      <c r="V42" s="1848"/>
      <c r="W42" s="1849"/>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37" t="s">
        <v>550</v>
      </c>
      <c r="B56" s="396"/>
      <c r="C56" s="396"/>
      <c r="D56" s="396"/>
      <c r="E56" s="396"/>
      <c r="F56" s="396"/>
      <c r="G56" s="396"/>
      <c r="H56" s="396"/>
      <c r="I56" s="1303"/>
      <c r="J56" s="3"/>
      <c r="K56" s="3"/>
      <c r="L56" s="3"/>
      <c r="M56" s="3"/>
      <c r="N56" s="3"/>
      <c r="O56" s="334"/>
      <c r="P56" s="334"/>
      <c r="Q56" s="286"/>
      <c r="R56" s="286"/>
      <c r="S56" s="286"/>
      <c r="T56" s="104"/>
      <c r="U56" s="104"/>
      <c r="V56" s="104"/>
      <c r="W56" s="620"/>
      <c r="X56" s="104"/>
      <c r="Y56" s="314"/>
      <c r="Z56" s="314"/>
      <c r="AA56" s="314"/>
    </row>
    <row r="57" spans="1:45" ht="15.75" thickBot="1">
      <c r="A57" s="337"/>
      <c r="B57" s="396" t="s">
        <v>593</v>
      </c>
      <c r="C57" s="396">
        <v>56521948</v>
      </c>
      <c r="D57" s="1304"/>
      <c r="E57" s="1304"/>
      <c r="F57" s="1304"/>
      <c r="G57" s="1304"/>
      <c r="H57" s="1304"/>
      <c r="I57" s="1304"/>
      <c r="J57" s="3"/>
      <c r="K57" s="3"/>
      <c r="L57" s="3"/>
      <c r="M57" s="3"/>
      <c r="N57" s="3"/>
    </row>
    <row r="58" spans="1:45" ht="16.5" thickBot="1">
      <c r="A58" s="1305" t="s">
        <v>749</v>
      </c>
      <c r="B58" s="1305" t="s">
        <v>327</v>
      </c>
      <c r="C58" s="1306" t="s">
        <v>221</v>
      </c>
      <c r="D58" s="1307" t="s">
        <v>85</v>
      </c>
      <c r="E58" s="1307" t="s">
        <v>375</v>
      </c>
      <c r="F58" s="1307" t="s">
        <v>222</v>
      </c>
      <c r="G58" s="1307" t="s">
        <v>115</v>
      </c>
      <c r="H58" s="1307" t="s">
        <v>223</v>
      </c>
      <c r="I58" s="1307" t="s">
        <v>328</v>
      </c>
      <c r="J58" s="1307" t="s">
        <v>329</v>
      </c>
      <c r="K58" s="1307" t="s">
        <v>330</v>
      </c>
      <c r="L58" s="1307" t="s">
        <v>331</v>
      </c>
      <c r="M58" s="1307" t="s">
        <v>332</v>
      </c>
      <c r="N58" s="1328" t="s">
        <v>225</v>
      </c>
    </row>
    <row r="59" spans="1:45" ht="15.75">
      <c r="A59" s="1308"/>
      <c r="B59" s="1308" t="s">
        <v>333</v>
      </c>
      <c r="C59" s="1309">
        <f>'Input data'!C13</f>
        <v>1233791.4119790548</v>
      </c>
      <c r="D59" s="1310">
        <f>'Input data'!D13</f>
        <v>1138884.3802883581</v>
      </c>
      <c r="E59" s="1310">
        <f>'Input data'!E13</f>
        <v>378326.54427023319</v>
      </c>
      <c r="F59" s="1310">
        <f>'Input data'!F13</f>
        <v>0</v>
      </c>
      <c r="G59" s="1310">
        <f>'Input data'!G13</f>
        <v>0</v>
      </c>
      <c r="H59" s="1310">
        <f>'Input data'!H13</f>
        <v>0</v>
      </c>
      <c r="I59" s="1310">
        <f>'Input data'!I13</f>
        <v>0</v>
      </c>
      <c r="J59" s="1310">
        <f>'Input data'!J13</f>
        <v>381000</v>
      </c>
      <c r="K59" s="1310">
        <f>'Input data'!K13</f>
        <v>338388.97868490184</v>
      </c>
      <c r="L59" s="1310">
        <f>'Input data'!L13</f>
        <v>297470.77450579114</v>
      </c>
      <c r="M59" s="1310">
        <f>'Input data'!M13</f>
        <v>0</v>
      </c>
      <c r="N59" s="1329">
        <f>'Input data'!N13</f>
        <v>3767862.0897283391</v>
      </c>
      <c r="AE59" s="1333"/>
      <c r="AF59" s="1333"/>
      <c r="AG59" s="198"/>
      <c r="AH59" s="198"/>
      <c r="AI59" s="198"/>
      <c r="AJ59" s="99"/>
      <c r="AK59" s="99"/>
      <c r="AL59" s="99"/>
      <c r="AM59" s="1334"/>
      <c r="AN59" s="99"/>
      <c r="AO59" s="1335"/>
      <c r="AP59" s="1335"/>
      <c r="AQ59" s="1335"/>
      <c r="AR59" s="99"/>
      <c r="AS59" s="99"/>
    </row>
    <row r="60" spans="1:45">
      <c r="A60" s="1311" t="s">
        <v>334</v>
      </c>
      <c r="B60" s="1308" t="s">
        <v>335</v>
      </c>
      <c r="C60" s="1312">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4">
        <f>'Input data'!N14</f>
        <v>4821430</v>
      </c>
      <c r="AE60" s="1336"/>
      <c r="AF60" s="1337"/>
      <c r="AG60" s="1337"/>
      <c r="AH60" s="1337"/>
      <c r="AI60" s="1337"/>
      <c r="AJ60" s="1337"/>
      <c r="AK60" s="1337"/>
      <c r="AL60" s="1337"/>
      <c r="AM60" s="1338"/>
      <c r="AN60" s="158"/>
      <c r="AO60" s="158"/>
      <c r="AP60" s="158"/>
      <c r="AQ60" s="158"/>
      <c r="AR60" s="158"/>
      <c r="AS60" s="99"/>
    </row>
    <row r="61" spans="1:45">
      <c r="A61" s="1311" t="s">
        <v>336</v>
      </c>
      <c r="B61" s="1308" t="s">
        <v>337</v>
      </c>
      <c r="C61" s="1312">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4">
        <f>'Input data'!N15</f>
        <v>360884</v>
      </c>
      <c r="AE61" s="1336"/>
      <c r="AF61" s="1337"/>
      <c r="AG61" s="1337"/>
      <c r="AH61" s="1339"/>
      <c r="AI61" s="1339"/>
      <c r="AJ61" s="1339"/>
      <c r="AK61" s="1339"/>
      <c r="AL61" s="1339"/>
      <c r="AM61" s="1339"/>
      <c r="AN61" s="158"/>
      <c r="AO61" s="158"/>
      <c r="AP61" s="158"/>
      <c r="AQ61" s="158"/>
      <c r="AR61" s="158"/>
      <c r="AS61" s="99"/>
    </row>
    <row r="62" spans="1:45" ht="15.75">
      <c r="A62" s="1311" t="s">
        <v>338</v>
      </c>
      <c r="B62" s="1308" t="s">
        <v>339</v>
      </c>
      <c r="C62" s="1312">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4">
        <f>'Input data'!N16</f>
        <v>1756686.4765390735</v>
      </c>
      <c r="AE62" s="1340"/>
      <c r="AF62" s="1340"/>
      <c r="AG62" s="1341"/>
      <c r="AH62" s="1341"/>
      <c r="AI62" s="1341"/>
      <c r="AJ62" s="1341"/>
      <c r="AK62" s="1341"/>
      <c r="AL62" s="1341"/>
      <c r="AM62" s="1341"/>
      <c r="AN62" s="1341"/>
      <c r="AO62" s="1341"/>
      <c r="AP62" s="1341"/>
      <c r="AQ62" s="1341"/>
      <c r="AR62" s="1341"/>
      <c r="AS62" s="99"/>
    </row>
    <row r="63" spans="1:45">
      <c r="A63" s="1311" t="s">
        <v>338</v>
      </c>
      <c r="B63" s="1308" t="s">
        <v>340</v>
      </c>
      <c r="C63" s="1312">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4">
        <f>'Input data'!N17</f>
        <v>6573316.2259999998</v>
      </c>
      <c r="AE63" s="340"/>
      <c r="AF63" s="340"/>
      <c r="AG63" s="1337"/>
      <c r="AH63" s="1337"/>
      <c r="AI63" s="1337"/>
      <c r="AJ63" s="1337"/>
      <c r="AK63" s="1337"/>
      <c r="AL63" s="1337"/>
      <c r="AM63" s="1337"/>
      <c r="AN63" s="1337"/>
      <c r="AO63" s="1337"/>
      <c r="AP63" s="1337"/>
      <c r="AQ63" s="1337"/>
      <c r="AR63" s="1337"/>
      <c r="AS63" s="99"/>
    </row>
    <row r="64" spans="1:45">
      <c r="A64" s="1311" t="s">
        <v>341</v>
      </c>
      <c r="B64" s="1308" t="s">
        <v>342</v>
      </c>
      <c r="C64" s="1312">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4">
        <f>'Input data'!N18</f>
        <v>6700000</v>
      </c>
      <c r="AE64" s="292"/>
      <c r="AF64" s="340"/>
      <c r="AG64" s="1337"/>
      <c r="AH64" s="1337"/>
      <c r="AI64" s="1337"/>
      <c r="AJ64" s="1337"/>
      <c r="AK64" s="1337"/>
      <c r="AL64" s="1337"/>
      <c r="AM64" s="1337"/>
      <c r="AN64" s="1337"/>
      <c r="AO64" s="1337"/>
      <c r="AP64" s="1337"/>
      <c r="AQ64" s="1337"/>
      <c r="AR64" s="1337"/>
      <c r="AS64" s="99"/>
    </row>
    <row r="65" spans="1:71">
      <c r="A65" s="1313"/>
      <c r="B65" s="1314" t="s">
        <v>343</v>
      </c>
      <c r="C65" s="1312">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4">
        <f>'Input data'!N19</f>
        <v>23980178.792267412</v>
      </c>
      <c r="AE65" s="292"/>
      <c r="AF65" s="340"/>
      <c r="AG65" s="1337"/>
      <c r="AH65" s="1337"/>
      <c r="AI65" s="1337"/>
      <c r="AJ65" s="1337"/>
      <c r="AK65" s="1337"/>
      <c r="AL65" s="1337"/>
      <c r="AM65" s="1337"/>
      <c r="AN65" s="1337"/>
      <c r="AO65" s="1337"/>
      <c r="AP65" s="1337"/>
      <c r="AQ65" s="1337"/>
      <c r="AR65" s="1337"/>
      <c r="AS65" s="99"/>
    </row>
    <row r="66" spans="1:71" ht="15.75">
      <c r="A66" s="1313"/>
      <c r="B66" s="1315" t="s">
        <v>496</v>
      </c>
      <c r="C66" s="1312">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4">
        <f>'Input data'!N20</f>
        <v>11144031.473749338</v>
      </c>
      <c r="AE66" s="292"/>
      <c r="AF66" s="340"/>
      <c r="AG66" s="1337"/>
      <c r="AH66" s="1337"/>
      <c r="AI66" s="1337"/>
      <c r="AJ66" s="1337"/>
      <c r="AK66" s="1337"/>
      <c r="AL66" s="1337"/>
      <c r="AM66" s="1337"/>
      <c r="AN66" s="1337"/>
      <c r="AO66" s="1337"/>
      <c r="AP66" s="1337"/>
      <c r="AQ66" s="1337"/>
      <c r="AR66" s="1337"/>
      <c r="AS66" s="99"/>
    </row>
    <row r="67" spans="1:71" ht="16.5" thickBot="1">
      <c r="A67" s="1313"/>
      <c r="B67" s="1315" t="s">
        <v>744</v>
      </c>
      <c r="C67" s="1312">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4">
        <f>'Input data'!N21</f>
        <v>2912831.0925180763</v>
      </c>
      <c r="AE67" s="292"/>
      <c r="AF67" s="340"/>
      <c r="AG67" s="1337"/>
      <c r="AH67" s="1337"/>
      <c r="AI67" s="1337"/>
      <c r="AJ67" s="1337"/>
      <c r="AK67" s="1337"/>
      <c r="AL67" s="1337"/>
      <c r="AM67" s="1337"/>
      <c r="AN67" s="1337"/>
      <c r="AO67" s="1337"/>
      <c r="AP67" s="1337"/>
      <c r="AQ67" s="1337"/>
      <c r="AR67" s="1337"/>
      <c r="AS67" s="99"/>
    </row>
    <row r="68" spans="1:71" ht="15.75">
      <c r="A68" s="1313"/>
      <c r="B68" s="1305" t="s">
        <v>344</v>
      </c>
      <c r="C68" s="1316">
        <f>'Input data'!C22</f>
        <v>0</v>
      </c>
      <c r="D68" s="1182">
        <f>'Input data'!D22</f>
        <v>0</v>
      </c>
      <c r="E68" s="1182">
        <f>'Input data'!E22</f>
        <v>0</v>
      </c>
      <c r="F68" s="1182">
        <f>'Input data'!F22</f>
        <v>0</v>
      </c>
      <c r="G68" s="1182">
        <f>'Input data'!G22</f>
        <v>0</v>
      </c>
      <c r="H68" s="1182">
        <f>'Input data'!H22</f>
        <v>0</v>
      </c>
      <c r="I68" s="1182">
        <f>'Input data'!I22</f>
        <v>0</v>
      </c>
      <c r="J68" s="1182">
        <f>'Input data'!J22</f>
        <v>0</v>
      </c>
      <c r="K68" s="1182">
        <f>'Input data'!K22</f>
        <v>0</v>
      </c>
      <c r="L68" s="1182">
        <f>'Input data'!L22</f>
        <v>0</v>
      </c>
      <c r="M68" s="1182">
        <f>'Input data'!M22</f>
        <v>0</v>
      </c>
      <c r="N68" s="1330">
        <f>'Input data'!N22</f>
        <v>0</v>
      </c>
      <c r="AE68" s="292"/>
      <c r="AF68" s="340"/>
      <c r="AG68" s="1337"/>
      <c r="AH68" s="1337"/>
      <c r="AI68" s="1337"/>
      <c r="AJ68" s="1337"/>
      <c r="AK68" s="1337"/>
      <c r="AL68" s="1337"/>
      <c r="AM68" s="1337"/>
      <c r="AN68" s="1337"/>
      <c r="AO68" s="1337"/>
      <c r="AP68" s="1337"/>
      <c r="AQ68" s="1337"/>
      <c r="AR68" s="1337"/>
      <c r="AS68" s="99"/>
    </row>
    <row r="69" spans="1:71" ht="15.75">
      <c r="A69" s="1313"/>
      <c r="B69" s="1317"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2"/>
      <c r="AG69" s="1337"/>
      <c r="AH69" s="1337"/>
      <c r="AI69" s="1337"/>
      <c r="AJ69" s="1337"/>
      <c r="AK69" s="1337"/>
      <c r="AL69" s="1337"/>
      <c r="AM69" s="1337"/>
      <c r="AN69" s="1337"/>
      <c r="AO69" s="1337"/>
      <c r="AP69" s="1337"/>
      <c r="AQ69" s="1337"/>
      <c r="AR69" s="1337"/>
      <c r="AS69" s="99"/>
    </row>
    <row r="70" spans="1:71" ht="15.75">
      <c r="A70" s="1311" t="s">
        <v>334</v>
      </c>
      <c r="B70" s="1317"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3"/>
      <c r="AG70" s="1337"/>
      <c r="AH70" s="1337"/>
      <c r="AI70" s="1337"/>
      <c r="AJ70" s="1337"/>
      <c r="AK70" s="1337"/>
      <c r="AL70" s="1337"/>
      <c r="AM70" s="1337"/>
      <c r="AN70" s="1337"/>
      <c r="AO70" s="1337"/>
      <c r="AP70" s="1337"/>
      <c r="AQ70" s="1337"/>
      <c r="AR70" s="1337"/>
      <c r="AS70" s="99"/>
    </row>
    <row r="71" spans="1:71" ht="15.75">
      <c r="A71" s="1311" t="s">
        <v>336</v>
      </c>
      <c r="B71" s="1317"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3"/>
      <c r="AG71" s="1337"/>
      <c r="AH71" s="1337"/>
      <c r="AI71" s="1337"/>
      <c r="AJ71" s="1337"/>
      <c r="AK71" s="1337"/>
      <c r="AL71" s="1337"/>
      <c r="AM71" s="1337"/>
      <c r="AN71" s="1337"/>
      <c r="AO71" s="1337"/>
      <c r="AP71" s="1337"/>
      <c r="AQ71" s="1337"/>
      <c r="AR71" s="1337"/>
      <c r="AS71" s="99"/>
    </row>
    <row r="72" spans="1:71" ht="15.75">
      <c r="A72" s="1311" t="s">
        <v>338</v>
      </c>
      <c r="B72" s="1317"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0"/>
      <c r="AG72" s="1344"/>
      <c r="AH72" s="1344"/>
      <c r="AI72" s="1344"/>
      <c r="AJ72" s="1344"/>
      <c r="AK72" s="1344"/>
      <c r="AL72" s="1344"/>
      <c r="AM72" s="1344"/>
      <c r="AN72" s="1344"/>
      <c r="AO72" s="1344"/>
      <c r="AP72" s="1344"/>
      <c r="AQ72" s="1344"/>
      <c r="AR72" s="1345"/>
      <c r="AS72" s="99"/>
    </row>
    <row r="73" spans="1:71" ht="15.75">
      <c r="A73" s="1311" t="s">
        <v>338</v>
      </c>
      <c r="B73" s="1317"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75">
      <c r="A74" s="1311" t="s">
        <v>341</v>
      </c>
      <c r="B74" s="1317"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75">
      <c r="A75" s="1313"/>
      <c r="B75" s="1315"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50"/>
      <c r="BK75" s="1850"/>
      <c r="BL75" s="1850"/>
      <c r="BM75" s="1850"/>
      <c r="BN75" s="1850"/>
      <c r="BO75" s="1850"/>
      <c r="BP75" s="1850"/>
      <c r="BQ75" s="1850"/>
      <c r="BR75" s="99"/>
      <c r="BS75" s="99"/>
    </row>
    <row r="76" spans="1:71" ht="15.75">
      <c r="A76" s="1313"/>
      <c r="B76" s="1315"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5" thickBot="1">
      <c r="A77" s="1318"/>
      <c r="B77" s="1319" t="s">
        <v>745</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5" customHeight="1" thickBot="1">
      <c r="A78" s="1320" t="s">
        <v>549</v>
      </c>
      <c r="B78" s="1321" t="s">
        <v>327</v>
      </c>
      <c r="C78" s="1306" t="s">
        <v>545</v>
      </c>
      <c r="D78" s="1307" t="s">
        <v>546</v>
      </c>
      <c r="E78" s="1307" t="s">
        <v>547</v>
      </c>
      <c r="F78" s="1307" t="s">
        <v>548</v>
      </c>
      <c r="G78" s="1307" t="s">
        <v>498</v>
      </c>
      <c r="H78" s="1328" t="s">
        <v>544</v>
      </c>
      <c r="I78" s="1322"/>
      <c r="J78" s="1322"/>
      <c r="K78" s="1322"/>
      <c r="L78" s="1322"/>
      <c r="M78" s="1322"/>
      <c r="N78" s="1322"/>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75">
      <c r="A79" s="1313"/>
      <c r="B79" s="1323" t="s">
        <v>378</v>
      </c>
      <c r="C79" s="1312">
        <f>'Waste Summary 2017 SASOW'!J10+'Waste Summary 2017 SASOW'!J13</f>
        <v>49995051</v>
      </c>
      <c r="D79" s="1349">
        <f>'Waste Summary 2017 SASOW'!K10+'Waste Summary 2017 SASOW'!K13</f>
        <v>0</v>
      </c>
      <c r="E79" s="1349">
        <f>'Waste Summary 2017 SASOW'!L10+'Waste Summary 2017 SASOW'!L13</f>
        <v>46917968.670000002</v>
      </c>
      <c r="F79" s="1349">
        <f>'Waste Summary 2017 SASOW'!M10+'Waste Summary 2017 SASOW'!M13</f>
        <v>0</v>
      </c>
      <c r="G79" s="1349">
        <f>'Waste Summary 2017 SASOW'!N10+'Waste Summary 2017 SASOW'!N13</f>
        <v>0</v>
      </c>
      <c r="H79" s="1324">
        <f>'Waste Summary 2017 SASOW'!O10+'Waste Summary 2017 SASOW'!O13</f>
        <v>3077082.33</v>
      </c>
      <c r="L79" s="1322"/>
      <c r="M79" s="1322"/>
      <c r="N79" s="1322"/>
      <c r="AE79" s="99"/>
      <c r="AF79" s="1343"/>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5" thickBot="1">
      <c r="A80" s="1318"/>
      <c r="B80" s="1318" t="s">
        <v>374</v>
      </c>
      <c r="C80" s="1325">
        <f t="shared" ref="C80:H80" si="9">C79/$C$79</f>
        <v>1</v>
      </c>
      <c r="D80" s="1326">
        <f t="shared" si="9"/>
        <v>0</v>
      </c>
      <c r="E80" s="1326">
        <f t="shared" si="9"/>
        <v>0.93845226140483384</v>
      </c>
      <c r="F80" s="1326">
        <f t="shared" si="9"/>
        <v>0</v>
      </c>
      <c r="G80" s="1326">
        <f t="shared" si="9"/>
        <v>0</v>
      </c>
      <c r="H80" s="1327">
        <f t="shared" si="9"/>
        <v>6.154773859516615E-2</v>
      </c>
      <c r="L80" s="1322"/>
      <c r="M80" s="1322"/>
      <c r="N80" s="1322"/>
      <c r="AE80" s="99"/>
      <c r="AF80" s="1343"/>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75">
      <c r="A81" s="286"/>
      <c r="B81" s="286"/>
      <c r="C81" s="339"/>
      <c r="D81" s="339"/>
      <c r="E81" s="339"/>
      <c r="F81" s="339"/>
      <c r="G81" s="339"/>
      <c r="H81" s="339"/>
      <c r="I81" s="286"/>
      <c r="J81" s="286"/>
      <c r="K81" s="286"/>
      <c r="L81" s="339"/>
      <c r="M81" s="339"/>
      <c r="N81" s="339"/>
      <c r="AE81" s="99"/>
      <c r="AF81" s="1343"/>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75" thickBot="1">
      <c r="B82" s="286"/>
      <c r="C82" s="339"/>
      <c r="D82" s="339"/>
      <c r="E82" s="339"/>
      <c r="F82" s="339"/>
      <c r="G82" s="339"/>
      <c r="H82" s="339"/>
      <c r="I82" s="286"/>
      <c r="J82" s="286"/>
      <c r="K82" s="286"/>
      <c r="L82" s="339"/>
      <c r="M82" s="339"/>
      <c r="N82" s="339"/>
      <c r="AE82" s="1332"/>
      <c r="AF82" s="1332"/>
      <c r="AG82" s="198"/>
      <c r="AH82" s="1346"/>
      <c r="AI82" s="1346"/>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2"/>
      <c r="AF83" s="1332"/>
      <c r="AG83" s="198"/>
      <c r="AH83" s="1346"/>
      <c r="AI83" s="1346"/>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2"/>
      <c r="AF84" s="1332"/>
      <c r="AG84" s="198"/>
      <c r="AH84" s="1346"/>
      <c r="AI84" s="1346"/>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2"/>
      <c r="AF85" s="1332"/>
      <c r="AG85" s="198"/>
      <c r="AH85" s="1346"/>
      <c r="AI85" s="1346"/>
      <c r="AJ85" s="99"/>
      <c r="AK85" s="99"/>
      <c r="AL85" s="99"/>
      <c r="AM85" s="99"/>
      <c r="AN85" s="99"/>
      <c r="AO85" s="99"/>
      <c r="AP85" s="99"/>
      <c r="AQ85" s="99"/>
      <c r="AR85" s="99"/>
      <c r="AS85" s="99"/>
    </row>
    <row r="86" spans="1:91" ht="15.7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2"/>
      <c r="AF86" s="1332"/>
      <c r="AG86" s="198"/>
      <c r="AH86" s="1346"/>
      <c r="AI86" s="1346"/>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5">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25">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 customHeight="1" thickBot="1">
      <c r="A94" s="1819" t="s">
        <v>602</v>
      </c>
      <c r="B94" s="1820"/>
      <c r="C94" s="1820"/>
      <c r="D94" s="1821"/>
      <c r="E94" s="1853" t="s">
        <v>600</v>
      </c>
      <c r="F94" s="1854"/>
      <c r="G94" s="1855"/>
      <c r="H94" s="1856" t="s">
        <v>601</v>
      </c>
      <c r="I94" s="1857"/>
      <c r="J94" s="1857"/>
      <c r="K94" s="1858"/>
      <c r="L94" s="1859" t="s">
        <v>598</v>
      </c>
      <c r="M94" s="1839"/>
      <c r="N94" s="1839"/>
      <c r="O94" s="1839"/>
      <c r="P94" s="1840"/>
      <c r="Q94" s="1838" t="s">
        <v>782</v>
      </c>
      <c r="R94" s="1839"/>
      <c r="S94" s="1839"/>
      <c r="T94" s="1839"/>
      <c r="U94" s="1840"/>
      <c r="V94" s="1794" t="s">
        <v>763</v>
      </c>
      <c r="W94" s="1776" t="s">
        <v>608</v>
      </c>
      <c r="X94" s="1860"/>
      <c r="Y94" s="1861" t="s">
        <v>594</v>
      </c>
      <c r="Z94" s="1841" t="s">
        <v>770</v>
      </c>
      <c r="AA94" s="1841" t="s">
        <v>778</v>
      </c>
      <c r="AB94" s="1834" t="s">
        <v>780</v>
      </c>
      <c r="AC94" s="1843" t="s">
        <v>788</v>
      </c>
      <c r="AD94" s="1834" t="s">
        <v>780</v>
      </c>
      <c r="AE94" s="1834" t="s">
        <v>779</v>
      </c>
      <c r="AF94" s="1890" t="s">
        <v>781</v>
      </c>
      <c r="AG94" s="1882" t="s">
        <v>609</v>
      </c>
      <c r="AH94" s="1882"/>
      <c r="AI94" s="1882"/>
      <c r="AJ94" s="1882"/>
      <c r="AK94" s="1882"/>
      <c r="AL94" s="1882"/>
      <c r="AM94" s="1883"/>
      <c r="AN94" s="1883"/>
      <c r="AO94" s="1883"/>
      <c r="AP94" s="1883"/>
      <c r="AQ94" s="1883"/>
      <c r="AR94" s="1866" t="s">
        <v>612</v>
      </c>
      <c r="AS94" s="1867"/>
      <c r="AT94" s="1867"/>
      <c r="AU94" s="1867"/>
      <c r="AV94" s="1867"/>
      <c r="AW94" s="1867"/>
      <c r="AX94" s="1867"/>
      <c r="AY94" s="1867"/>
      <c r="AZ94" s="1867"/>
      <c r="BA94" s="1867"/>
      <c r="BB94" s="1867"/>
      <c r="BC94" s="1832" t="s">
        <v>225</v>
      </c>
      <c r="BD94" s="1802" t="s">
        <v>616</v>
      </c>
      <c r="BE94" s="1868" t="s">
        <v>610</v>
      </c>
      <c r="BF94" s="1868"/>
      <c r="BG94" s="1868"/>
      <c r="BH94" s="1868"/>
      <c r="BI94" s="1868"/>
      <c r="BJ94" s="1868"/>
      <c r="BK94" s="1868"/>
      <c r="BL94" s="1869"/>
      <c r="BM94" s="1709" t="s">
        <v>741</v>
      </c>
      <c r="BN94" s="1710"/>
      <c r="BO94" s="1710"/>
      <c r="BP94" s="1710"/>
      <c r="BQ94" s="1710"/>
      <c r="BR94" s="1710"/>
      <c r="BS94" s="1710"/>
      <c r="BT94" s="1711"/>
      <c r="BV94" s="1788" t="s">
        <v>635</v>
      </c>
      <c r="BW94" s="1789"/>
      <c r="BX94" s="1808"/>
      <c r="BY94" s="1788" t="s">
        <v>638</v>
      </c>
      <c r="BZ94" s="1789"/>
      <c r="CA94" s="1790"/>
      <c r="CB94" s="1807" t="s">
        <v>636</v>
      </c>
      <c r="CC94" s="1806"/>
      <c r="CD94" s="1805" t="s">
        <v>639</v>
      </c>
      <c r="CE94" s="1806"/>
      <c r="CG94" s="1797" t="s">
        <v>742</v>
      </c>
      <c r="CH94" s="1798"/>
      <c r="CI94" s="1798"/>
      <c r="CJ94" s="1798"/>
      <c r="CK94" s="1798"/>
      <c r="CL94" s="1798"/>
      <c r="CM94" s="1799"/>
    </row>
    <row r="95" spans="1:91" s="10" customFormat="1" ht="42.6" customHeight="1" thickBot="1">
      <c r="A95" s="1817" t="s">
        <v>217</v>
      </c>
      <c r="B95" s="1582" t="s">
        <v>218</v>
      </c>
      <c r="C95" s="1582" t="s">
        <v>390</v>
      </c>
      <c r="D95" s="1562" t="s">
        <v>500</v>
      </c>
      <c r="E95" s="1583" t="s">
        <v>501</v>
      </c>
      <c r="F95" s="1584" t="s">
        <v>504</v>
      </c>
      <c r="G95" s="1585" t="s">
        <v>528</v>
      </c>
      <c r="H95" s="1586" t="s">
        <v>478</v>
      </c>
      <c r="I95" s="1587" t="s">
        <v>288</v>
      </c>
      <c r="J95" s="1588" t="s">
        <v>773</v>
      </c>
      <c r="K95" s="1589" t="s">
        <v>596</v>
      </c>
      <c r="L95" s="1590" t="s">
        <v>87</v>
      </c>
      <c r="M95" s="1591" t="s">
        <v>323</v>
      </c>
      <c r="N95" s="1591" t="s">
        <v>324</v>
      </c>
      <c r="O95" s="1591" t="s">
        <v>325</v>
      </c>
      <c r="P95" s="1592" t="s">
        <v>582</v>
      </c>
      <c r="Q95" s="1593" t="s">
        <v>87</v>
      </c>
      <c r="R95" s="1591" t="s">
        <v>323</v>
      </c>
      <c r="S95" s="1591" t="s">
        <v>324</v>
      </c>
      <c r="T95" s="1591" t="s">
        <v>325</v>
      </c>
      <c r="U95" s="1594" t="s">
        <v>582</v>
      </c>
      <c r="V95" s="1837"/>
      <c r="W95" s="1595" t="s">
        <v>605</v>
      </c>
      <c r="X95" s="1641" t="s">
        <v>576</v>
      </c>
      <c r="Y95" s="1862"/>
      <c r="Z95" s="1842"/>
      <c r="AA95" s="1842"/>
      <c r="AB95" s="1835"/>
      <c r="AC95" s="1844"/>
      <c r="AD95" s="1835"/>
      <c r="AE95" s="1835"/>
      <c r="AF95" s="1891"/>
      <c r="AG95" s="1092" t="s">
        <v>473</v>
      </c>
      <c r="AH95" s="1580" t="s">
        <v>489</v>
      </c>
      <c r="AI95" s="1580" t="s">
        <v>814</v>
      </c>
      <c r="AJ95" s="1580" t="s">
        <v>377</v>
      </c>
      <c r="AK95" s="1580" t="s">
        <v>225</v>
      </c>
      <c r="AL95" s="713" t="s">
        <v>591</v>
      </c>
      <c r="AM95" s="1579" t="s">
        <v>473</v>
      </c>
      <c r="AN95" s="1580" t="s">
        <v>489</v>
      </c>
      <c r="AO95" s="1580" t="s">
        <v>376</v>
      </c>
      <c r="AP95" s="1580" t="s">
        <v>377</v>
      </c>
      <c r="AQ95" s="1581"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3"/>
      <c r="BD95" s="1803"/>
      <c r="BE95" s="1250"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1" t="s">
        <v>531</v>
      </c>
      <c r="BW95" s="1252" t="s">
        <v>624</v>
      </c>
      <c r="BX95" s="1253" t="str">
        <f>D135</f>
        <v xml:space="preserve">Coal ash generated - ‘IRP realistic’ </v>
      </c>
      <c r="BY95" s="1251" t="s">
        <v>531</v>
      </c>
      <c r="BZ95" s="1252" t="s">
        <v>624</v>
      </c>
      <c r="CA95" s="1254" t="s">
        <v>630</v>
      </c>
      <c r="CB95" s="1255" t="s">
        <v>267</v>
      </c>
      <c r="CC95" s="1256" t="s">
        <v>633</v>
      </c>
      <c r="CD95" s="1257" t="s">
        <v>267</v>
      </c>
      <c r="CE95" s="1256" t="s">
        <v>633</v>
      </c>
      <c r="CF95"/>
      <c r="CG95" s="1258" t="s">
        <v>87</v>
      </c>
      <c r="CH95" s="1259" t="s">
        <v>323</v>
      </c>
      <c r="CI95" s="1259" t="s">
        <v>324</v>
      </c>
      <c r="CJ95" s="1259" t="s">
        <v>325</v>
      </c>
      <c r="CK95" s="1260" t="s">
        <v>582</v>
      </c>
      <c r="CL95" s="1259" t="s">
        <v>303</v>
      </c>
      <c r="CM95" s="1800" t="s">
        <v>743</v>
      </c>
    </row>
    <row r="96" spans="1:91" ht="16.5" thickBot="1">
      <c r="A96" s="1852"/>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68" t="s">
        <v>228</v>
      </c>
      <c r="R96" s="1469" t="s">
        <v>228</v>
      </c>
      <c r="S96" s="1469" t="s">
        <v>228</v>
      </c>
      <c r="T96" s="1469" t="s">
        <v>228</v>
      </c>
      <c r="U96" s="1470" t="s">
        <v>228</v>
      </c>
      <c r="V96" s="689" t="s">
        <v>228</v>
      </c>
      <c r="W96" s="1472" t="s">
        <v>229</v>
      </c>
      <c r="X96" s="1642" t="s">
        <v>228</v>
      </c>
      <c r="Y96" s="709" t="s">
        <v>228</v>
      </c>
      <c r="Z96" s="1644" t="s">
        <v>228</v>
      </c>
      <c r="AA96" s="1644" t="s">
        <v>228</v>
      </c>
      <c r="AB96" s="1836"/>
      <c r="AC96" s="1844"/>
      <c r="AD96" s="1836"/>
      <c r="AE96" s="1644" t="s">
        <v>28</v>
      </c>
      <c r="AF96" s="1645" t="s">
        <v>3</v>
      </c>
      <c r="AG96" s="1643" t="s">
        <v>228</v>
      </c>
      <c r="AH96" s="1095" t="s">
        <v>228</v>
      </c>
      <c r="AI96" s="1095" t="s">
        <v>228</v>
      </c>
      <c r="AJ96" s="1095" t="s">
        <v>228</v>
      </c>
      <c r="AK96" s="1095" t="s">
        <v>228</v>
      </c>
      <c r="AL96" s="1096" t="s">
        <v>590</v>
      </c>
      <c r="AM96" s="191" t="s">
        <v>229</v>
      </c>
      <c r="AN96" s="1095" t="s">
        <v>229</v>
      </c>
      <c r="AO96" s="1095" t="s">
        <v>229</v>
      </c>
      <c r="AP96" s="1095" t="s">
        <v>229</v>
      </c>
      <c r="AQ96" s="1572"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4"/>
      <c r="BE96" s="1261" t="s">
        <v>229</v>
      </c>
      <c r="BF96" s="723" t="s">
        <v>229</v>
      </c>
      <c r="BG96" s="723" t="s">
        <v>229</v>
      </c>
      <c r="BH96" s="723" t="s">
        <v>229</v>
      </c>
      <c r="BI96" s="723" t="s">
        <v>229</v>
      </c>
      <c r="BJ96" s="723" t="s">
        <v>229</v>
      </c>
      <c r="BK96" s="723" t="s">
        <v>229</v>
      </c>
      <c r="BL96" s="1089" t="s">
        <v>229</v>
      </c>
      <c r="BM96" s="1262" t="s">
        <v>229</v>
      </c>
      <c r="BN96" s="1263" t="s">
        <v>229</v>
      </c>
      <c r="BO96" s="1263" t="s">
        <v>229</v>
      </c>
      <c r="BP96" s="1263" t="s">
        <v>229</v>
      </c>
      <c r="BQ96" s="1263" t="s">
        <v>229</v>
      </c>
      <c r="BR96" s="1263" t="s">
        <v>229</v>
      </c>
      <c r="BS96" s="1263" t="s">
        <v>229</v>
      </c>
      <c r="BT96" s="1264" t="s">
        <v>229</v>
      </c>
      <c r="BV96" s="1153" t="s">
        <v>625</v>
      </c>
      <c r="BW96" s="1154" t="s">
        <v>229</v>
      </c>
      <c r="BX96" s="1483" t="s">
        <v>625</v>
      </c>
      <c r="BY96" s="1153" t="s">
        <v>625</v>
      </c>
      <c r="BZ96" s="1154" t="s">
        <v>229</v>
      </c>
      <c r="CA96" s="1155" t="s">
        <v>625</v>
      </c>
      <c r="CB96" s="1476" t="s">
        <v>229</v>
      </c>
      <c r="CC96" s="1477" t="s">
        <v>229</v>
      </c>
      <c r="CD96" s="1478" t="s">
        <v>229</v>
      </c>
      <c r="CE96" s="1477" t="s">
        <v>229</v>
      </c>
      <c r="CG96" s="1267" t="s">
        <v>228</v>
      </c>
      <c r="CH96" s="1267" t="s">
        <v>228</v>
      </c>
      <c r="CI96" s="1267" t="s">
        <v>228</v>
      </c>
      <c r="CJ96" s="1267" t="s">
        <v>228</v>
      </c>
      <c r="CK96" s="1267" t="s">
        <v>228</v>
      </c>
      <c r="CL96" s="1267" t="s">
        <v>228</v>
      </c>
      <c r="CM96" s="1801"/>
    </row>
    <row r="97" spans="1:91">
      <c r="A97" s="127">
        <f>'Input data'!A117</f>
        <v>2017</v>
      </c>
      <c r="B97" s="662">
        <f>'Input data'!B117</f>
        <v>56.521948041648095</v>
      </c>
      <c r="C97" s="236">
        <f>'Input data'!C117</f>
        <v>3117.5115237718705</v>
      </c>
      <c r="D97" s="237">
        <f>'Input data'!D117</f>
        <v>49995051</v>
      </c>
      <c r="E97" s="649">
        <f>'Input data'!F117</f>
        <v>0.71479999999999999</v>
      </c>
      <c r="F97" s="649">
        <f>'Input data'!G117</f>
        <v>0.28959999999999997</v>
      </c>
      <c r="G97" s="764">
        <f>'Input data'!H117</f>
        <v>501</v>
      </c>
      <c r="H97" s="956">
        <f>'Input data'!I117</f>
        <v>424.26313389388866</v>
      </c>
      <c r="I97" s="957">
        <f>'Input data'!K117</f>
        <v>23980.178809937162</v>
      </c>
      <c r="J97" s="957">
        <f>I97*B10</f>
        <v>11144.031481960794</v>
      </c>
      <c r="K97" s="1467">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7">
        <f>H97*$M$75*P97*B97-H97*$M$75*$P$97*B97</f>
        <v>0</v>
      </c>
      <c r="V97" s="528">
        <f t="shared" ref="V97:V130" si="10">SUM(Q97:U97)</f>
        <v>0</v>
      </c>
      <c r="W97" s="708">
        <v>0</v>
      </c>
      <c r="X97" s="1467">
        <f>W97*($C$76+$D$76)*$B$10*$I$97</f>
        <v>0</v>
      </c>
      <c r="Y97" s="528">
        <f>X97+V97</f>
        <v>0</v>
      </c>
      <c r="Z97" s="528">
        <f>$J$97-Y97</f>
        <v>11144.031481960794</v>
      </c>
      <c r="AA97" s="530">
        <f>Z97-J97</f>
        <v>0</v>
      </c>
      <c r="AB97" s="1091">
        <f>AA97/Z97</f>
        <v>0</v>
      </c>
      <c r="AC97" s="1489" t="str">
        <f>IF(AND(AB97&gt;=0,AB97&lt;=1),"Yes","No")</f>
        <v>Yes</v>
      </c>
      <c r="AD97" s="1119">
        <f>IF(AB97&lt;=0,0,IF(AB97&gt;=1,1,AB97))</f>
        <v>0</v>
      </c>
      <c r="AE97" s="649">
        <f t="shared" ref="AE97:AE130" si="11">1-AK97/I97</f>
        <v>0</v>
      </c>
      <c r="AF97" s="530">
        <f>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708">
        <f>AG97/AK97</f>
        <v>0.46471844811027058</v>
      </c>
      <c r="AN97" s="647">
        <f>AH97/AK97</f>
        <v>0.27411456282050806</v>
      </c>
      <c r="AO97" s="647">
        <f>AI97/AK97</f>
        <v>0.13969870821314448</v>
      </c>
      <c r="AP97" s="647">
        <f>AJ97/AK97</f>
        <v>0.12146828085607692</v>
      </c>
      <c r="AQ97" s="715">
        <f>SUM(AM97:AP97)</f>
        <v>1</v>
      </c>
      <c r="AR97" s="1086">
        <f t="shared" ref="AR97:AR130" si="14">(I97*$C$76*$B$10-$C$66/($D$66+$C$66)*X97)*(1-AD97)</f>
        <v>2674.7122279603836</v>
      </c>
      <c r="AS97" s="938">
        <f t="shared" ref="AS97:AS130" si="15">(I97*$D$76*$B$10-$D$66/($D$66+$C$66)*X97)*(1-AD97)</f>
        <v>3392.2587126437579</v>
      </c>
      <c r="AT97" s="938">
        <f t="shared" ref="AT97:AT130" si="16">(I97*$B$10*$E$76-(Q97))*(1-AD97)</f>
        <v>657.47825077636821</v>
      </c>
      <c r="AU97" s="938">
        <f t="shared" ref="AU97:AU130" si="17">I97*$F$76*(1-AD97)*$B$10</f>
        <v>0</v>
      </c>
      <c r="AV97" s="938">
        <f t="shared" ref="AV97:AV130" si="18">I97*$G$76*(1-AD97)*$B$10</f>
        <v>0</v>
      </c>
      <c r="AW97" s="938">
        <f t="shared" ref="AW97:AW130" si="19">I97*$G$76*(1-AD97)*$B$10</f>
        <v>0</v>
      </c>
      <c r="AX97" s="938">
        <f t="shared" ref="AX97:AX130" si="20">I97*$I$76*(1-AD97)*$AM$97</f>
        <v>2798.4495620620314</v>
      </c>
      <c r="AY97" s="938">
        <f t="shared" ref="AY97:AY130" si="21">(I97*$J$76*$B$10-R97)*(1-AD97)</f>
        <v>404.59200209812275</v>
      </c>
      <c r="AZ97" s="938">
        <f t="shared" ref="AZ97:AZ130" si="22">(I97*$K$76*$B$10-S97)*(1-AD97)</f>
        <v>588.07238655935896</v>
      </c>
      <c r="BA97" s="938">
        <f t="shared" ref="BA97:BA130" si="23">(I97*$L$76*$B$10-T97)*(1-AD97)</f>
        <v>516.96231057860598</v>
      </c>
      <c r="BB97" s="938">
        <f t="shared" ref="BB97:BB130" si="24">(I97*$M$76*$B$10-U97)*(1-AD97)</f>
        <v>111.50602928216298</v>
      </c>
      <c r="BC97" s="530">
        <f>SUM(AR97:BB97)</f>
        <v>11144.031481960794</v>
      </c>
      <c r="BD97" s="724">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88">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28">
        <f>AH97-CL97</f>
        <v>0</v>
      </c>
    </row>
    <row r="98" spans="1:91">
      <c r="A98" s="127">
        <f>'Input data'!A118</f>
        <v>2018</v>
      </c>
      <c r="B98" s="662">
        <f>'Input data'!B118</f>
        <v>57.436000617299655</v>
      </c>
      <c r="C98" s="236">
        <f>'Input data'!C118</f>
        <v>3154.0370052724184</v>
      </c>
      <c r="D98" s="1552">
        <f>'Input data'!D118</f>
        <v>50359792.847133137</v>
      </c>
      <c r="E98" s="1454">
        <f t="shared" ref="E98:E129" si="29">($E$130-$E$97)/($A$130-$A$97)+E97</f>
        <v>0.72344242424242422</v>
      </c>
      <c r="F98" s="1504">
        <f t="shared" ref="F98:F129" si="30">($F$130-$F$97)/($A$130-$A$97)+F97</f>
        <v>0.29195303030303027</v>
      </c>
      <c r="G98" s="1509">
        <f>B98*F98*'Input data'!$C$9</f>
        <v>513.23849841295737</v>
      </c>
      <c r="H98" s="1508">
        <f>'Input data'!I118</f>
        <v>424.26313389388866</v>
      </c>
      <c r="I98" s="1509">
        <f>'Input data'!K118</f>
        <v>24367.977620226877</v>
      </c>
      <c r="J98" s="1509">
        <f>$J$97*(1+(($J$110/$J$97)^(1/($A$110-$A$97))-1))^(A98-$A$97)</f>
        <v>10565.405667134863</v>
      </c>
      <c r="K98" s="1511">
        <f>I98*$B$10-J98</f>
        <v>758.84307612277735</v>
      </c>
      <c r="L98" s="1504">
        <f t="shared" ref="L98:L106" si="31">($L$110-$L$97)/($A$110-$A$97)+L97</f>
        <v>0.57999999999999996</v>
      </c>
      <c r="M98" s="1504">
        <f t="shared" ref="M98:M106" si="32">($M$110-$M$97)/($A$110-$A$97)+M97</f>
        <v>0.437</v>
      </c>
      <c r="N98" s="1504">
        <f t="shared" ref="N98:N106" si="33">($N$110-$N$97)/($A$110-$A$97)+N97</f>
        <v>0.71200000000000008</v>
      </c>
      <c r="O98" s="1504">
        <f t="shared" ref="O98:O106" si="34">($O$110-$O$97)/($A$110-$A$97)+O97</f>
        <v>0.8</v>
      </c>
      <c r="P98" s="1504">
        <f t="shared" ref="P98:P109" si="35">($P$110-$P$97)/($A$110-$A$97)+P97</f>
        <v>0.23600000000000002</v>
      </c>
      <c r="Q98" s="1508">
        <f t="shared" ref="Q98:Q130" si="36">H98*$E$75*L98*B98-H98*$E$75*$L$97*B98</f>
        <v>0</v>
      </c>
      <c r="R98" s="1509">
        <f t="shared" ref="R98:R130" si="37">H98*$J$75*M98*B98-H98*$J$75*$M$97*B98</f>
        <v>0</v>
      </c>
      <c r="S98" s="1509">
        <f t="shared" ref="S98:S130" si="38">H98*$K$75*N98*B98-H98*$K$75*$N$97*B98</f>
        <v>0</v>
      </c>
      <c r="T98" s="1509">
        <f t="shared" ref="T98:T130" si="39">H98*$L$75*O98*B98-H98*$L$75*$O$97*B98</f>
        <v>0</v>
      </c>
      <c r="U98" s="1511">
        <f t="shared" ref="U98:U130" si="40">H98*$M$75*P98*B98-H98*$M$75*$P$97*B98</f>
        <v>0</v>
      </c>
      <c r="V98" s="1509">
        <f t="shared" si="10"/>
        <v>0</v>
      </c>
      <c r="W98" s="1454">
        <f>($W$102-$W$97)/($A$102-$A$97)+W97</f>
        <v>0.05</v>
      </c>
      <c r="X98" s="530">
        <f t="shared" ref="X98:X130" si="41">W98*($C$76+$D$76)*$B$10*$I$97</f>
        <v>303.3485470302071</v>
      </c>
      <c r="Y98" s="528">
        <f>X98+V98</f>
        <v>303.3485470302071</v>
      </c>
      <c r="Z98" s="528">
        <f>I98*$B$10-Y98</f>
        <v>11020.900196227432</v>
      </c>
      <c r="AA98" s="530">
        <f>Z98-J98</f>
        <v>455.49452909256979</v>
      </c>
      <c r="AB98" s="1091">
        <f t="shared" ref="AB98:AB130" si="42">AA98/Z98</f>
        <v>4.1330065691774456E-2</v>
      </c>
      <c r="AC98" s="135" t="str">
        <f t="shared" ref="AC98:AC130" si="43">IF(AND(AB98&gt;=0,AB98&lt;=1),"Yes","No")</f>
        <v>Yes</v>
      </c>
      <c r="AD98" s="1091">
        <f t="shared" ref="AD98:AD130" si="44">IF(AB98&lt;=0,0,IF(AB98&gt;=1,1,AB98))</f>
        <v>4.1330065691774456E-2</v>
      </c>
      <c r="AE98" s="649">
        <f t="shared" si="11"/>
        <v>2.3712632285903479E-2</v>
      </c>
      <c r="AF98" s="530">
        <f t="shared" ref="AF98:AF130" si="45">AK98/B98</f>
        <v>414.20273820739789</v>
      </c>
      <c r="AG98" s="527">
        <f t="shared" ref="AG98:AG130" si="46">J98</f>
        <v>10565.405667134863</v>
      </c>
      <c r="AH98" s="528">
        <f>IF(V98+I98*$C$10*$G$10&lt;AH97,AH97,V98+I98*$C$10*$G$10)</f>
        <v>6679.6175321884148</v>
      </c>
      <c r="AI98" s="528">
        <f>IF(($C$10*$H$10*$I$98+X98)&lt;AI97,AI97,($C$10*$H$10*$I$98+X98))</f>
        <v>3707.5235423427162</v>
      </c>
      <c r="AJ98" s="528">
        <f t="shared" si="12"/>
        <v>2837.6019857013189</v>
      </c>
      <c r="AK98" s="528">
        <f t="shared" ref="AK98:AK130" si="47">SUM(AG98:AJ98)</f>
        <v>23790.148727367312</v>
      </c>
      <c r="AL98" s="716">
        <f t="shared" si="13"/>
        <v>0</v>
      </c>
      <c r="AM98" s="649">
        <f t="shared" ref="AM98:AM130" si="48">AG98/AK98</f>
        <v>0.44410843278927503</v>
      </c>
      <c r="AN98" s="417">
        <f t="shared" ref="AN98:AN130" si="49">AH98/AK98</f>
        <v>0.28077241587415669</v>
      </c>
      <c r="AO98" s="417">
        <f t="shared" ref="AO98:AO130" si="50">AI98/AK98</f>
        <v>0.15584280639984893</v>
      </c>
      <c r="AP98" s="417">
        <f t="shared" ref="AP98:AP130" si="51">AJ98/AK98</f>
        <v>0.11927634493671938</v>
      </c>
      <c r="AQ98" s="525">
        <f t="shared" ref="AQ98:AQ130" si="52">SUM(AM98:AP98)</f>
        <v>1</v>
      </c>
      <c r="AR98" s="1086">
        <f t="shared" si="14"/>
        <v>2477.4246577830618</v>
      </c>
      <c r="AS98" s="938">
        <f t="shared" si="15"/>
        <v>3142.0447001476628</v>
      </c>
      <c r="AT98" s="938">
        <f t="shared" si="16"/>
        <v>640.49769084650916</v>
      </c>
      <c r="AU98" s="938">
        <f t="shared" si="17"/>
        <v>0</v>
      </c>
      <c r="AV98" s="938">
        <f t="shared" si="18"/>
        <v>0</v>
      </c>
      <c r="AW98" s="938">
        <f t="shared" si="19"/>
        <v>0</v>
      </c>
      <c r="AX98" s="938">
        <f t="shared" si="20"/>
        <v>2726.1745621769855</v>
      </c>
      <c r="AY98" s="938">
        <f t="shared" si="21"/>
        <v>394.14268498283207</v>
      </c>
      <c r="AZ98" s="938">
        <f t="shared" si="22"/>
        <v>572.88435807130634</v>
      </c>
      <c r="BA98" s="938">
        <f t="shared" si="23"/>
        <v>503.61082787040573</v>
      </c>
      <c r="BB98" s="938">
        <f t="shared" si="24"/>
        <v>108.62618525609734</v>
      </c>
      <c r="BC98" s="530">
        <f t="shared" ref="BC98:BC130" si="53">SUM(AR98:BB98)</f>
        <v>10565.405667134857</v>
      </c>
      <c r="BD98" s="724">
        <f t="shared" ref="BD98:BD130" si="54">BC98-AG98</f>
        <v>0</v>
      </c>
      <c r="BE98" s="436">
        <f t="shared" ref="BE98:BE130" si="55">AR98/BC98</f>
        <v>0.23448457502104542</v>
      </c>
      <c r="BF98" s="624">
        <f t="shared" ref="BF98:BF129" si="56">AS98/BC98</f>
        <v>0.29738987778968334</v>
      </c>
      <c r="BG98" s="624">
        <f t="shared" ref="BG98:BG130" si="57">AT98/BC98</f>
        <v>6.0622157920435092E-2</v>
      </c>
      <c r="BH98" s="624">
        <f t="shared" ref="BH98:BH130" si="58">AU98/BC98</f>
        <v>0</v>
      </c>
      <c r="BI98" s="624">
        <f t="shared" ref="BI98:BI130" si="59">AV98/BC98</f>
        <v>0</v>
      </c>
      <c r="BJ98" s="624">
        <f t="shared" ref="BJ98:BJ130" si="60">AW98/BC98</f>
        <v>0</v>
      </c>
      <c r="BK98" s="624">
        <f t="shared" ref="BK98:BK130" si="61">SUM(AX98:BB98)/BC98</f>
        <v>0.4075033892688365</v>
      </c>
      <c r="BL98" s="624">
        <f t="shared" ref="BL98:BL130" si="62">SUM(BE98:BK98)</f>
        <v>1.0000000000000004</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108.3176056127139</v>
      </c>
      <c r="BW98" s="114">
        <f t="shared" ref="BW98:BW130" si="65">((AK98-AM98*AK98)+(AC138-AC138*AE138))/(AK98+AC138)</f>
        <v>0.30342298638676968</v>
      </c>
      <c r="BX98" s="1689">
        <f t="shared" si="25"/>
        <v>50.359792847133136</v>
      </c>
      <c r="BY98" s="527">
        <f t="shared" ref="BY98:BY130" si="66">(AK98+AC178)*1000/10^6</f>
        <v>108.3176056127139</v>
      </c>
      <c r="BZ98" s="417">
        <f t="shared" ref="BZ98:BZ130" si="67">((AK98-AM98*AK98)+(AC178-AC178*AE178))/(AK98+AC178)</f>
        <v>0.30342298638676968</v>
      </c>
      <c r="CA98" s="544">
        <f t="shared" si="26"/>
        <v>50.359792847133136</v>
      </c>
      <c r="CB98" s="649">
        <f t="shared" si="27"/>
        <v>2.3712632285903479E-2</v>
      </c>
      <c r="CC98" s="525">
        <f t="shared" ref="CC98:CC130" si="68">W178</f>
        <v>4.2790890844820795E-2</v>
      </c>
      <c r="CD98" s="417">
        <f t="shared" si="28"/>
        <v>2.3712632285903479E-2</v>
      </c>
      <c r="CE98" s="525">
        <f t="shared" ref="CE98:CE130" si="69">W178</f>
        <v>4.2790890844820795E-2</v>
      </c>
      <c r="CG98" s="527">
        <f t="shared" ref="CG98:CG130" si="70">$I98*$E$75*$L98</f>
        <v>1261.0989624661745</v>
      </c>
      <c r="CH98" s="528">
        <f t="shared" ref="CH98:CH130" si="71">$I98*$J$75*M98</f>
        <v>488.14243354922417</v>
      </c>
      <c r="CI98" s="528">
        <f t="shared" ref="CI98:CI130" si="72">$I98*$K$75*N98</f>
        <v>2019.3303249560734</v>
      </c>
      <c r="CJ98" s="528">
        <f t="shared" ref="CJ98:CJ130" si="73">$I98*$L$75*O98</f>
        <v>2872.155487704792</v>
      </c>
      <c r="CK98" s="528">
        <f t="shared" ref="CK98:CK130" si="74">$I98*$M$75*P98</f>
        <v>38.890323512150175</v>
      </c>
      <c r="CL98" s="528">
        <f t="shared" ref="CL98:CL130" si="75">SUM(CG98:CK98)</f>
        <v>6679.6175321884139</v>
      </c>
      <c r="CM98" s="646">
        <f t="shared" ref="CM98:CM130" si="76">AH98-CL98</f>
        <v>0</v>
      </c>
    </row>
    <row r="99" spans="1:91">
      <c r="A99" s="873">
        <f>'Input data'!A119</f>
        <v>2019</v>
      </c>
      <c r="B99" s="1551">
        <f>'Input data'!B119</f>
        <v>58.364834921819444</v>
      </c>
      <c r="C99" s="1550">
        <f>'Input data'!C119</f>
        <v>3164.1559328574817</v>
      </c>
      <c r="D99" s="1552">
        <f>'Input data'!D119</f>
        <v>53404857.831011549</v>
      </c>
      <c r="E99" s="1454">
        <f t="shared" si="29"/>
        <v>0.73208484848484845</v>
      </c>
      <c r="F99" s="1504">
        <f t="shared" si="30"/>
        <v>0.29430606060606057</v>
      </c>
      <c r="G99" s="1509">
        <f>B99*F99*'Input data'!$C$9</f>
        <v>525.74180751182632</v>
      </c>
      <c r="H99" s="1508">
        <f>'Input data'!I119</f>
        <v>424.26313389388866</v>
      </c>
      <c r="I99" s="1509">
        <f>'Input data'!K119</f>
        <v>24762.047773130591</v>
      </c>
      <c r="J99" s="1509">
        <f t="shared" ref="J99:J109" si="77">$J$97*(1+(($J$110/$J$97)^(1/($A$110-$A$97))-1))^(A99-$A$97)</f>
        <v>10016.823542882215</v>
      </c>
      <c r="K99" s="1511">
        <f t="shared" ref="K99:K130" si="78">I99*$B$10-J99</f>
        <v>1490.5568702794153</v>
      </c>
      <c r="L99" s="1504">
        <f t="shared" si="31"/>
        <v>0.57999999999999996</v>
      </c>
      <c r="M99" s="1504">
        <f t="shared" si="32"/>
        <v>0.437</v>
      </c>
      <c r="N99" s="1504">
        <f t="shared" si="33"/>
        <v>0.71200000000000008</v>
      </c>
      <c r="O99" s="1504">
        <f t="shared" si="34"/>
        <v>0.8</v>
      </c>
      <c r="P99" s="1504">
        <f t="shared" si="35"/>
        <v>0.23600000000000002</v>
      </c>
      <c r="Q99" s="1508">
        <f t="shared" si="36"/>
        <v>0</v>
      </c>
      <c r="R99" s="1509">
        <f t="shared" si="37"/>
        <v>0</v>
      </c>
      <c r="S99" s="1509">
        <f t="shared" si="38"/>
        <v>0</v>
      </c>
      <c r="T99" s="1509">
        <f t="shared" si="39"/>
        <v>0</v>
      </c>
      <c r="U99" s="1511">
        <f t="shared" si="40"/>
        <v>0</v>
      </c>
      <c r="V99" s="1509">
        <f t="shared" si="10"/>
        <v>0</v>
      </c>
      <c r="W99" s="1454">
        <f>($W$102-$W$97)/($A$102-$A$97)+W98</f>
        <v>0.1</v>
      </c>
      <c r="X99" s="530">
        <f t="shared" si="41"/>
        <v>606.6970940604142</v>
      </c>
      <c r="Y99" s="528">
        <f t="shared" ref="Y99:Y130" si="79">X99+V99</f>
        <v>606.6970940604142</v>
      </c>
      <c r="Z99" s="528">
        <f t="shared" ref="Z99:Z130" si="80">I99*$B$10-Y99</f>
        <v>10900.683319101216</v>
      </c>
      <c r="AA99" s="530">
        <f t="shared" ref="AA99:AA130" si="81">Z99-J99</f>
        <v>883.8597762190002</v>
      </c>
      <c r="AB99" s="1091">
        <f t="shared" si="42"/>
        <v>8.1082969786877207E-2</v>
      </c>
      <c r="AC99" s="135" t="str">
        <f t="shared" si="43"/>
        <v>Yes</v>
      </c>
      <c r="AD99" s="1091">
        <f t="shared" si="44"/>
        <v>8.1082969786877207E-2</v>
      </c>
      <c r="AE99" s="649">
        <f t="shared" si="11"/>
        <v>4.7766344222348933E-2</v>
      </c>
      <c r="AF99" s="530">
        <f t="shared" si="45"/>
        <v>403.99763499946062</v>
      </c>
      <c r="AG99" s="527">
        <f t="shared" si="46"/>
        <v>10016.823542882215</v>
      </c>
      <c r="AH99" s="528">
        <f t="shared" ref="AH99:AH130" si="82">IF(V99+I99*$C$10*$G$10&lt;AH98,AH98,V99+I99*$C$10*$G$10)</f>
        <v>6787.6378998722266</v>
      </c>
      <c r="AI99" s="528">
        <f t="shared" ref="AI99:AI130" si="83">IF(($C$10*$H$10*$I$98+X99)&lt;AI98,AI98,($C$10*$H$10*$I$98+X99))</f>
        <v>4010.8720893729233</v>
      </c>
      <c r="AJ99" s="528">
        <f t="shared" si="12"/>
        <v>2763.9217434216189</v>
      </c>
      <c r="AK99" s="528">
        <f t="shared" si="47"/>
        <v>23579.255275548985</v>
      </c>
      <c r="AL99" s="716">
        <f t="shared" si="13"/>
        <v>0</v>
      </c>
      <c r="AM99" s="649">
        <f t="shared" si="48"/>
        <v>0.42481509385367977</v>
      </c>
      <c r="AN99" s="417">
        <f t="shared" si="49"/>
        <v>0.28786481254608637</v>
      </c>
      <c r="AO99" s="417">
        <f t="shared" si="50"/>
        <v>0.17010172893509842</v>
      </c>
      <c r="AP99" s="417">
        <f t="shared" si="51"/>
        <v>0.11721836466513541</v>
      </c>
      <c r="AQ99" s="525">
        <f t="shared" si="52"/>
        <v>1</v>
      </c>
      <c r="AR99" s="1086">
        <f t="shared" si="14"/>
        <v>2292.192095004486</v>
      </c>
      <c r="AS99" s="938">
        <f t="shared" si="15"/>
        <v>2907.1196983540644</v>
      </c>
      <c r="AT99" s="938">
        <f t="shared" si="16"/>
        <v>623.86673792254021</v>
      </c>
      <c r="AU99" s="938">
        <f t="shared" si="17"/>
        <v>0</v>
      </c>
      <c r="AV99" s="938">
        <f t="shared" si="18"/>
        <v>0</v>
      </c>
      <c r="AW99" s="938">
        <f t="shared" si="19"/>
        <v>0</v>
      </c>
      <c r="AX99" s="938">
        <f t="shared" si="20"/>
        <v>2655.387607822528</v>
      </c>
      <c r="AY99" s="938">
        <f t="shared" si="21"/>
        <v>383.90850532386588</v>
      </c>
      <c r="AZ99" s="938">
        <f t="shared" si="22"/>
        <v>558.009030765489</v>
      </c>
      <c r="BA99" s="938">
        <f t="shared" si="23"/>
        <v>490.53423432446442</v>
      </c>
      <c r="BB99" s="938">
        <f t="shared" si="24"/>
        <v>105.80563336477537</v>
      </c>
      <c r="BC99" s="530">
        <f t="shared" si="53"/>
        <v>10016.823542882212</v>
      </c>
      <c r="BD99" s="724">
        <f t="shared" si="54"/>
        <v>0</v>
      </c>
      <c r="BE99" s="436">
        <f t="shared" si="55"/>
        <v>0.22883422925357205</v>
      </c>
      <c r="BF99" s="624">
        <f t="shared" si="56"/>
        <v>0.29022371073111447</v>
      </c>
      <c r="BG99" s="624">
        <f t="shared" si="57"/>
        <v>6.2281893581508638E-2</v>
      </c>
      <c r="BH99" s="624">
        <f t="shared" si="58"/>
        <v>0</v>
      </c>
      <c r="BI99" s="624">
        <f t="shared" si="59"/>
        <v>0</v>
      </c>
      <c r="BJ99" s="624">
        <f t="shared" si="60"/>
        <v>0</v>
      </c>
      <c r="BK99" s="624">
        <f t="shared" si="61"/>
        <v>0.41866016643380499</v>
      </c>
      <c r="BL99" s="624">
        <f t="shared" si="62"/>
        <v>1</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105.41143564628373</v>
      </c>
      <c r="BW99" s="114">
        <f t="shared" si="65"/>
        <v>0.3213836662239094</v>
      </c>
      <c r="BX99" s="1689">
        <f t="shared" si="25"/>
        <v>53.404857831011547</v>
      </c>
      <c r="BY99" s="527">
        <f t="shared" si="66"/>
        <v>105.41143564628373</v>
      </c>
      <c r="BZ99" s="417">
        <f t="shared" si="67"/>
        <v>0.3213836662239094</v>
      </c>
      <c r="CA99" s="544">
        <f t="shared" si="26"/>
        <v>53.404857831011547</v>
      </c>
      <c r="CB99" s="649">
        <f t="shared" si="27"/>
        <v>4.7766344222348933E-2</v>
      </c>
      <c r="CC99" s="525">
        <f t="shared" si="68"/>
        <v>0.10539487979673434</v>
      </c>
      <c r="CD99" s="417">
        <f t="shared" si="28"/>
        <v>4.7766344222348933E-2</v>
      </c>
      <c r="CE99" s="525">
        <f t="shared" si="69"/>
        <v>0.10539487979673434</v>
      </c>
      <c r="CG99" s="527">
        <f t="shared" si="70"/>
        <v>1281.4930004413759</v>
      </c>
      <c r="CH99" s="528">
        <f t="shared" si="71"/>
        <v>496.03649707905373</v>
      </c>
      <c r="CI99" s="528">
        <f t="shared" si="72"/>
        <v>2051.9862072915043</v>
      </c>
      <c r="CJ99" s="528">
        <f t="shared" si="73"/>
        <v>2918.602951250703</v>
      </c>
      <c r="CK99" s="528">
        <f t="shared" si="74"/>
        <v>39.519243809589504</v>
      </c>
      <c r="CL99" s="528">
        <f t="shared" si="75"/>
        <v>6787.6378998722266</v>
      </c>
      <c r="CM99" s="646">
        <f t="shared" si="76"/>
        <v>0</v>
      </c>
    </row>
    <row r="100" spans="1:91">
      <c r="A100" s="873">
        <f>'Input data'!A120</f>
        <v>2020</v>
      </c>
      <c r="B100" s="1551">
        <f>'Input data'!B120</f>
        <v>59.308690000000006</v>
      </c>
      <c r="C100" s="1550">
        <f>'Input data'!C120</f>
        <v>2966.4312031486884</v>
      </c>
      <c r="D100" s="1552">
        <f>'Input data'!D120</f>
        <v>50522212.337504238</v>
      </c>
      <c r="E100" s="1454">
        <f t="shared" si="29"/>
        <v>0.74072727272727268</v>
      </c>
      <c r="F100" s="1504">
        <f t="shared" si="30"/>
        <v>0.29665909090909087</v>
      </c>
      <c r="G100" s="1509">
        <f>B100*F100*'Input data'!$C$9</f>
        <v>538.51529150686906</v>
      </c>
      <c r="H100" s="1508">
        <f>'Input data'!I120</f>
        <v>424.26313389388866</v>
      </c>
      <c r="I100" s="1509">
        <f>'Input data'!K120</f>
        <v>25162.490686541139</v>
      </c>
      <c r="J100" s="1509">
        <f t="shared" si="77"/>
        <v>9496.7251661098635</v>
      </c>
      <c r="K100" s="1511">
        <f t="shared" si="78"/>
        <v>2196.7484563286725</v>
      </c>
      <c r="L100" s="1504">
        <f t="shared" si="31"/>
        <v>0.57999999999999996</v>
      </c>
      <c r="M100" s="1504">
        <f t="shared" si="32"/>
        <v>0.437</v>
      </c>
      <c r="N100" s="1504">
        <f t="shared" si="33"/>
        <v>0.71200000000000008</v>
      </c>
      <c r="O100" s="1504">
        <f t="shared" si="34"/>
        <v>0.8</v>
      </c>
      <c r="P100" s="1504">
        <f t="shared" si="35"/>
        <v>0.23600000000000002</v>
      </c>
      <c r="Q100" s="1508">
        <f t="shared" si="36"/>
        <v>0</v>
      </c>
      <c r="R100" s="1509">
        <f t="shared" si="37"/>
        <v>0</v>
      </c>
      <c r="S100" s="1509">
        <f t="shared" si="38"/>
        <v>0</v>
      </c>
      <c r="T100" s="1509">
        <f t="shared" si="39"/>
        <v>0</v>
      </c>
      <c r="U100" s="1511">
        <f t="shared" si="40"/>
        <v>0</v>
      </c>
      <c r="V100" s="1509">
        <f t="shared" si="10"/>
        <v>0</v>
      </c>
      <c r="W100" s="1454">
        <f>($W$102-$W$97)/($A$102-$A$97)+W99</f>
        <v>0.15000000000000002</v>
      </c>
      <c r="X100" s="530">
        <f t="shared" si="41"/>
        <v>910.0456410906213</v>
      </c>
      <c r="Y100" s="528">
        <f t="shared" si="79"/>
        <v>910.0456410906213</v>
      </c>
      <c r="Z100" s="528">
        <f t="shared" si="80"/>
        <v>10783.427981347915</v>
      </c>
      <c r="AA100" s="530">
        <f t="shared" si="81"/>
        <v>1286.7028152380517</v>
      </c>
      <c r="AB100" s="1091">
        <f t="shared" si="42"/>
        <v>0.11932224311820511</v>
      </c>
      <c r="AC100" s="135" t="str">
        <f t="shared" si="43"/>
        <v>Yes</v>
      </c>
      <c r="AD100" s="1091">
        <f t="shared" si="44"/>
        <v>0.11932224311820511</v>
      </c>
      <c r="AE100" s="649">
        <f t="shared" si="11"/>
        <v>7.0040644951311681E-2</v>
      </c>
      <c r="AF100" s="530">
        <f t="shared" si="45"/>
        <v>394.54747036689599</v>
      </c>
      <c r="AG100" s="527">
        <f t="shared" si="46"/>
        <v>9496.7251661098635</v>
      </c>
      <c r="AH100" s="528">
        <f t="shared" si="82"/>
        <v>6897.4051340163305</v>
      </c>
      <c r="AI100" s="528">
        <f t="shared" si="83"/>
        <v>4314.2206364031299</v>
      </c>
      <c r="AJ100" s="528">
        <f t="shared" si="12"/>
        <v>2691.7426737450974</v>
      </c>
      <c r="AK100" s="528">
        <f t="shared" si="47"/>
        <v>23400.093610274424</v>
      </c>
      <c r="AL100" s="716">
        <f t="shared" si="13"/>
        <v>0</v>
      </c>
      <c r="AM100" s="649">
        <f t="shared" si="48"/>
        <v>0.40584133227313579</v>
      </c>
      <c r="AN100" s="417">
        <f t="shared" si="49"/>
        <v>0.29475972399477257</v>
      </c>
      <c r="AO100" s="417">
        <f t="shared" si="50"/>
        <v>0.1843676657134764</v>
      </c>
      <c r="AP100" s="417">
        <f t="shared" si="51"/>
        <v>0.11503127801861517</v>
      </c>
      <c r="AQ100" s="525">
        <f t="shared" si="52"/>
        <v>0.99999999999999989</v>
      </c>
      <c r="AR100" s="1086">
        <f t="shared" si="14"/>
        <v>2118.3634654455441</v>
      </c>
      <c r="AS100" s="938">
        <f t="shared" si="15"/>
        <v>2686.6579690644407</v>
      </c>
      <c r="AT100" s="938">
        <f t="shared" si="16"/>
        <v>607.57462659465943</v>
      </c>
      <c r="AU100" s="938">
        <f t="shared" si="17"/>
        <v>0</v>
      </c>
      <c r="AV100" s="938">
        <f t="shared" si="18"/>
        <v>0</v>
      </c>
      <c r="AW100" s="938">
        <f t="shared" si="19"/>
        <v>0</v>
      </c>
      <c r="AX100" s="938">
        <f t="shared" si="20"/>
        <v>2586.042877777486</v>
      </c>
      <c r="AY100" s="938">
        <f t="shared" si="21"/>
        <v>373.88283841736489</v>
      </c>
      <c r="AZ100" s="938">
        <f t="shared" si="22"/>
        <v>543.43677566904421</v>
      </c>
      <c r="BA100" s="938">
        <f t="shared" si="23"/>
        <v>477.72406530926179</v>
      </c>
      <c r="BB100" s="938">
        <f t="shared" si="24"/>
        <v>103.04254783206041</v>
      </c>
      <c r="BC100" s="530">
        <f t="shared" si="53"/>
        <v>9496.7251661098617</v>
      </c>
      <c r="BD100" s="724">
        <f t="shared" si="54"/>
        <v>0</v>
      </c>
      <c r="BE100" s="436">
        <f t="shared" si="55"/>
        <v>0.22306252191072812</v>
      </c>
      <c r="BF100" s="624">
        <f t="shared" si="56"/>
        <v>0.28290362436222583</v>
      </c>
      <c r="BG100" s="624">
        <f t="shared" si="57"/>
        <v>6.3977278058215084E-2</v>
      </c>
      <c r="BH100" s="624">
        <f t="shared" si="58"/>
        <v>0</v>
      </c>
      <c r="BI100" s="624">
        <f t="shared" si="59"/>
        <v>0</v>
      </c>
      <c r="BJ100" s="624">
        <f t="shared" si="60"/>
        <v>0</v>
      </c>
      <c r="BK100" s="624">
        <f t="shared" si="61"/>
        <v>0.43005657566883099</v>
      </c>
      <c r="BL100" s="624">
        <f t="shared" si="62"/>
        <v>1</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101.24053187147528</v>
      </c>
      <c r="BW100" s="114">
        <f t="shared" si="65"/>
        <v>0.33011313054603664</v>
      </c>
      <c r="BX100" s="1689">
        <f t="shared" si="25"/>
        <v>50.522212337504236</v>
      </c>
      <c r="BY100" s="527">
        <f t="shared" si="66"/>
        <v>101.24053187147528</v>
      </c>
      <c r="BZ100" s="417">
        <f t="shared" si="67"/>
        <v>0.33011313054603664</v>
      </c>
      <c r="CA100" s="544">
        <f t="shared" si="26"/>
        <v>50.522212337504236</v>
      </c>
      <c r="CB100" s="649">
        <f t="shared" si="27"/>
        <v>7.0040644951311681E-2</v>
      </c>
      <c r="CC100" s="525">
        <f t="shared" si="68"/>
        <v>9.7098937234060489E-2</v>
      </c>
      <c r="CD100" s="417">
        <f t="shared" si="28"/>
        <v>7.0040644951311681E-2</v>
      </c>
      <c r="CE100" s="525">
        <f t="shared" si="69"/>
        <v>9.7098937234060489E-2</v>
      </c>
      <c r="CG100" s="527">
        <f t="shared" si="70"/>
        <v>1302.2168434495784</v>
      </c>
      <c r="CH100" s="528">
        <f t="shared" si="71"/>
        <v>504.05822055960681</v>
      </c>
      <c r="CI100" s="528">
        <f t="shared" si="72"/>
        <v>2085.1701887882891</v>
      </c>
      <c r="CJ100" s="528">
        <f t="shared" si="73"/>
        <v>2965.801546439412</v>
      </c>
      <c r="CK100" s="528">
        <f t="shared" si="74"/>
        <v>40.158334779443209</v>
      </c>
      <c r="CL100" s="528">
        <f t="shared" si="75"/>
        <v>6897.4051340163296</v>
      </c>
      <c r="CM100" s="646">
        <f t="shared" si="76"/>
        <v>0</v>
      </c>
    </row>
    <row r="101" spans="1:91">
      <c r="A101" s="873">
        <f>'Input data'!A121</f>
        <v>2021</v>
      </c>
      <c r="B101" s="1551">
        <f>'Input data'!B121</f>
        <v>60.097873988486953</v>
      </c>
      <c r="C101" s="1550">
        <f>'Input data'!C121</f>
        <v>3038.4599250524875</v>
      </c>
      <c r="D101" s="1552">
        <f>'Input data'!D121</f>
        <v>50478759.434739612</v>
      </c>
      <c r="E101" s="1454">
        <f t="shared" si="29"/>
        <v>0.74936969696969691</v>
      </c>
      <c r="F101" s="1504">
        <f t="shared" si="30"/>
        <v>0.29901212121212117</v>
      </c>
      <c r="G101" s="1509">
        <f>B101*F101*'Input data'!$C$9</f>
        <v>550.00919431657758</v>
      </c>
      <c r="H101" s="1508">
        <f>'Input data'!I121</f>
        <v>424.26313389388866</v>
      </c>
      <c r="I101" s="1509">
        <f>'Input data'!K121</f>
        <v>25497.312358715488</v>
      </c>
      <c r="J101" s="1509">
        <f t="shared" si="77"/>
        <v>9003.6315898476932</v>
      </c>
      <c r="K101" s="1511">
        <f t="shared" si="78"/>
        <v>2845.4398404773929</v>
      </c>
      <c r="L101" s="1504">
        <f t="shared" si="31"/>
        <v>0.57999999999999996</v>
      </c>
      <c r="M101" s="1504">
        <f t="shared" si="32"/>
        <v>0.437</v>
      </c>
      <c r="N101" s="1504">
        <f t="shared" si="33"/>
        <v>0.71200000000000008</v>
      </c>
      <c r="O101" s="1504">
        <f t="shared" si="34"/>
        <v>0.8</v>
      </c>
      <c r="P101" s="1504">
        <f t="shared" si="35"/>
        <v>0.23600000000000002</v>
      </c>
      <c r="Q101" s="1508">
        <f t="shared" si="36"/>
        <v>0</v>
      </c>
      <c r="R101" s="1509">
        <f t="shared" si="37"/>
        <v>0</v>
      </c>
      <c r="S101" s="1509">
        <f t="shared" si="38"/>
        <v>0</v>
      </c>
      <c r="T101" s="1509">
        <f t="shared" si="39"/>
        <v>0</v>
      </c>
      <c r="U101" s="1511">
        <f t="shared" si="40"/>
        <v>0</v>
      </c>
      <c r="V101" s="1509">
        <f t="shared" si="10"/>
        <v>0</v>
      </c>
      <c r="W101" s="1454">
        <f>($W$102-$W$97)/($A$102-$A$97)+W100</f>
        <v>0.2</v>
      </c>
      <c r="X101" s="530">
        <f t="shared" si="41"/>
        <v>1213.3941881208284</v>
      </c>
      <c r="Y101" s="528">
        <f t="shared" si="79"/>
        <v>1213.3941881208284</v>
      </c>
      <c r="Z101" s="528">
        <f t="shared" si="80"/>
        <v>10635.677242204258</v>
      </c>
      <c r="AA101" s="530">
        <f t="shared" si="81"/>
        <v>1632.0456523565645</v>
      </c>
      <c r="AB101" s="1091">
        <f t="shared" si="42"/>
        <v>0.15345009209947791</v>
      </c>
      <c r="AC101" s="135" t="str">
        <f t="shared" si="43"/>
        <v>Yes</v>
      </c>
      <c r="AD101" s="1091">
        <f t="shared" si="44"/>
        <v>0.15345009209947791</v>
      </c>
      <c r="AE101" s="649">
        <f t="shared" si="11"/>
        <v>8.8835433333112834E-2</v>
      </c>
      <c r="AF101" s="530">
        <f t="shared" si="45"/>
        <v>386.57353454716059</v>
      </c>
      <c r="AG101" s="527">
        <f t="shared" si="46"/>
        <v>9003.6315898476932</v>
      </c>
      <c r="AH101" s="528">
        <f t="shared" si="82"/>
        <v>6989.1846303072325</v>
      </c>
      <c r="AI101" s="528">
        <f t="shared" si="83"/>
        <v>4617.5691834333375</v>
      </c>
      <c r="AJ101" s="528">
        <f t="shared" si="12"/>
        <v>2621.8621629110016</v>
      </c>
      <c r="AK101" s="528">
        <f t="shared" si="47"/>
        <v>23232.247566499263</v>
      </c>
      <c r="AL101" s="716">
        <f t="shared" si="13"/>
        <v>0</v>
      </c>
      <c r="AM101" s="649">
        <f t="shared" si="48"/>
        <v>0.38754888282229166</v>
      </c>
      <c r="AN101" s="417">
        <f t="shared" si="49"/>
        <v>0.30083979650705805</v>
      </c>
      <c r="AO101" s="417">
        <f t="shared" si="50"/>
        <v>0.19875688610050107</v>
      </c>
      <c r="AP101" s="417">
        <f t="shared" si="51"/>
        <v>0.11285443457014931</v>
      </c>
      <c r="AQ101" s="525">
        <f t="shared" si="52"/>
        <v>1</v>
      </c>
      <c r="AR101" s="1086">
        <f t="shared" si="14"/>
        <v>1954.6740213487201</v>
      </c>
      <c r="AS101" s="938">
        <f t="shared" si="15"/>
        <v>2479.0554699616891</v>
      </c>
      <c r="AT101" s="938">
        <f t="shared" si="16"/>
        <v>591.80134124669678</v>
      </c>
      <c r="AU101" s="938">
        <f t="shared" si="17"/>
        <v>0</v>
      </c>
      <c r="AV101" s="938">
        <f t="shared" si="18"/>
        <v>0</v>
      </c>
      <c r="AW101" s="938">
        <f t="shared" si="19"/>
        <v>0</v>
      </c>
      <c r="AX101" s="938">
        <f t="shared" si="20"/>
        <v>2518.906446386542</v>
      </c>
      <c r="AY101" s="938">
        <f t="shared" si="21"/>
        <v>364.17644114709555</v>
      </c>
      <c r="AZ101" s="938">
        <f t="shared" si="22"/>
        <v>529.32857734080278</v>
      </c>
      <c r="BA101" s="938">
        <f t="shared" si="23"/>
        <v>465.32183903140429</v>
      </c>
      <c r="BB101" s="938">
        <f t="shared" si="24"/>
        <v>100.36745338473993</v>
      </c>
      <c r="BC101" s="530">
        <f t="shared" si="53"/>
        <v>9003.6315898476914</v>
      </c>
      <c r="BD101" s="724">
        <f t="shared" si="54"/>
        <v>0</v>
      </c>
      <c r="BE101" s="436">
        <f t="shared" si="55"/>
        <v>0.2170984009999665</v>
      </c>
      <c r="BF101" s="624">
        <f t="shared" si="56"/>
        <v>0.27533950553430248</v>
      </c>
      <c r="BG101" s="624">
        <f t="shared" si="57"/>
        <v>6.5729182201768419E-2</v>
      </c>
      <c r="BH101" s="624">
        <f t="shared" si="58"/>
        <v>0</v>
      </c>
      <c r="BI101" s="624">
        <f t="shared" si="59"/>
        <v>0</v>
      </c>
      <c r="BJ101" s="624">
        <f t="shared" si="60"/>
        <v>0</v>
      </c>
      <c r="BK101" s="624">
        <f t="shared" si="61"/>
        <v>0.44183291126396246</v>
      </c>
      <c r="BL101" s="624">
        <f t="shared" si="62"/>
        <v>0.99999999999999978</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98.87237344843038</v>
      </c>
      <c r="BW101" s="114">
        <f t="shared" si="65"/>
        <v>0.34968350449830582</v>
      </c>
      <c r="BX101" s="1689">
        <f t="shared" si="25"/>
        <v>50.478759434739615</v>
      </c>
      <c r="BY101" s="527">
        <f t="shared" si="66"/>
        <v>98.87237344843038</v>
      </c>
      <c r="BZ101" s="417">
        <f t="shared" si="67"/>
        <v>0.34968350449830582</v>
      </c>
      <c r="CA101" s="544">
        <f t="shared" si="26"/>
        <v>50.478759434739615</v>
      </c>
      <c r="CB101" s="649">
        <f t="shared" si="27"/>
        <v>8.8835433333112834E-2</v>
      </c>
      <c r="CC101" s="525">
        <f t="shared" si="68"/>
        <v>0.13091899442309474</v>
      </c>
      <c r="CD101" s="417">
        <f t="shared" si="28"/>
        <v>8.8835433333112834E-2</v>
      </c>
      <c r="CE101" s="525">
        <f t="shared" si="69"/>
        <v>0.13091899442309474</v>
      </c>
      <c r="CG101" s="527">
        <f t="shared" si="70"/>
        <v>1319.5446360949466</v>
      </c>
      <c r="CH101" s="528">
        <f t="shared" si="71"/>
        <v>510.76541097185259</v>
      </c>
      <c r="CI101" s="528">
        <f t="shared" si="72"/>
        <v>2112.9162564600256</v>
      </c>
      <c r="CJ101" s="528">
        <f t="shared" si="73"/>
        <v>3005.2656299232958</v>
      </c>
      <c r="CK101" s="528">
        <f t="shared" si="74"/>
        <v>40.692696857112345</v>
      </c>
      <c r="CL101" s="528">
        <f t="shared" si="75"/>
        <v>6989.1846303072334</v>
      </c>
      <c r="CM101" s="646">
        <f t="shared" si="76"/>
        <v>0</v>
      </c>
    </row>
    <row r="102" spans="1:91" s="1" customFormat="1">
      <c r="A102" s="873">
        <f>'Input data'!A122</f>
        <v>2022</v>
      </c>
      <c r="B102" s="1551">
        <f>'Input data'!B122</f>
        <v>60.841582286809363</v>
      </c>
      <c r="C102" s="1550">
        <f>'Input data'!C122</f>
        <v>3105.6495314991057</v>
      </c>
      <c r="D102" s="1552">
        <f>'Input data'!D122</f>
        <v>50359792.847133152</v>
      </c>
      <c r="E102" s="1454">
        <f t="shared" si="29"/>
        <v>0.75801212121212114</v>
      </c>
      <c r="F102" s="1504">
        <f t="shared" si="30"/>
        <v>0.30136515151515147</v>
      </c>
      <c r="G102" s="1509">
        <f>B102*F102*'Input data'!$C$9</f>
        <v>561.19730656513377</v>
      </c>
      <c r="H102" s="1508">
        <f>'Input data'!I122</f>
        <v>424.26313389388866</v>
      </c>
      <c r="I102" s="1509">
        <f>'Input data'!K122</f>
        <v>25812.840372064646</v>
      </c>
      <c r="J102" s="1509">
        <f>$J$97*(1+(($J$110/$J$97)^(1/($A$110-$A$97))-1))^(A102-$A$97)</f>
        <v>8536.1406577284433</v>
      </c>
      <c r="K102" s="1511">
        <f t="shared" si="78"/>
        <v>3459.5624612955799</v>
      </c>
      <c r="L102" s="1504">
        <f t="shared" si="31"/>
        <v>0.57999999999999996</v>
      </c>
      <c r="M102" s="1504">
        <f t="shared" si="32"/>
        <v>0.437</v>
      </c>
      <c r="N102" s="1504">
        <f t="shared" si="33"/>
        <v>0.71200000000000008</v>
      </c>
      <c r="O102" s="1504">
        <f t="shared" si="34"/>
        <v>0.8</v>
      </c>
      <c r="P102" s="1504">
        <f t="shared" si="35"/>
        <v>0.23600000000000002</v>
      </c>
      <c r="Q102" s="1508">
        <f t="shared" si="36"/>
        <v>0</v>
      </c>
      <c r="R102" s="1509">
        <f t="shared" si="37"/>
        <v>0</v>
      </c>
      <c r="S102" s="1509">
        <f t="shared" si="38"/>
        <v>0</v>
      </c>
      <c r="T102" s="1509">
        <f t="shared" si="39"/>
        <v>0</v>
      </c>
      <c r="U102" s="1511">
        <f t="shared" si="40"/>
        <v>0</v>
      </c>
      <c r="V102" s="1509">
        <f t="shared" si="10"/>
        <v>0</v>
      </c>
      <c r="W102" s="1454">
        <f>$C$26</f>
        <v>0.25</v>
      </c>
      <c r="X102" s="530">
        <f t="shared" si="41"/>
        <v>1516.7427351510353</v>
      </c>
      <c r="Y102" s="528">
        <f t="shared" si="79"/>
        <v>1516.7427351510353</v>
      </c>
      <c r="Z102" s="528">
        <f t="shared" si="80"/>
        <v>10478.960383872987</v>
      </c>
      <c r="AA102" s="530">
        <f t="shared" si="81"/>
        <v>1942.8197261445439</v>
      </c>
      <c r="AB102" s="1091">
        <f t="shared" si="42"/>
        <v>0.18540195353105099</v>
      </c>
      <c r="AC102" s="135" t="str">
        <f t="shared" si="43"/>
        <v>Yes</v>
      </c>
      <c r="AD102" s="1091">
        <f t="shared" si="44"/>
        <v>0.18540195353105099</v>
      </c>
      <c r="AE102" s="649">
        <f t="shared" si="11"/>
        <v>0.10560566358410617</v>
      </c>
      <c r="AF102" s="530">
        <f t="shared" si="45"/>
        <v>379.45854410475209</v>
      </c>
      <c r="AG102" s="527">
        <f t="shared" si="46"/>
        <v>8536.1406577284433</v>
      </c>
      <c r="AH102" s="528">
        <f t="shared" si="82"/>
        <v>7075.6754537440611</v>
      </c>
      <c r="AI102" s="528">
        <f t="shared" si="83"/>
        <v>4920.9177304635441</v>
      </c>
      <c r="AJ102" s="528">
        <f t="shared" si="12"/>
        <v>2554.1243936461024</v>
      </c>
      <c r="AK102" s="528">
        <f t="shared" si="47"/>
        <v>23086.858235582153</v>
      </c>
      <c r="AL102" s="716">
        <f t="shared" si="13"/>
        <v>0</v>
      </c>
      <c r="AM102" s="649">
        <f t="shared" si="48"/>
        <v>0.36974024662101013</v>
      </c>
      <c r="AN102" s="417">
        <f t="shared" si="49"/>
        <v>0.3064806558580942</v>
      </c>
      <c r="AO102" s="417">
        <f t="shared" si="50"/>
        <v>0.21314800308685047</v>
      </c>
      <c r="AP102" s="417">
        <f t="shared" si="51"/>
        <v>0.11063109443404516</v>
      </c>
      <c r="AQ102" s="525">
        <f t="shared" si="52"/>
        <v>1</v>
      </c>
      <c r="AR102" s="1086">
        <f t="shared" si="14"/>
        <v>1800.6253358029514</v>
      </c>
      <c r="AS102" s="938">
        <f t="shared" si="15"/>
        <v>2283.6800608798517</v>
      </c>
      <c r="AT102" s="938">
        <f t="shared" si="16"/>
        <v>576.51171112383838</v>
      </c>
      <c r="AU102" s="938">
        <f t="shared" si="17"/>
        <v>0</v>
      </c>
      <c r="AV102" s="938">
        <f t="shared" si="18"/>
        <v>0</v>
      </c>
      <c r="AW102" s="938">
        <f t="shared" si="19"/>
        <v>0</v>
      </c>
      <c r="AX102" s="938">
        <f t="shared" si="20"/>
        <v>2453.8286150348899</v>
      </c>
      <c r="AY102" s="938">
        <f t="shared" si="21"/>
        <v>354.76767050648135</v>
      </c>
      <c r="AZ102" s="938">
        <f t="shared" si="22"/>
        <v>515.65297778242666</v>
      </c>
      <c r="BA102" s="938">
        <f t="shared" si="23"/>
        <v>453.29990141313067</v>
      </c>
      <c r="BB102" s="938">
        <f t="shared" si="24"/>
        <v>97.774385184872159</v>
      </c>
      <c r="BC102" s="530">
        <f t="shared" si="53"/>
        <v>8536.1406577284415</v>
      </c>
      <c r="BD102" s="724">
        <f t="shared" si="54"/>
        <v>0</v>
      </c>
      <c r="BE102" s="436">
        <f t="shared" si="55"/>
        <v>0.21094138534054066</v>
      </c>
      <c r="BF102" s="624">
        <f t="shared" si="56"/>
        <v>0.26753074397998067</v>
      </c>
      <c r="BG102" s="624">
        <f t="shared" si="57"/>
        <v>6.7537747354464786E-2</v>
      </c>
      <c r="BH102" s="624">
        <f t="shared" si="58"/>
        <v>0</v>
      </c>
      <c r="BI102" s="624">
        <f t="shared" si="59"/>
        <v>0</v>
      </c>
      <c r="BJ102" s="624">
        <f t="shared" si="60"/>
        <v>0</v>
      </c>
      <c r="BK102" s="624">
        <f t="shared" si="61"/>
        <v>0.45399012332501393</v>
      </c>
      <c r="BL102" s="624">
        <f t="shared" si="62"/>
        <v>1</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96.687801515028738</v>
      </c>
      <c r="BW102" s="114">
        <f t="shared" si="65"/>
        <v>0.36951916322691952</v>
      </c>
      <c r="BX102" s="1689">
        <f t="shared" si="25"/>
        <v>50.35979284713315</v>
      </c>
      <c r="BY102" s="527">
        <f t="shared" si="66"/>
        <v>96.687801515028738</v>
      </c>
      <c r="BZ102" s="417">
        <f t="shared" si="67"/>
        <v>0.36951916322691952</v>
      </c>
      <c r="CA102" s="544">
        <f t="shared" si="26"/>
        <v>50.35979284713315</v>
      </c>
      <c r="CB102" s="649">
        <f t="shared" si="27"/>
        <v>0.10560566358410617</v>
      </c>
      <c r="CC102" s="525">
        <f t="shared" si="68"/>
        <v>0.16099425616897156</v>
      </c>
      <c r="CD102" s="417">
        <f t="shared" si="28"/>
        <v>0.10560566358410617</v>
      </c>
      <c r="CE102" s="525">
        <f t="shared" si="69"/>
        <v>0.16099425616897156</v>
      </c>
      <c r="CG102" s="527">
        <f t="shared" si="70"/>
        <v>1335.8739374618906</v>
      </c>
      <c r="CH102" s="528">
        <f t="shared" si="71"/>
        <v>517.08610835140712</v>
      </c>
      <c r="CI102" s="528">
        <f t="shared" si="72"/>
        <v>2139.063493446989</v>
      </c>
      <c r="CJ102" s="528">
        <f t="shared" si="73"/>
        <v>3042.4556474614415</v>
      </c>
      <c r="CK102" s="528">
        <f t="shared" si="74"/>
        <v>41.196267022332343</v>
      </c>
      <c r="CL102" s="528">
        <f t="shared" si="75"/>
        <v>7075.6754537440602</v>
      </c>
      <c r="CM102" s="646">
        <f t="shared" si="76"/>
        <v>0</v>
      </c>
    </row>
    <row r="103" spans="1:91">
      <c r="A103" s="873">
        <f>'Input data'!A123</f>
        <v>2023</v>
      </c>
      <c r="B103" s="1551">
        <f>'Input data'!B123</f>
        <v>61.537824355929828</v>
      </c>
      <c r="C103" s="1550">
        <f>'Input data'!C123</f>
        <v>3166.2503551240475</v>
      </c>
      <c r="D103" s="1552">
        <f>'Input data'!D123</f>
        <v>49907933.066043317</v>
      </c>
      <c r="E103" s="1454">
        <f t="shared" si="29"/>
        <v>0.76665454545454537</v>
      </c>
      <c r="F103" s="1504">
        <f t="shared" si="30"/>
        <v>0.30371818181818178</v>
      </c>
      <c r="G103" s="1509">
        <f>B103*F103*'Input data'!$C$9</f>
        <v>572.05129894396055</v>
      </c>
      <c r="H103" s="1508">
        <f>'Input data'!I123</f>
        <v>424.26313389388866</v>
      </c>
      <c r="I103" s="1509">
        <f>'Input data'!K123</f>
        <v>26108.230214258459</v>
      </c>
      <c r="J103" s="1509">
        <f t="shared" si="77"/>
        <v>8092.9230168287222</v>
      </c>
      <c r="K103" s="1511">
        <f t="shared" si="78"/>
        <v>4040.0532112471474</v>
      </c>
      <c r="L103" s="1504">
        <f t="shared" si="31"/>
        <v>0.57999999999999996</v>
      </c>
      <c r="M103" s="1504">
        <f t="shared" si="32"/>
        <v>0.437</v>
      </c>
      <c r="N103" s="1504">
        <f t="shared" si="33"/>
        <v>0.71200000000000008</v>
      </c>
      <c r="O103" s="1504">
        <f t="shared" si="34"/>
        <v>0.8</v>
      </c>
      <c r="P103" s="1504">
        <f t="shared" si="35"/>
        <v>0.23600000000000002</v>
      </c>
      <c r="Q103" s="1508">
        <f t="shared" si="36"/>
        <v>0</v>
      </c>
      <c r="R103" s="1509">
        <f t="shared" si="37"/>
        <v>0</v>
      </c>
      <c r="S103" s="1509">
        <f t="shared" si="38"/>
        <v>0</v>
      </c>
      <c r="T103" s="1509">
        <f t="shared" si="39"/>
        <v>0</v>
      </c>
      <c r="U103" s="1511">
        <f t="shared" si="40"/>
        <v>0</v>
      </c>
      <c r="V103" s="1509">
        <f t="shared" si="10"/>
        <v>0</v>
      </c>
      <c r="W103" s="1454">
        <f>($W$107-$W$102)/($A$107-$A$102)+W102</f>
        <v>0.3</v>
      </c>
      <c r="X103" s="530">
        <f t="shared" si="41"/>
        <v>1820.0912821812424</v>
      </c>
      <c r="Y103" s="528">
        <f t="shared" si="79"/>
        <v>1820.0912821812424</v>
      </c>
      <c r="Z103" s="528">
        <f t="shared" si="80"/>
        <v>10312.884945894628</v>
      </c>
      <c r="AA103" s="530">
        <f t="shared" si="81"/>
        <v>2219.9619290659057</v>
      </c>
      <c r="AB103" s="1091">
        <f t="shared" si="42"/>
        <v>0.21526100026449263</v>
      </c>
      <c r="AC103" s="135" t="str">
        <f t="shared" si="43"/>
        <v>Yes</v>
      </c>
      <c r="AD103" s="1091">
        <f t="shared" si="44"/>
        <v>0.21526100026449263</v>
      </c>
      <c r="AE103" s="649">
        <f t="shared" si="11"/>
        <v>0.12048824658389801</v>
      </c>
      <c r="AF103" s="530">
        <f t="shared" si="45"/>
        <v>373.14441280082451</v>
      </c>
      <c r="AG103" s="527">
        <f t="shared" si="46"/>
        <v>8092.9230168287222</v>
      </c>
      <c r="AH103" s="528">
        <f t="shared" si="82"/>
        <v>7156.6461111986364</v>
      </c>
      <c r="AI103" s="528">
        <f t="shared" si="83"/>
        <v>5224.2662774937517</v>
      </c>
      <c r="AJ103" s="528">
        <f t="shared" si="12"/>
        <v>2488.6599288126031</v>
      </c>
      <c r="AK103" s="528">
        <f t="shared" si="47"/>
        <v>22962.495334333711</v>
      </c>
      <c r="AL103" s="716">
        <f t="shared" si="13"/>
        <v>0</v>
      </c>
      <c r="AM103" s="649">
        <f t="shared" si="48"/>
        <v>0.35244092155472828</v>
      </c>
      <c r="AN103" s="417">
        <f t="shared" si="49"/>
        <v>0.31166674209392042</v>
      </c>
      <c r="AO103" s="417">
        <f t="shared" si="50"/>
        <v>0.22751300333123578</v>
      </c>
      <c r="AP103" s="417">
        <f t="shared" si="51"/>
        <v>0.10837933302011556</v>
      </c>
      <c r="AQ103" s="525">
        <f t="shared" si="52"/>
        <v>1</v>
      </c>
      <c r="AR103" s="1086">
        <f t="shared" si="14"/>
        <v>1655.5310163408246</v>
      </c>
      <c r="AS103" s="938">
        <f t="shared" si="15"/>
        <v>2099.6612104759547</v>
      </c>
      <c r="AT103" s="938">
        <f t="shared" si="16"/>
        <v>561.73520660712211</v>
      </c>
      <c r="AU103" s="938">
        <f t="shared" si="17"/>
        <v>0</v>
      </c>
      <c r="AV103" s="938">
        <f t="shared" si="18"/>
        <v>0</v>
      </c>
      <c r="AW103" s="938">
        <f t="shared" si="19"/>
        <v>0</v>
      </c>
      <c r="AX103" s="938">
        <f t="shared" si="20"/>
        <v>2390.9348196206938</v>
      </c>
      <c r="AY103" s="938">
        <f t="shared" si="21"/>
        <v>345.6746616664617</v>
      </c>
      <c r="AZ103" s="938">
        <f t="shared" si="22"/>
        <v>502.43633637126283</v>
      </c>
      <c r="BA103" s="938">
        <f t="shared" si="23"/>
        <v>441.68142443960852</v>
      </c>
      <c r="BB103" s="938">
        <f t="shared" si="24"/>
        <v>95.268341306791982</v>
      </c>
      <c r="BC103" s="530">
        <f t="shared" si="53"/>
        <v>8092.9230168287195</v>
      </c>
      <c r="BD103" s="724">
        <f t="shared" si="54"/>
        <v>0</v>
      </c>
      <c r="BE103" s="436">
        <f t="shared" si="55"/>
        <v>0.20456527424000612</v>
      </c>
      <c r="BF103" s="624">
        <f t="shared" si="56"/>
        <v>0.25944411013299429</v>
      </c>
      <c r="BG103" s="624">
        <f t="shared" si="57"/>
        <v>6.9410669722055854E-2</v>
      </c>
      <c r="BH103" s="624">
        <f t="shared" si="58"/>
        <v>0</v>
      </c>
      <c r="BI103" s="624">
        <f t="shared" si="59"/>
        <v>0</v>
      </c>
      <c r="BJ103" s="624">
        <f t="shared" si="60"/>
        <v>0</v>
      </c>
      <c r="BK103" s="624">
        <f t="shared" si="61"/>
        <v>0.46657994590494389</v>
      </c>
      <c r="BL103" s="624">
        <f t="shared" si="62"/>
        <v>1.0000000000000002</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94.64226140546883</v>
      </c>
      <c r="BW103" s="114">
        <f t="shared" si="65"/>
        <v>0.3893360059924923</v>
      </c>
      <c r="BX103" s="1689">
        <f t="shared" si="25"/>
        <v>49.90793306604332</v>
      </c>
      <c r="BY103" s="527">
        <f t="shared" si="66"/>
        <v>94.64226140546883</v>
      </c>
      <c r="BZ103" s="417">
        <f t="shared" si="67"/>
        <v>0.3893360059924923</v>
      </c>
      <c r="CA103" s="544">
        <f t="shared" si="26"/>
        <v>49.90793306604332</v>
      </c>
      <c r="CB103" s="649">
        <f t="shared" si="27"/>
        <v>0.12048824658389801</v>
      </c>
      <c r="CC103" s="525">
        <f t="shared" si="68"/>
        <v>0.18546864007630459</v>
      </c>
      <c r="CD103" s="417">
        <f t="shared" si="28"/>
        <v>0.12048824658389801</v>
      </c>
      <c r="CE103" s="525">
        <f t="shared" si="69"/>
        <v>0.18546864007630459</v>
      </c>
      <c r="CG103" s="527">
        <f t="shared" si="70"/>
        <v>1351.1610420923732</v>
      </c>
      <c r="CH103" s="528">
        <f t="shared" si="71"/>
        <v>523.0033953196338</v>
      </c>
      <c r="CI103" s="528">
        <f t="shared" si="72"/>
        <v>2163.5419165365947</v>
      </c>
      <c r="CJ103" s="528">
        <f t="shared" si="73"/>
        <v>3077.2720597830362</v>
      </c>
      <c r="CK103" s="528">
        <f t="shared" si="74"/>
        <v>41.667697466998575</v>
      </c>
      <c r="CL103" s="528">
        <f t="shared" si="75"/>
        <v>7156.6461111986373</v>
      </c>
      <c r="CM103" s="646">
        <f t="shared" si="76"/>
        <v>0</v>
      </c>
    </row>
    <row r="104" spans="1:91">
      <c r="A104" s="873">
        <f>'Input data'!A124</f>
        <v>2024</v>
      </c>
      <c r="B104" s="1551">
        <f>'Input data'!B124</f>
        <v>62.221509701386374</v>
      </c>
      <c r="C104" s="1550">
        <f>'Input data'!C124</f>
        <v>3234.5964359714103</v>
      </c>
      <c r="D104" s="1552">
        <f>'Input data'!D124</f>
        <v>50177221.869345397</v>
      </c>
      <c r="E104" s="1454">
        <f t="shared" si="29"/>
        <v>0.7752969696969696</v>
      </c>
      <c r="F104" s="1504">
        <f t="shared" si="30"/>
        <v>0.30607121212121208</v>
      </c>
      <c r="G104" s="1509">
        <f>B104*F104*'Input data'!$C$9</f>
        <v>582.88794646036968</v>
      </c>
      <c r="H104" s="1508">
        <f>'Input data'!I124</f>
        <v>424.26313389388866</v>
      </c>
      <c r="I104" s="1509">
        <f>'Input data'!K124</f>
        <v>26398.292701519178</v>
      </c>
      <c r="J104" s="1509">
        <f t="shared" si="77"/>
        <v>7672.7183375332434</v>
      </c>
      <c r="K104" s="1511">
        <f t="shared" si="78"/>
        <v>4595.055279477433</v>
      </c>
      <c r="L104" s="1504">
        <f t="shared" si="31"/>
        <v>0.57999999999999996</v>
      </c>
      <c r="M104" s="1504">
        <f t="shared" si="32"/>
        <v>0.437</v>
      </c>
      <c r="N104" s="1504">
        <f t="shared" si="33"/>
        <v>0.71200000000000008</v>
      </c>
      <c r="O104" s="1504">
        <f t="shared" si="34"/>
        <v>0.8</v>
      </c>
      <c r="P104" s="1504">
        <f t="shared" si="35"/>
        <v>0.23600000000000002</v>
      </c>
      <c r="Q104" s="1508">
        <f t="shared" si="36"/>
        <v>0</v>
      </c>
      <c r="R104" s="1509">
        <f t="shared" si="37"/>
        <v>0</v>
      </c>
      <c r="S104" s="1509">
        <f t="shared" si="38"/>
        <v>0</v>
      </c>
      <c r="T104" s="1509">
        <f t="shared" si="39"/>
        <v>0</v>
      </c>
      <c r="U104" s="1511">
        <f t="shared" si="40"/>
        <v>0</v>
      </c>
      <c r="V104" s="1509">
        <f t="shared" si="10"/>
        <v>0</v>
      </c>
      <c r="W104" s="1454">
        <f>($W$107-$W$102)/($A$107-$A$102)+W103</f>
        <v>0.35</v>
      </c>
      <c r="X104" s="530">
        <f t="shared" si="41"/>
        <v>2123.4398292114493</v>
      </c>
      <c r="Y104" s="528">
        <f t="shared" si="79"/>
        <v>2123.4398292114493</v>
      </c>
      <c r="Z104" s="528">
        <f t="shared" si="80"/>
        <v>10144.333787799227</v>
      </c>
      <c r="AA104" s="530">
        <f t="shared" si="81"/>
        <v>2471.6154502659838</v>
      </c>
      <c r="AB104" s="1091">
        <f t="shared" si="42"/>
        <v>0.24364492552863748</v>
      </c>
      <c r="AC104" s="135" t="str">
        <f t="shared" si="43"/>
        <v>Yes</v>
      </c>
      <c r="AD104" s="1091">
        <f t="shared" si="44"/>
        <v>0.24364492552863748</v>
      </c>
      <c r="AE104" s="649">
        <f t="shared" si="11"/>
        <v>0.13396732868584704</v>
      </c>
      <c r="AF104" s="530">
        <f t="shared" si="45"/>
        <v>367.42573518623851</v>
      </c>
      <c r="AG104" s="527">
        <f t="shared" si="46"/>
        <v>7672.7183375332434</v>
      </c>
      <c r="AH104" s="528">
        <f t="shared" si="82"/>
        <v>7236.1564630847379</v>
      </c>
      <c r="AI104" s="528">
        <f t="shared" si="83"/>
        <v>5527.6148245239583</v>
      </c>
      <c r="AJ104" s="528">
        <f t="shared" si="12"/>
        <v>2425.2943212876203</v>
      </c>
      <c r="AK104" s="528">
        <f t="shared" si="47"/>
        <v>22861.783946429561</v>
      </c>
      <c r="AL104" s="716">
        <f t="shared" si="13"/>
        <v>0</v>
      </c>
      <c r="AM104" s="649">
        <f t="shared" si="48"/>
        <v>0.33561328177679373</v>
      </c>
      <c r="AN104" s="417">
        <f t="shared" si="49"/>
        <v>0.31651757710774991</v>
      </c>
      <c r="AO104" s="417">
        <f t="shared" si="50"/>
        <v>0.24178405488724922</v>
      </c>
      <c r="AP104" s="417">
        <f t="shared" si="51"/>
        <v>0.10608508622820707</v>
      </c>
      <c r="AQ104" s="525">
        <f t="shared" si="52"/>
        <v>0.99999999999999989</v>
      </c>
      <c r="AR104" s="1086">
        <f t="shared" si="14"/>
        <v>1518.9694780995071</v>
      </c>
      <c r="AS104" s="938">
        <f t="shared" si="15"/>
        <v>1926.464235089785</v>
      </c>
      <c r="AT104" s="938">
        <f t="shared" si="16"/>
        <v>547.4324518503422</v>
      </c>
      <c r="AU104" s="938">
        <f t="shared" si="17"/>
        <v>0</v>
      </c>
      <c r="AV104" s="938">
        <f t="shared" si="18"/>
        <v>0</v>
      </c>
      <c r="AW104" s="938">
        <f t="shared" si="19"/>
        <v>0</v>
      </c>
      <c r="AX104" s="938">
        <f t="shared" si="20"/>
        <v>2330.0574632395087</v>
      </c>
      <c r="AY104" s="938">
        <f t="shared" si="21"/>
        <v>336.87318393585866</v>
      </c>
      <c r="AZ104" s="938">
        <f t="shared" si="22"/>
        <v>489.64343392276237</v>
      </c>
      <c r="BA104" s="938">
        <f t="shared" si="23"/>
        <v>430.43544765182406</v>
      </c>
      <c r="BB104" s="938">
        <f t="shared" si="24"/>
        <v>92.842643743653028</v>
      </c>
      <c r="BC104" s="530">
        <f t="shared" si="53"/>
        <v>7672.7183375332406</v>
      </c>
      <c r="BD104" s="724">
        <f t="shared" si="54"/>
        <v>0</v>
      </c>
      <c r="BE104" s="436">
        <f t="shared" si="55"/>
        <v>0.19797018622057902</v>
      </c>
      <c r="BF104" s="624">
        <f t="shared" si="56"/>
        <v>0.25107975431157797</v>
      </c>
      <c r="BG104" s="624">
        <f t="shared" si="57"/>
        <v>7.1347914489760925E-2</v>
      </c>
      <c r="BH104" s="624">
        <f t="shared" si="58"/>
        <v>0</v>
      </c>
      <c r="BI104" s="624">
        <f t="shared" si="59"/>
        <v>0</v>
      </c>
      <c r="BJ104" s="624">
        <f t="shared" si="60"/>
        <v>0</v>
      </c>
      <c r="BK104" s="624">
        <f t="shared" si="61"/>
        <v>0.47960214497808218</v>
      </c>
      <c r="BL104" s="624">
        <f t="shared" si="62"/>
        <v>1</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92.919958920703763</v>
      </c>
      <c r="BW104" s="114">
        <f t="shared" si="65"/>
        <v>0.41031204070897048</v>
      </c>
      <c r="BX104" s="1689">
        <f t="shared" si="25"/>
        <v>50.177221869345395</v>
      </c>
      <c r="BY104" s="527">
        <f t="shared" si="66"/>
        <v>92.919958920703763</v>
      </c>
      <c r="BZ104" s="417">
        <f t="shared" si="67"/>
        <v>0.41031204070897048</v>
      </c>
      <c r="CA104" s="544">
        <f t="shared" si="26"/>
        <v>50.177221869345395</v>
      </c>
      <c r="CB104" s="649">
        <f t="shared" si="27"/>
        <v>0.13396732868584704</v>
      </c>
      <c r="CC104" s="525">
        <f t="shared" si="68"/>
        <v>0.21364941248748015</v>
      </c>
      <c r="CD104" s="417">
        <f t="shared" si="28"/>
        <v>0.13396732868584704</v>
      </c>
      <c r="CE104" s="525">
        <f t="shared" si="69"/>
        <v>0.21364941248748015</v>
      </c>
      <c r="CG104" s="527">
        <f t="shared" si="70"/>
        <v>1366.1724438359145</v>
      </c>
      <c r="CH104" s="528">
        <f t="shared" si="71"/>
        <v>528.81396403483404</v>
      </c>
      <c r="CI104" s="528">
        <f t="shared" si="72"/>
        <v>2187.5788713379466</v>
      </c>
      <c r="CJ104" s="528">
        <f t="shared" si="73"/>
        <v>3111.4605582110571</v>
      </c>
      <c r="CK104" s="528">
        <f t="shared" si="74"/>
        <v>42.130625664985125</v>
      </c>
      <c r="CL104" s="528">
        <f t="shared" si="75"/>
        <v>7236.156463084737</v>
      </c>
      <c r="CM104" s="646">
        <f t="shared" si="76"/>
        <v>0</v>
      </c>
    </row>
    <row r="105" spans="1:91">
      <c r="A105" s="873">
        <f>'Input data'!A125</f>
        <v>2025</v>
      </c>
      <c r="B105" s="1551">
        <f>'Input data'!B125</f>
        <v>62.892038582526091</v>
      </c>
      <c r="C105" s="1550">
        <f>'Input data'!C125</f>
        <v>3296.2240257379749</v>
      </c>
      <c r="D105" s="1552">
        <f>'Input data'!D125</f>
        <v>50605741.387768611</v>
      </c>
      <c r="E105" s="1454">
        <f t="shared" si="29"/>
        <v>0.78393939393939382</v>
      </c>
      <c r="F105" s="1504">
        <f t="shared" si="30"/>
        <v>0.30842424242424238</v>
      </c>
      <c r="G105" s="1509">
        <f>B105*F105*'Input data'!$C$9</f>
        <v>593.69887459784195</v>
      </c>
      <c r="H105" s="1508">
        <f>'Input data'!I125</f>
        <v>424.26313389388866</v>
      </c>
      <c r="I105" s="1509">
        <f>'Input data'!K125</f>
        <v>26682.77338599788</v>
      </c>
      <c r="J105" s="1509">
        <f t="shared" si="77"/>
        <v>7274.3317296730966</v>
      </c>
      <c r="K105" s="1511">
        <f t="shared" si="78"/>
        <v>5125.6453095458692</v>
      </c>
      <c r="L105" s="1504">
        <f t="shared" si="31"/>
        <v>0.57999999999999996</v>
      </c>
      <c r="M105" s="1504">
        <f t="shared" si="32"/>
        <v>0.437</v>
      </c>
      <c r="N105" s="1504">
        <f t="shared" si="33"/>
        <v>0.71200000000000008</v>
      </c>
      <c r="O105" s="1504">
        <f t="shared" si="34"/>
        <v>0.8</v>
      </c>
      <c r="P105" s="1504">
        <f t="shared" si="35"/>
        <v>0.23600000000000002</v>
      </c>
      <c r="Q105" s="1508">
        <f t="shared" si="36"/>
        <v>0</v>
      </c>
      <c r="R105" s="1509">
        <f t="shared" si="37"/>
        <v>0</v>
      </c>
      <c r="S105" s="1509">
        <f t="shared" si="38"/>
        <v>0</v>
      </c>
      <c r="T105" s="1509">
        <f t="shared" si="39"/>
        <v>0</v>
      </c>
      <c r="U105" s="1511">
        <f t="shared" si="40"/>
        <v>0</v>
      </c>
      <c r="V105" s="1509">
        <f t="shared" si="10"/>
        <v>0</v>
      </c>
      <c r="W105" s="1454">
        <f>($W$107-$W$102)/($A$107-$A$102)+W104</f>
        <v>0.39999999999999997</v>
      </c>
      <c r="X105" s="530">
        <f t="shared" si="41"/>
        <v>2426.7883762416564</v>
      </c>
      <c r="Y105" s="528">
        <f t="shared" si="79"/>
        <v>2426.7883762416564</v>
      </c>
      <c r="Z105" s="528">
        <f t="shared" si="80"/>
        <v>9973.1886629773089</v>
      </c>
      <c r="AA105" s="530">
        <f t="shared" si="81"/>
        <v>2698.8569333042124</v>
      </c>
      <c r="AB105" s="1091">
        <f t="shared" si="42"/>
        <v>0.27061123824148325</v>
      </c>
      <c r="AC105" s="135" t="str">
        <f t="shared" si="43"/>
        <v>Yes</v>
      </c>
      <c r="AD105" s="1091">
        <f t="shared" si="44"/>
        <v>0.27061123824148325</v>
      </c>
      <c r="AE105" s="649">
        <f t="shared" si="11"/>
        <v>0.14613592864028768</v>
      </c>
      <c r="AF105" s="530">
        <f t="shared" si="45"/>
        <v>362.26304683446654</v>
      </c>
      <c r="AG105" s="527">
        <f t="shared" si="46"/>
        <v>7274.3317296730966</v>
      </c>
      <c r="AH105" s="528">
        <f t="shared" si="82"/>
        <v>7314.1367615414974</v>
      </c>
      <c r="AI105" s="528">
        <f t="shared" si="83"/>
        <v>5830.9633715541659</v>
      </c>
      <c r="AJ105" s="528">
        <f t="shared" si="12"/>
        <v>2364.0296557679653</v>
      </c>
      <c r="AK105" s="528">
        <f t="shared" si="47"/>
        <v>22783.461518536726</v>
      </c>
      <c r="AL105" s="716">
        <f t="shared" si="13"/>
        <v>0</v>
      </c>
      <c r="AM105" s="649">
        <f t="shared" si="48"/>
        <v>0.31928123493239463</v>
      </c>
      <c r="AN105" s="417">
        <f t="shared" si="49"/>
        <v>0.321028336962348</v>
      </c>
      <c r="AO105" s="417">
        <f t="shared" si="50"/>
        <v>0.25592965172610266</v>
      </c>
      <c r="AP105" s="417">
        <f t="shared" si="51"/>
        <v>0.10376077637915469</v>
      </c>
      <c r="AQ105" s="525">
        <f t="shared" si="52"/>
        <v>1</v>
      </c>
      <c r="AR105" s="1086">
        <f t="shared" si="14"/>
        <v>1390.4123344632046</v>
      </c>
      <c r="AS105" s="938">
        <f t="shared" si="15"/>
        <v>1763.4189975445886</v>
      </c>
      <c r="AT105" s="938">
        <f t="shared" si="16"/>
        <v>533.60391740698026</v>
      </c>
      <c r="AU105" s="938">
        <f t="shared" si="17"/>
        <v>0</v>
      </c>
      <c r="AV105" s="938">
        <f t="shared" si="18"/>
        <v>0</v>
      </c>
      <c r="AW105" s="938">
        <f t="shared" si="19"/>
        <v>0</v>
      </c>
      <c r="AX105" s="938">
        <f t="shared" si="20"/>
        <v>2271.1985487259262</v>
      </c>
      <c r="AY105" s="938">
        <f t="shared" si="21"/>
        <v>328.36352687888984</v>
      </c>
      <c r="AZ105" s="938">
        <f t="shared" si="22"/>
        <v>477.27469131702077</v>
      </c>
      <c r="BA105" s="938">
        <f t="shared" si="23"/>
        <v>419.56234103679219</v>
      </c>
      <c r="BB105" s="938">
        <f t="shared" si="24"/>
        <v>90.497372299692529</v>
      </c>
      <c r="BC105" s="530">
        <f t="shared" si="53"/>
        <v>7274.3317296730947</v>
      </c>
      <c r="BD105" s="724">
        <f t="shared" si="54"/>
        <v>0</v>
      </c>
      <c r="BE105" s="436">
        <f t="shared" si="55"/>
        <v>0.19113952815644952</v>
      </c>
      <c r="BF105" s="624">
        <f t="shared" si="56"/>
        <v>0.24241663194315663</v>
      </c>
      <c r="BG105" s="624">
        <f t="shared" si="57"/>
        <v>7.3354355731445345E-2</v>
      </c>
      <c r="BH105" s="624">
        <f t="shared" si="58"/>
        <v>0</v>
      </c>
      <c r="BI105" s="624">
        <f t="shared" si="59"/>
        <v>0</v>
      </c>
      <c r="BJ105" s="624">
        <f t="shared" si="60"/>
        <v>0</v>
      </c>
      <c r="BK105" s="624">
        <f t="shared" si="61"/>
        <v>0.49308948416894854</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91.393410229978926</v>
      </c>
      <c r="BW105" s="114">
        <f t="shared" si="65"/>
        <v>0.43159193297655696</v>
      </c>
      <c r="BX105" s="1689">
        <f t="shared" si="25"/>
        <v>50.60574138776861</v>
      </c>
      <c r="BY105" s="527">
        <f t="shared" si="66"/>
        <v>91.393410229978926</v>
      </c>
      <c r="BZ105" s="417">
        <f t="shared" si="67"/>
        <v>0.43159193297655696</v>
      </c>
      <c r="CA105" s="544">
        <f t="shared" si="26"/>
        <v>50.60574138776861</v>
      </c>
      <c r="CB105" s="649">
        <f t="shared" si="27"/>
        <v>0.14613592864028768</v>
      </c>
      <c r="CC105" s="525">
        <f t="shared" si="68"/>
        <v>0.2398864559148649</v>
      </c>
      <c r="CD105" s="417">
        <f t="shared" si="28"/>
        <v>0.14613592864028768</v>
      </c>
      <c r="CE105" s="525">
        <f t="shared" si="69"/>
        <v>0.2398864559148649</v>
      </c>
      <c r="CG105" s="527">
        <f t="shared" si="70"/>
        <v>1380.8949744303275</v>
      </c>
      <c r="CH105" s="528">
        <f t="shared" si="71"/>
        <v>534.51271736526701</v>
      </c>
      <c r="CI105" s="528">
        <f t="shared" si="72"/>
        <v>2211.1532722170441</v>
      </c>
      <c r="CJ105" s="528">
        <f t="shared" si="73"/>
        <v>3144.9911520012165</v>
      </c>
      <c r="CK105" s="528">
        <f t="shared" si="74"/>
        <v>42.584645527640909</v>
      </c>
      <c r="CL105" s="528">
        <f t="shared" si="75"/>
        <v>7314.1367615414956</v>
      </c>
      <c r="CM105" s="646">
        <f t="shared" si="76"/>
        <v>0</v>
      </c>
    </row>
    <row r="106" spans="1:91">
      <c r="A106" s="873">
        <f>'Input data'!A126</f>
        <v>2026</v>
      </c>
      <c r="B106" s="1551">
        <f>'Input data'!B126</f>
        <v>63.548817559440096</v>
      </c>
      <c r="C106" s="1550">
        <f>'Input data'!C126</f>
        <v>3366.4633271478065</v>
      </c>
      <c r="D106" s="1552">
        <f>'Input data'!D126</f>
        <v>48876629.54391963</v>
      </c>
      <c r="E106" s="1454">
        <f t="shared" si="29"/>
        <v>0.79258181818181805</v>
      </c>
      <c r="F106" s="1504">
        <f t="shared" si="30"/>
        <v>0.31077727272727268</v>
      </c>
      <c r="G106" s="1509">
        <f>B106*F106*'Input data'!$C$9</f>
        <v>604.47559600058503</v>
      </c>
      <c r="H106" s="1508">
        <f>'Input data'!I126</f>
        <v>424.26313389388866</v>
      </c>
      <c r="I106" s="1509">
        <f>'Input data'!K126</f>
        <v>26961.420493019035</v>
      </c>
      <c r="J106" s="1509">
        <f t="shared" si="77"/>
        <v>6896.6303447470355</v>
      </c>
      <c r="K106" s="1511">
        <f t="shared" si="78"/>
        <v>5632.8391456172185</v>
      </c>
      <c r="L106" s="1504">
        <f t="shared" si="31"/>
        <v>0.57999999999999996</v>
      </c>
      <c r="M106" s="1504">
        <f t="shared" si="32"/>
        <v>0.437</v>
      </c>
      <c r="N106" s="1504">
        <f t="shared" si="33"/>
        <v>0.71200000000000008</v>
      </c>
      <c r="O106" s="1504">
        <f t="shared" si="34"/>
        <v>0.8</v>
      </c>
      <c r="P106" s="1504">
        <f t="shared" si="35"/>
        <v>0.23600000000000002</v>
      </c>
      <c r="Q106" s="1508">
        <f t="shared" si="36"/>
        <v>0</v>
      </c>
      <c r="R106" s="1509">
        <f t="shared" si="37"/>
        <v>0</v>
      </c>
      <c r="S106" s="1509">
        <f t="shared" si="38"/>
        <v>0</v>
      </c>
      <c r="T106" s="1509">
        <f t="shared" si="39"/>
        <v>0</v>
      </c>
      <c r="U106" s="1511">
        <f t="shared" si="40"/>
        <v>0</v>
      </c>
      <c r="V106" s="1509">
        <f t="shared" si="10"/>
        <v>0</v>
      </c>
      <c r="W106" s="1454">
        <f>($W$107-$W$102)/($A$107-$A$102)+W105</f>
        <v>0.44999999999999996</v>
      </c>
      <c r="X106" s="530">
        <f t="shared" si="41"/>
        <v>2730.1369232718635</v>
      </c>
      <c r="Y106" s="528">
        <f t="shared" si="79"/>
        <v>2730.1369232718635</v>
      </c>
      <c r="Z106" s="528">
        <f t="shared" si="80"/>
        <v>9799.3325670923914</v>
      </c>
      <c r="AA106" s="530">
        <f t="shared" si="81"/>
        <v>2902.7022223453559</v>
      </c>
      <c r="AB106" s="1091">
        <f t="shared" si="42"/>
        <v>0.29621427811247669</v>
      </c>
      <c r="AC106" s="135" t="str">
        <f t="shared" si="43"/>
        <v>Yes</v>
      </c>
      <c r="AD106" s="1091">
        <f t="shared" si="44"/>
        <v>0.29621427811247669</v>
      </c>
      <c r="AE106" s="649">
        <f t="shared" si="11"/>
        <v>0.15707970519266701</v>
      </c>
      <c r="AF106" s="530">
        <f t="shared" si="45"/>
        <v>357.62000589771964</v>
      </c>
      <c r="AG106" s="527">
        <f t="shared" si="46"/>
        <v>6896.6303447470355</v>
      </c>
      <c r="AH106" s="528">
        <f t="shared" si="82"/>
        <v>7390.5179914638002</v>
      </c>
      <c r="AI106" s="528">
        <f t="shared" si="83"/>
        <v>6134.3119185843725</v>
      </c>
      <c r="AJ106" s="528">
        <f t="shared" si="12"/>
        <v>2304.8682556048643</v>
      </c>
      <c r="AK106" s="528">
        <f t="shared" si="47"/>
        <v>22726.328510400075</v>
      </c>
      <c r="AL106" s="716">
        <f t="shared" si="13"/>
        <v>0</v>
      </c>
      <c r="AM106" s="649">
        <f t="shared" si="48"/>
        <v>0.30346434275958756</v>
      </c>
      <c r="AN106" s="417">
        <f t="shared" si="49"/>
        <v>0.32519630208116257</v>
      </c>
      <c r="AO106" s="417">
        <f t="shared" si="50"/>
        <v>0.26992093842950365</v>
      </c>
      <c r="AP106" s="417">
        <f t="shared" si="51"/>
        <v>0.10141841672974608</v>
      </c>
      <c r="AQ106" s="525">
        <f t="shared" si="52"/>
        <v>0.99999999999999978</v>
      </c>
      <c r="AR106" s="1086">
        <f t="shared" si="14"/>
        <v>1269.3583673978026</v>
      </c>
      <c r="AS106" s="938">
        <f t="shared" si="15"/>
        <v>1609.8898177752792</v>
      </c>
      <c r="AT106" s="938">
        <f t="shared" si="16"/>
        <v>520.25012769910222</v>
      </c>
      <c r="AU106" s="938">
        <f t="shared" si="17"/>
        <v>0</v>
      </c>
      <c r="AV106" s="938">
        <f t="shared" si="18"/>
        <v>0</v>
      </c>
      <c r="AW106" s="938">
        <f t="shared" si="19"/>
        <v>0</v>
      </c>
      <c r="AX106" s="938">
        <f t="shared" si="20"/>
        <v>2214.3603081974338</v>
      </c>
      <c r="AY106" s="938">
        <f t="shared" si="21"/>
        <v>320.14601320885151</v>
      </c>
      <c r="AZ106" s="938">
        <f t="shared" si="22"/>
        <v>465.33057761614845</v>
      </c>
      <c r="BA106" s="938">
        <f t="shared" si="23"/>
        <v>409.06251693734288</v>
      </c>
      <c r="BB106" s="938">
        <f t="shared" si="24"/>
        <v>88.232615915072657</v>
      </c>
      <c r="BC106" s="530">
        <f t="shared" si="53"/>
        <v>6896.6303447470327</v>
      </c>
      <c r="BD106" s="724">
        <f t="shared" si="54"/>
        <v>0</v>
      </c>
      <c r="BE106" s="436">
        <f t="shared" si="55"/>
        <v>0.1840548650493696</v>
      </c>
      <c r="BF106" s="624">
        <f t="shared" si="56"/>
        <v>0.23343136246260995</v>
      </c>
      <c r="BG106" s="624">
        <f t="shared" si="57"/>
        <v>7.5435408553593417E-2</v>
      </c>
      <c r="BH106" s="624">
        <f t="shared" si="58"/>
        <v>0</v>
      </c>
      <c r="BI106" s="624">
        <f t="shared" si="59"/>
        <v>0</v>
      </c>
      <c r="BJ106" s="624">
        <f t="shared" si="60"/>
        <v>0</v>
      </c>
      <c r="BK106" s="624">
        <f t="shared" si="61"/>
        <v>0.50707836393442707</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89.821753234370718</v>
      </c>
      <c r="BW106" s="114">
        <f t="shared" si="65"/>
        <v>0.45167577383536117</v>
      </c>
      <c r="BX106" s="1689">
        <f t="shared" si="25"/>
        <v>48.876629543919627</v>
      </c>
      <c r="BY106" s="527">
        <f t="shared" si="66"/>
        <v>89.821753234370718</v>
      </c>
      <c r="BZ106" s="417">
        <f t="shared" si="67"/>
        <v>0.45167577383536117</v>
      </c>
      <c r="CA106" s="544">
        <f t="shared" si="26"/>
        <v>48.876629543919627</v>
      </c>
      <c r="CB106" s="649">
        <f t="shared" si="27"/>
        <v>0.15707970519266701</v>
      </c>
      <c r="CC106" s="525">
        <f t="shared" si="68"/>
        <v>0.24931306736123282</v>
      </c>
      <c r="CD106" s="417">
        <f t="shared" si="28"/>
        <v>0.15707970519266701</v>
      </c>
      <c r="CE106" s="525">
        <f t="shared" si="69"/>
        <v>0.24931306736123282</v>
      </c>
      <c r="CG106" s="527">
        <f t="shared" si="70"/>
        <v>1395.3156039563039</v>
      </c>
      <c r="CH106" s="528">
        <f t="shared" si="71"/>
        <v>540.09461172854196</v>
      </c>
      <c r="CI106" s="528">
        <f t="shared" si="72"/>
        <v>2234.2442550609403</v>
      </c>
      <c r="CJ106" s="528">
        <f t="shared" si="73"/>
        <v>3177.8341654854194</v>
      </c>
      <c r="CK106" s="528">
        <f t="shared" si="74"/>
        <v>43.029355232593296</v>
      </c>
      <c r="CL106" s="528">
        <f t="shared" si="75"/>
        <v>7390.5179914637984</v>
      </c>
      <c r="CM106" s="646">
        <f t="shared" si="76"/>
        <v>0</v>
      </c>
    </row>
    <row r="107" spans="1:91" s="1" customFormat="1">
      <c r="A107" s="873">
        <f>'Input data'!A127</f>
        <v>2027</v>
      </c>
      <c r="B107" s="1551">
        <f>'Input data'!B127</f>
        <v>64.191260356766122</v>
      </c>
      <c r="C107" s="1550">
        <f>'Input data'!C127</f>
        <v>3436.4344789089987</v>
      </c>
      <c r="D107" s="1552">
        <f>'Input data'!D127</f>
        <v>48564316.261510797</v>
      </c>
      <c r="E107" s="1454">
        <f t="shared" si="29"/>
        <v>0.80122424242424228</v>
      </c>
      <c r="F107" s="1504">
        <f t="shared" si="30"/>
        <v>0.31313030303030298</v>
      </c>
      <c r="G107" s="1509">
        <f>B107*F107*'Input data'!$C$9</f>
        <v>615.20952102110368</v>
      </c>
      <c r="H107" s="1508">
        <f>'Input data'!I127</f>
        <v>424.26313389388866</v>
      </c>
      <c r="I107" s="1509">
        <f>'Input data'!K127</f>
        <v>27233.985287560132</v>
      </c>
      <c r="J107" s="1509">
        <f t="shared" si="77"/>
        <v>6538.5401545638715</v>
      </c>
      <c r="K107" s="1511">
        <f t="shared" si="78"/>
        <v>6117.5952241290152</v>
      </c>
      <c r="L107" s="1504">
        <f>($L$110-$L$97)/($A$110-$A$97)*L106+L106</f>
        <v>0.57999999999999996</v>
      </c>
      <c r="M107" s="1504">
        <f>($M$110-$M$97)/($A$110-$A$97)*M106+M106</f>
        <v>0.437</v>
      </c>
      <c r="N107" s="1504">
        <f>($N$110-$N$97)/($A$110-$A$97)*N106+N106</f>
        <v>0.71200000000000008</v>
      </c>
      <c r="O107" s="1504">
        <f>($L$110-$L$97)/($A$110-$A$97)*O106+O106</f>
        <v>0.8</v>
      </c>
      <c r="P107" s="1504">
        <f t="shared" si="35"/>
        <v>0.23600000000000002</v>
      </c>
      <c r="Q107" s="1508">
        <f t="shared" si="36"/>
        <v>0</v>
      </c>
      <c r="R107" s="1509">
        <f t="shared" si="37"/>
        <v>0</v>
      </c>
      <c r="S107" s="1509">
        <f t="shared" si="38"/>
        <v>0</v>
      </c>
      <c r="T107" s="1509">
        <f t="shared" si="39"/>
        <v>0</v>
      </c>
      <c r="U107" s="1511">
        <f t="shared" si="40"/>
        <v>0</v>
      </c>
      <c r="V107" s="1509">
        <f t="shared" si="10"/>
        <v>0</v>
      </c>
      <c r="W107" s="1454">
        <f>$C$27</f>
        <v>0.5</v>
      </c>
      <c r="X107" s="530">
        <f t="shared" si="41"/>
        <v>3033.4854703020706</v>
      </c>
      <c r="Y107" s="528">
        <f t="shared" si="79"/>
        <v>3033.4854703020706</v>
      </c>
      <c r="Z107" s="528">
        <f t="shared" si="80"/>
        <v>9622.6499083908166</v>
      </c>
      <c r="AA107" s="530">
        <f t="shared" si="81"/>
        <v>3084.1097538269451</v>
      </c>
      <c r="AB107" s="1091">
        <f t="shared" si="42"/>
        <v>0.32050524368943778</v>
      </c>
      <c r="AC107" s="135" t="str">
        <f t="shared" si="43"/>
        <v>Yes</v>
      </c>
      <c r="AD107" s="1091">
        <f t="shared" si="44"/>
        <v>0.32050524368943778</v>
      </c>
      <c r="AE107" s="649">
        <f t="shared" si="11"/>
        <v>0.16687750887158292</v>
      </c>
      <c r="AF107" s="530">
        <f t="shared" si="45"/>
        <v>353.46315900362566</v>
      </c>
      <c r="AG107" s="527">
        <f t="shared" si="46"/>
        <v>6538.5401545638715</v>
      </c>
      <c r="AH107" s="528">
        <f t="shared" si="82"/>
        <v>7465.231970959695</v>
      </c>
      <c r="AI107" s="528">
        <f t="shared" si="83"/>
        <v>6437.6604656145792</v>
      </c>
      <c r="AJ107" s="528">
        <f t="shared" si="12"/>
        <v>2247.8130749886122</v>
      </c>
      <c r="AK107" s="528">
        <f t="shared" si="47"/>
        <v>22689.245666126757</v>
      </c>
      <c r="AL107" s="716">
        <f t="shared" si="13"/>
        <v>0</v>
      </c>
      <c r="AM107" s="649">
        <f t="shared" si="48"/>
        <v>0.28817794345298103</v>
      </c>
      <c r="AN107" s="417">
        <f t="shared" si="49"/>
        <v>0.32902072112977709</v>
      </c>
      <c r="AO107" s="417">
        <f t="shared" si="50"/>
        <v>0.28373179788984765</v>
      </c>
      <c r="AP107" s="417">
        <f t="shared" si="51"/>
        <v>9.9069537527394252E-2</v>
      </c>
      <c r="AQ107" s="525">
        <f t="shared" si="52"/>
        <v>1</v>
      </c>
      <c r="AR107" s="1086">
        <f t="shared" si="14"/>
        <v>1155.3318059036185</v>
      </c>
      <c r="AS107" s="938">
        <f t="shared" si="15"/>
        <v>1465.2732894407825</v>
      </c>
      <c r="AT107" s="938">
        <f t="shared" si="16"/>
        <v>507.37174954047265</v>
      </c>
      <c r="AU107" s="938">
        <f t="shared" si="17"/>
        <v>0</v>
      </c>
      <c r="AV107" s="938">
        <f t="shared" si="18"/>
        <v>0</v>
      </c>
      <c r="AW107" s="938">
        <f t="shared" si="19"/>
        <v>0</v>
      </c>
      <c r="AX107" s="938">
        <f t="shared" si="20"/>
        <v>2159.5455798386943</v>
      </c>
      <c r="AY107" s="938">
        <f t="shared" si="21"/>
        <v>312.22105326253546</v>
      </c>
      <c r="AZ107" s="938">
        <f t="shared" si="22"/>
        <v>453.81168924255388</v>
      </c>
      <c r="BA107" s="938">
        <f t="shared" si="23"/>
        <v>398.93649965611928</v>
      </c>
      <c r="BB107" s="938">
        <f t="shared" si="24"/>
        <v>86.048487679093412</v>
      </c>
      <c r="BC107" s="530">
        <f t="shared" si="53"/>
        <v>6538.5401545638697</v>
      </c>
      <c r="BD107" s="724">
        <f t="shared" si="54"/>
        <v>0</v>
      </c>
      <c r="BE107" s="436">
        <f t="shared" si="55"/>
        <v>0.17669568108367467</v>
      </c>
      <c r="BF107" s="624">
        <f t="shared" si="56"/>
        <v>0.2240979262653956</v>
      </c>
      <c r="BG107" s="624">
        <f t="shared" si="57"/>
        <v>7.7597099283137322E-2</v>
      </c>
      <c r="BH107" s="624">
        <f t="shared" si="58"/>
        <v>0</v>
      </c>
      <c r="BI107" s="624">
        <f t="shared" si="59"/>
        <v>0</v>
      </c>
      <c r="BJ107" s="624">
        <f t="shared" si="60"/>
        <v>0</v>
      </c>
      <c r="BK107" s="624">
        <f t="shared" si="61"/>
        <v>0.52160929336779238</v>
      </c>
      <c r="BL107" s="624">
        <f t="shared" si="62"/>
        <v>1</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89.625954753807719</v>
      </c>
      <c r="BW107" s="114">
        <f t="shared" si="65"/>
        <v>0.46775693552690084</v>
      </c>
      <c r="BX107" s="1689">
        <f t="shared" si="25"/>
        <v>48.564316261510797</v>
      </c>
      <c r="BY107" s="527">
        <f t="shared" si="66"/>
        <v>89.625954753807719</v>
      </c>
      <c r="BZ107" s="417">
        <f t="shared" si="67"/>
        <v>0.46775693552690084</v>
      </c>
      <c r="CA107" s="544">
        <f t="shared" si="26"/>
        <v>48.564316261510797</v>
      </c>
      <c r="CB107" s="649">
        <f t="shared" si="27"/>
        <v>0.16687750887158292</v>
      </c>
      <c r="CC107" s="525">
        <f t="shared" si="68"/>
        <v>0.25549953203324571</v>
      </c>
      <c r="CD107" s="417">
        <f t="shared" si="28"/>
        <v>0.16687750887158292</v>
      </c>
      <c r="CE107" s="525">
        <f t="shared" si="69"/>
        <v>0.25549953203324571</v>
      </c>
      <c r="CG107" s="527">
        <f t="shared" si="70"/>
        <v>1409.4214598035805</v>
      </c>
      <c r="CH107" s="528">
        <f t="shared" si="71"/>
        <v>545.55466443298542</v>
      </c>
      <c r="CI107" s="528">
        <f t="shared" si="72"/>
        <v>2256.8312076472475</v>
      </c>
      <c r="CJ107" s="528">
        <f t="shared" si="73"/>
        <v>3209.9602812672451</v>
      </c>
      <c r="CK107" s="528">
        <f t="shared" si="74"/>
        <v>43.464357808635029</v>
      </c>
      <c r="CL107" s="528">
        <f t="shared" si="75"/>
        <v>7465.2319709596932</v>
      </c>
      <c r="CM107" s="646">
        <f t="shared" si="76"/>
        <v>0</v>
      </c>
    </row>
    <row r="108" spans="1:91">
      <c r="A108" s="873">
        <f>'Input data'!A128</f>
        <v>2028</v>
      </c>
      <c r="B108" s="1551">
        <f>'Input data'!B128</f>
        <v>64.818788725428234</v>
      </c>
      <c r="C108" s="1550">
        <f>'Input data'!C128</f>
        <v>3485.2345926420976</v>
      </c>
      <c r="D108" s="1552">
        <f>'Input data'!D128</f>
        <v>48196370.991930716</v>
      </c>
      <c r="E108" s="1454">
        <f t="shared" si="29"/>
        <v>0.80986666666666651</v>
      </c>
      <c r="F108" s="1504">
        <f t="shared" si="30"/>
        <v>0.31548333333333328</v>
      </c>
      <c r="G108" s="1509">
        <f>B108*F108*'Input data'!$C$9</f>
        <v>625.89196862111362</v>
      </c>
      <c r="H108" s="1508">
        <f>'Input data'!I128</f>
        <v>424.26313389388866</v>
      </c>
      <c r="I108" s="1509">
        <f>'Input data'!K128</f>
        <v>27500.222439856039</v>
      </c>
      <c r="J108" s="1509">
        <f t="shared" si="77"/>
        <v>6199.0428971457768</v>
      </c>
      <c r="K108" s="1511">
        <f t="shared" si="78"/>
        <v>6580.817797791362</v>
      </c>
      <c r="L108" s="1504">
        <f>($L$110-$L$97)/($A$110-$A$97)*L107+L107</f>
        <v>0.57999999999999996</v>
      </c>
      <c r="M108" s="1504">
        <f>($M$110-$M$97)/($A$110-$A$97)*M107+M107</f>
        <v>0.437</v>
      </c>
      <c r="N108" s="1504">
        <f>($N$110-$N$97)/($A$110-$A$97)*N107+N107</f>
        <v>0.71200000000000008</v>
      </c>
      <c r="O108" s="1504">
        <f>($L$110-$L$97)/($A$110-$A$97)*O107+O107</f>
        <v>0.8</v>
      </c>
      <c r="P108" s="1504">
        <f t="shared" si="35"/>
        <v>0.23600000000000002</v>
      </c>
      <c r="Q108" s="1508">
        <f t="shared" si="36"/>
        <v>0</v>
      </c>
      <c r="R108" s="1509">
        <f t="shared" si="37"/>
        <v>0</v>
      </c>
      <c r="S108" s="1509">
        <f t="shared" si="38"/>
        <v>0</v>
      </c>
      <c r="T108" s="1509">
        <f t="shared" si="39"/>
        <v>0</v>
      </c>
      <c r="U108" s="1511">
        <f t="shared" si="40"/>
        <v>0</v>
      </c>
      <c r="V108" s="1509">
        <f t="shared" si="10"/>
        <v>0</v>
      </c>
      <c r="W108" s="1454">
        <f>W107</f>
        <v>0.5</v>
      </c>
      <c r="X108" s="530">
        <f t="shared" si="41"/>
        <v>3033.4854703020706</v>
      </c>
      <c r="Y108" s="528">
        <f t="shared" si="79"/>
        <v>3033.4854703020706</v>
      </c>
      <c r="Z108" s="528">
        <f t="shared" si="80"/>
        <v>9746.3752246350687</v>
      </c>
      <c r="AA108" s="530">
        <f t="shared" si="81"/>
        <v>3547.3323274892919</v>
      </c>
      <c r="AB108" s="1091">
        <f t="shared" si="42"/>
        <v>0.36396426832849682</v>
      </c>
      <c r="AC108" s="135" t="str">
        <f t="shared" si="43"/>
        <v>Yes</v>
      </c>
      <c r="AD108" s="1091">
        <f t="shared" si="44"/>
        <v>0.36396426832849682</v>
      </c>
      <c r="AE108" s="649">
        <f t="shared" si="11"/>
        <v>0.18911450124282059</v>
      </c>
      <c r="AF108" s="530">
        <f t="shared" si="45"/>
        <v>344.02882293182989</v>
      </c>
      <c r="AG108" s="527">
        <f t="shared" si="46"/>
        <v>6199.0428971457768</v>
      </c>
      <c r="AH108" s="528">
        <f t="shared" si="82"/>
        <v>7538.2114515678641</v>
      </c>
      <c r="AI108" s="528">
        <f t="shared" si="83"/>
        <v>6437.6604656145792</v>
      </c>
      <c r="AJ108" s="528">
        <f t="shared" si="12"/>
        <v>2124.6167747478203</v>
      </c>
      <c r="AK108" s="528">
        <f t="shared" si="47"/>
        <v>22299.531589076043</v>
      </c>
      <c r="AL108" s="716">
        <f t="shared" si="13"/>
        <v>0</v>
      </c>
      <c r="AM108" s="649">
        <f t="shared" si="48"/>
        <v>0.27798982558819874</v>
      </c>
      <c r="AN108" s="417">
        <f t="shared" si="49"/>
        <v>0.33804348855742944</v>
      </c>
      <c r="AO108" s="417">
        <f t="shared" si="50"/>
        <v>0.2886903897464923</v>
      </c>
      <c r="AP108" s="417">
        <f t="shared" si="51"/>
        <v>9.5276296107879438E-2</v>
      </c>
      <c r="AQ108" s="525">
        <f t="shared" si="52"/>
        <v>1</v>
      </c>
      <c r="AR108" s="1086">
        <f t="shared" si="14"/>
        <v>1100.3267808602961</v>
      </c>
      <c r="AS108" s="938">
        <f t="shared" si="15"/>
        <v>1395.5120368126131</v>
      </c>
      <c r="AT108" s="938">
        <f t="shared" si="16"/>
        <v>479.56413373576402</v>
      </c>
      <c r="AU108" s="938">
        <f t="shared" si="17"/>
        <v>0</v>
      </c>
      <c r="AV108" s="938">
        <f t="shared" si="18"/>
        <v>0</v>
      </c>
      <c r="AW108" s="938">
        <f t="shared" si="19"/>
        <v>0</v>
      </c>
      <c r="AX108" s="938">
        <f t="shared" si="20"/>
        <v>2041.1869722668293</v>
      </c>
      <c r="AY108" s="938">
        <f t="shared" si="21"/>
        <v>295.10909718076806</v>
      </c>
      <c r="AZ108" s="938">
        <f t="shared" si="22"/>
        <v>428.93954940904473</v>
      </c>
      <c r="BA108" s="938">
        <f t="shared" si="23"/>
        <v>377.07191432404267</v>
      </c>
      <c r="BB108" s="938">
        <f t="shared" si="24"/>
        <v>81.332412556417367</v>
      </c>
      <c r="BC108" s="530">
        <f t="shared" si="53"/>
        <v>6199.0428971457768</v>
      </c>
      <c r="BD108" s="724">
        <f t="shared" si="54"/>
        <v>0</v>
      </c>
      <c r="BE108" s="436">
        <f t="shared" si="55"/>
        <v>0.17749946227455843</v>
      </c>
      <c r="BF108" s="624">
        <f t="shared" si="56"/>
        <v>0.2251173382676781</v>
      </c>
      <c r="BG108" s="624">
        <f t="shared" si="57"/>
        <v>7.7360996155804884E-2</v>
      </c>
      <c r="BH108" s="624">
        <f t="shared" si="58"/>
        <v>0</v>
      </c>
      <c r="BI108" s="624">
        <f t="shared" si="59"/>
        <v>0</v>
      </c>
      <c r="BJ108" s="624">
        <f t="shared" si="60"/>
        <v>0</v>
      </c>
      <c r="BK108" s="624">
        <f t="shared" si="61"/>
        <v>0.52002220330195825</v>
      </c>
      <c r="BL108" s="624">
        <f t="shared" si="62"/>
        <v>0.99999999999999967</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89.118520234574603</v>
      </c>
      <c r="BW108" s="114">
        <f t="shared" si="65"/>
        <v>0.4798551153599423</v>
      </c>
      <c r="BX108" s="1689">
        <f t="shared" si="25"/>
        <v>48.196370991930714</v>
      </c>
      <c r="BY108" s="527">
        <f t="shared" si="66"/>
        <v>89.118520234574603</v>
      </c>
      <c r="BZ108" s="417">
        <f t="shared" si="67"/>
        <v>0.4798551153599423</v>
      </c>
      <c r="CA108" s="544">
        <f t="shared" si="26"/>
        <v>48.196370991930714</v>
      </c>
      <c r="CB108" s="649">
        <f t="shared" si="27"/>
        <v>0.18911450124282059</v>
      </c>
      <c r="CC108" s="525">
        <f t="shared" si="68"/>
        <v>0.25861615901728952</v>
      </c>
      <c r="CD108" s="417">
        <f t="shared" si="28"/>
        <v>0.18911450124282059</v>
      </c>
      <c r="CE108" s="525">
        <f t="shared" si="69"/>
        <v>0.25861615901728952</v>
      </c>
      <c r="CG108" s="527">
        <f t="shared" si="70"/>
        <v>1423.1998455918053</v>
      </c>
      <c r="CH108" s="528">
        <f t="shared" si="71"/>
        <v>550.88796100147295</v>
      </c>
      <c r="CI108" s="528">
        <f t="shared" si="72"/>
        <v>2278.8937999411119</v>
      </c>
      <c r="CJ108" s="528">
        <f t="shared" si="73"/>
        <v>3241.3405833142588</v>
      </c>
      <c r="CK108" s="528">
        <f t="shared" si="74"/>
        <v>43.889261719214254</v>
      </c>
      <c r="CL108" s="528">
        <f t="shared" si="75"/>
        <v>7538.2114515678632</v>
      </c>
      <c r="CM108" s="646">
        <f t="shared" si="76"/>
        <v>0</v>
      </c>
    </row>
    <row r="109" spans="1:91">
      <c r="A109" s="873">
        <f>'Input data'!A129</f>
        <v>2029</v>
      </c>
      <c r="B109" s="1551">
        <f>'Input data'!B129</f>
        <v>65.435442210930105</v>
      </c>
      <c r="C109" s="1550">
        <f>'Input data'!C129</f>
        <v>3537.8042151577115</v>
      </c>
      <c r="D109" s="1552">
        <f>'Input data'!D129</f>
        <v>46504880.945737489</v>
      </c>
      <c r="E109" s="1454">
        <f t="shared" si="29"/>
        <v>0.81850909090909074</v>
      </c>
      <c r="F109" s="1504">
        <f t="shared" si="30"/>
        <v>0.31783636363636358</v>
      </c>
      <c r="G109" s="1509">
        <f>B109*F109*'Input data'!$C$9</f>
        <v>636.55901330130087</v>
      </c>
      <c r="H109" s="1508">
        <f>'Input data'!I129</f>
        <v>424.26313389388866</v>
      </c>
      <c r="I109" s="1509">
        <f>'Input data'!K129</f>
        <v>27761.845780141652</v>
      </c>
      <c r="J109" s="1509">
        <f t="shared" si="77"/>
        <v>5877.1731812078651</v>
      </c>
      <c r="K109" s="1511">
        <f t="shared" si="78"/>
        <v>7024.2687064162292</v>
      </c>
      <c r="L109" s="1504">
        <f>($L$110-$L$97)/($A$110-$A$97)*L108+L108</f>
        <v>0.57999999999999996</v>
      </c>
      <c r="M109" s="1504">
        <f>($L$110-$L$97)/($A$110-$A$97)*M108+M108</f>
        <v>0.437</v>
      </c>
      <c r="N109" s="1504">
        <f>($N$110-$N$97)/($A$110-$A$97)*N108+N108</f>
        <v>0.71200000000000008</v>
      </c>
      <c r="O109" s="1504">
        <f>($L$110-$L$97)/($A$110-$A$97)*O108+O108</f>
        <v>0.8</v>
      </c>
      <c r="P109" s="1504">
        <f t="shared" si="35"/>
        <v>0.23600000000000002</v>
      </c>
      <c r="Q109" s="1508">
        <f t="shared" si="36"/>
        <v>0</v>
      </c>
      <c r="R109" s="1509">
        <f t="shared" si="37"/>
        <v>0</v>
      </c>
      <c r="S109" s="1509">
        <f t="shared" si="38"/>
        <v>0</v>
      </c>
      <c r="T109" s="1509">
        <f t="shared" si="39"/>
        <v>0</v>
      </c>
      <c r="U109" s="1511">
        <f t="shared" si="40"/>
        <v>0</v>
      </c>
      <c r="V109" s="1509">
        <f t="shared" si="10"/>
        <v>0</v>
      </c>
      <c r="W109" s="1454">
        <f t="shared" ref="W109:W130" si="86">W108</f>
        <v>0.5</v>
      </c>
      <c r="X109" s="530">
        <f t="shared" si="41"/>
        <v>3033.4854703020706</v>
      </c>
      <c r="Y109" s="528">
        <f t="shared" si="79"/>
        <v>3033.4854703020706</v>
      </c>
      <c r="Z109" s="528">
        <f t="shared" si="80"/>
        <v>9867.9564173220242</v>
      </c>
      <c r="AA109" s="530">
        <f t="shared" si="81"/>
        <v>3990.7832361141591</v>
      </c>
      <c r="AB109" s="1091">
        <f t="shared" si="42"/>
        <v>0.40441840917627214</v>
      </c>
      <c r="AC109" s="135" t="str">
        <f t="shared" si="43"/>
        <v>Yes</v>
      </c>
      <c r="AD109" s="1091">
        <f t="shared" si="44"/>
        <v>0.40441840917627214</v>
      </c>
      <c r="AE109" s="649">
        <f t="shared" si="11"/>
        <v>0.20995273295223627</v>
      </c>
      <c r="AF109" s="530">
        <f t="shared" si="45"/>
        <v>335.18792944198617</v>
      </c>
      <c r="AG109" s="527">
        <f t="shared" si="46"/>
        <v>5877.1731812078651</v>
      </c>
      <c r="AH109" s="528">
        <f t="shared" si="82"/>
        <v>7609.926219113896</v>
      </c>
      <c r="AI109" s="528">
        <f t="shared" si="83"/>
        <v>6437.6604656145792</v>
      </c>
      <c r="AJ109" s="528">
        <f t="shared" si="12"/>
        <v>2008.4105208660676</v>
      </c>
      <c r="AK109" s="528">
        <f t="shared" si="47"/>
        <v>21933.170386802405</v>
      </c>
      <c r="AL109" s="716">
        <f t="shared" si="13"/>
        <v>0</v>
      </c>
      <c r="AM109" s="649">
        <f t="shared" si="48"/>
        <v>0.26795821477520043</v>
      </c>
      <c r="AN109" s="417">
        <f t="shared" si="49"/>
        <v>0.34695970007568672</v>
      </c>
      <c r="AO109" s="417">
        <f t="shared" si="50"/>
        <v>0.29351253613058326</v>
      </c>
      <c r="AP109" s="417">
        <f t="shared" si="51"/>
        <v>9.1569549018529733E-2</v>
      </c>
      <c r="AQ109" s="525">
        <f t="shared" si="52"/>
        <v>1.0000000000000002</v>
      </c>
      <c r="AR109" s="1086">
        <f t="shared" si="14"/>
        <v>1047.7217783554688</v>
      </c>
      <c r="AS109" s="938">
        <f t="shared" si="15"/>
        <v>1328.7946620572268</v>
      </c>
      <c r="AT109" s="938">
        <f t="shared" si="16"/>
        <v>453.33429683536787</v>
      </c>
      <c r="AU109" s="938">
        <f t="shared" si="17"/>
        <v>0</v>
      </c>
      <c r="AV109" s="938">
        <f t="shared" si="18"/>
        <v>0</v>
      </c>
      <c r="AW109" s="938">
        <f t="shared" si="19"/>
        <v>0</v>
      </c>
      <c r="AX109" s="938">
        <f t="shared" si="20"/>
        <v>1929.5439247588761</v>
      </c>
      <c r="AY109" s="938">
        <f t="shared" si="21"/>
        <v>278.96805796965026</v>
      </c>
      <c r="AZ109" s="938">
        <f t="shared" si="22"/>
        <v>405.47863223518482</v>
      </c>
      <c r="BA109" s="938">
        <f t="shared" si="23"/>
        <v>356.44790573650852</v>
      </c>
      <c r="BB109" s="938">
        <f t="shared" si="24"/>
        <v>76.883923259580158</v>
      </c>
      <c r="BC109" s="530">
        <f t="shared" si="53"/>
        <v>5877.1731812078633</v>
      </c>
      <c r="BD109" s="724">
        <f t="shared" si="54"/>
        <v>0</v>
      </c>
      <c r="BE109" s="436">
        <f t="shared" si="55"/>
        <v>0.1782696793256896</v>
      </c>
      <c r="BF109" s="624">
        <f t="shared" si="56"/>
        <v>0.22609418186042562</v>
      </c>
      <c r="BG109" s="624">
        <f t="shared" si="57"/>
        <v>7.7134752177270297E-2</v>
      </c>
      <c r="BH109" s="624">
        <f t="shared" si="58"/>
        <v>0</v>
      </c>
      <c r="BI109" s="624">
        <f t="shared" si="59"/>
        <v>0</v>
      </c>
      <c r="BJ109" s="624">
        <f t="shared" si="60"/>
        <v>0</v>
      </c>
      <c r="BK109" s="624">
        <f t="shared" si="61"/>
        <v>0.51850138663661438</v>
      </c>
      <c r="BL109" s="624">
        <f t="shared" si="62"/>
        <v>0.99999999999999989</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87.330222143140816</v>
      </c>
      <c r="BW109" s="114">
        <f t="shared" si="65"/>
        <v>0.49745735428899246</v>
      </c>
      <c r="BX109" s="1689">
        <f t="shared" si="25"/>
        <v>46.50488094573749</v>
      </c>
      <c r="BY109" s="527">
        <f t="shared" si="66"/>
        <v>87.330222143140816</v>
      </c>
      <c r="BZ109" s="417">
        <f t="shared" si="67"/>
        <v>0.49745735428899246</v>
      </c>
      <c r="CA109" s="544">
        <f t="shared" si="26"/>
        <v>46.50488094573749</v>
      </c>
      <c r="CB109" s="649">
        <f t="shared" si="27"/>
        <v>0.20995273295223627</v>
      </c>
      <c r="CC109" s="525">
        <f t="shared" si="68"/>
        <v>0.26576566386252065</v>
      </c>
      <c r="CD109" s="417">
        <f t="shared" si="28"/>
        <v>0.20995273295223627</v>
      </c>
      <c r="CE109" s="525">
        <f t="shared" si="69"/>
        <v>0.26576566386252065</v>
      </c>
      <c r="CG109" s="527">
        <f t="shared" si="70"/>
        <v>1436.7394559826676</v>
      </c>
      <c r="CH109" s="528">
        <f t="shared" si="71"/>
        <v>556.12883309970948</v>
      </c>
      <c r="CI109" s="528">
        <f t="shared" si="72"/>
        <v>2300.5740539609001</v>
      </c>
      <c r="CJ109" s="528">
        <f t="shared" si="73"/>
        <v>3272.1770739013664</v>
      </c>
      <c r="CK109" s="528">
        <f t="shared" si="74"/>
        <v>44.306802169251078</v>
      </c>
      <c r="CL109" s="528">
        <f t="shared" si="75"/>
        <v>7609.9262191138941</v>
      </c>
      <c r="CM109" s="646">
        <f t="shared" si="76"/>
        <v>0</v>
      </c>
    </row>
    <row r="110" spans="1:91" s="1" customFormat="1">
      <c r="A110" s="873">
        <f>'Input data'!A130</f>
        <v>2030</v>
      </c>
      <c r="B110" s="1551">
        <f>'Input data'!B130</f>
        <v>66.040790860694059</v>
      </c>
      <c r="C110" s="1550">
        <f>'Input data'!C130</f>
        <v>3601.1809165553482</v>
      </c>
      <c r="D110" s="1552">
        <f>'Input data'!D130</f>
        <v>44627656.242225982</v>
      </c>
      <c r="E110" s="1454">
        <f t="shared" si="29"/>
        <v>0.82715151515151497</v>
      </c>
      <c r="F110" s="1504">
        <f t="shared" si="30"/>
        <v>0.32018939393939388</v>
      </c>
      <c r="G110" s="1509">
        <f>B110*F110*'Input data'!$C$9</f>
        <v>647.20409189008979</v>
      </c>
      <c r="H110" s="1508">
        <f>'Input data'!I130</f>
        <v>424.26313389388866</v>
      </c>
      <c r="I110" s="1509">
        <f>'Input data'!K130</f>
        <v>28018.672895388943</v>
      </c>
      <c r="J110" s="1509">
        <f>J97*(1-$C$4)</f>
        <v>5572.0157409803969</v>
      </c>
      <c r="K110" s="1511">
        <f t="shared" si="78"/>
        <v>7448.7784450740555</v>
      </c>
      <c r="L110" s="1504">
        <f>C18</f>
        <v>0.57999999999999996</v>
      </c>
      <c r="M110" s="1504">
        <f>D18</f>
        <v>0.437</v>
      </c>
      <c r="N110" s="1504">
        <f>E18</f>
        <v>0.71200000000000008</v>
      </c>
      <c r="O110" s="1504">
        <f>F18</f>
        <v>0.8</v>
      </c>
      <c r="P110" s="1504">
        <f>G18</f>
        <v>0.23600000000000002</v>
      </c>
      <c r="Q110" s="1508">
        <f t="shared" si="36"/>
        <v>0</v>
      </c>
      <c r="R110" s="1509">
        <f t="shared" si="37"/>
        <v>0</v>
      </c>
      <c r="S110" s="1509">
        <f t="shared" si="38"/>
        <v>0</v>
      </c>
      <c r="T110" s="1509">
        <f t="shared" si="39"/>
        <v>0</v>
      </c>
      <c r="U110" s="1511">
        <f t="shared" si="40"/>
        <v>0</v>
      </c>
      <c r="V110" s="1509">
        <f t="shared" si="10"/>
        <v>0</v>
      </c>
      <c r="W110" s="1454">
        <f t="shared" si="86"/>
        <v>0.5</v>
      </c>
      <c r="X110" s="530">
        <f t="shared" si="41"/>
        <v>3033.4854703020706</v>
      </c>
      <c r="Y110" s="528">
        <f t="shared" si="79"/>
        <v>3033.4854703020706</v>
      </c>
      <c r="Z110" s="528">
        <f t="shared" si="80"/>
        <v>9987.3087157523823</v>
      </c>
      <c r="AA110" s="530">
        <f t="shared" si="81"/>
        <v>4415.2929747719854</v>
      </c>
      <c r="AB110" s="1091">
        <f t="shared" si="42"/>
        <v>0.44209036692818043</v>
      </c>
      <c r="AC110" s="135" t="str">
        <f t="shared" si="43"/>
        <v>Yes</v>
      </c>
      <c r="AD110" s="1091">
        <f t="shared" si="44"/>
        <v>0.44209036692818043</v>
      </c>
      <c r="AE110" s="649">
        <f t="shared" si="11"/>
        <v>0.22948595525497573</v>
      </c>
      <c r="AF110" s="530">
        <f t="shared" si="45"/>
        <v>326.90070333277998</v>
      </c>
      <c r="AG110" s="527">
        <f t="shared" si="46"/>
        <v>5572.0157409803969</v>
      </c>
      <c r="AH110" s="528">
        <f t="shared" si="82"/>
        <v>7680.326271530359</v>
      </c>
      <c r="AI110" s="528">
        <f t="shared" si="83"/>
        <v>6437.6604656145792</v>
      </c>
      <c r="AJ110" s="528">
        <f t="shared" si="12"/>
        <v>1898.7785028885794</v>
      </c>
      <c r="AK110" s="528">
        <f t="shared" si="47"/>
        <v>21588.780981013915</v>
      </c>
      <c r="AL110" s="716">
        <f t="shared" si="13"/>
        <v>0</v>
      </c>
      <c r="AM110" s="649">
        <f t="shared" si="48"/>
        <v>0.25809774743097641</v>
      </c>
      <c r="AN110" s="417">
        <f t="shared" si="49"/>
        <v>0.35575543974830082</v>
      </c>
      <c r="AO110" s="417">
        <f t="shared" si="50"/>
        <v>0.29819471841768785</v>
      </c>
      <c r="AP110" s="417">
        <f t="shared" si="51"/>
        <v>8.7952094403034864E-2</v>
      </c>
      <c r="AQ110" s="525">
        <f t="shared" si="52"/>
        <v>0.99999999999999989</v>
      </c>
      <c r="AR110" s="1086">
        <f t="shared" si="14"/>
        <v>997.43280985113779</v>
      </c>
      <c r="AS110" s="938">
        <f t="shared" si="15"/>
        <v>1265.0146449864669</v>
      </c>
      <c r="AT110" s="938">
        <f t="shared" si="16"/>
        <v>428.5883829576436</v>
      </c>
      <c r="AU110" s="938">
        <f t="shared" si="17"/>
        <v>0</v>
      </c>
      <c r="AV110" s="938">
        <f t="shared" si="18"/>
        <v>0</v>
      </c>
      <c r="AW110" s="938">
        <f t="shared" si="19"/>
        <v>0</v>
      </c>
      <c r="AX110" s="938">
        <f t="shared" si="20"/>
        <v>1824.2169549736861</v>
      </c>
      <c r="AY110" s="938">
        <f t="shared" si="21"/>
        <v>263.74017959083892</v>
      </c>
      <c r="AZ110" s="938">
        <f t="shared" si="22"/>
        <v>383.34498961737694</v>
      </c>
      <c r="BA110" s="938">
        <f t="shared" si="23"/>
        <v>336.990676846425</v>
      </c>
      <c r="BB110" s="938">
        <f t="shared" si="24"/>
        <v>72.687102156821055</v>
      </c>
      <c r="BC110" s="530">
        <f t="shared" si="53"/>
        <v>5572.0157409803969</v>
      </c>
      <c r="BD110" s="724">
        <f t="shared" si="54"/>
        <v>0</v>
      </c>
      <c r="BE110" s="436">
        <f t="shared" si="55"/>
        <v>0.17900753627010382</v>
      </c>
      <c r="BF110" s="624">
        <f t="shared" si="56"/>
        <v>0.22702998408326239</v>
      </c>
      <c r="BG110" s="624">
        <f t="shared" si="57"/>
        <v>7.6918013674210015E-2</v>
      </c>
      <c r="BH110" s="624">
        <f t="shared" si="58"/>
        <v>0</v>
      </c>
      <c r="BI110" s="624">
        <f t="shared" si="59"/>
        <v>0</v>
      </c>
      <c r="BJ110" s="624">
        <f t="shared" si="60"/>
        <v>0</v>
      </c>
      <c r="BK110" s="624">
        <f t="shared" si="61"/>
        <v>0.51704446597242359</v>
      </c>
      <c r="BL110" s="624">
        <f t="shared" si="62"/>
        <v>0.99999999999999978</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85.433574984839993</v>
      </c>
      <c r="BW110" s="114">
        <f t="shared" si="65"/>
        <v>0.51688618037949141</v>
      </c>
      <c r="BX110" s="1689">
        <f t="shared" si="25"/>
        <v>44.627656242225981</v>
      </c>
      <c r="BY110" s="527">
        <f t="shared" si="66"/>
        <v>85.433574984839993</v>
      </c>
      <c r="BZ110" s="417">
        <f t="shared" si="67"/>
        <v>0.51688618037949141</v>
      </c>
      <c r="CA110" s="544">
        <f t="shared" si="26"/>
        <v>44.627656242225981</v>
      </c>
      <c r="CB110" s="649">
        <f t="shared" si="27"/>
        <v>0.22948595525497573</v>
      </c>
      <c r="CC110" s="525">
        <f t="shared" si="68"/>
        <v>0.27410846670370259</v>
      </c>
      <c r="CD110" s="417">
        <f t="shared" si="28"/>
        <v>0.22948595525497573</v>
      </c>
      <c r="CE110" s="525">
        <f t="shared" si="69"/>
        <v>0.27410846670370259</v>
      </c>
      <c r="CG110" s="527">
        <f t="shared" si="70"/>
        <v>1450.0308506818606</v>
      </c>
      <c r="CH110" s="528">
        <f t="shared" si="71"/>
        <v>561.27362660666734</v>
      </c>
      <c r="CI110" s="528">
        <f t="shared" si="72"/>
        <v>2321.8568534682076</v>
      </c>
      <c r="CJ110" s="528">
        <f t="shared" si="73"/>
        <v>3302.4482527388182</v>
      </c>
      <c r="CK110" s="528">
        <f t="shared" si="74"/>
        <v>44.716688034804761</v>
      </c>
      <c r="CL110" s="528">
        <f t="shared" si="75"/>
        <v>7680.3262715303581</v>
      </c>
      <c r="CM110" s="646">
        <f t="shared" si="76"/>
        <v>0</v>
      </c>
    </row>
    <row r="111" spans="1:91">
      <c r="A111" s="873">
        <f>'Input data'!A131</f>
        <v>2031</v>
      </c>
      <c r="B111" s="1551">
        <f>'Input data'!B131</f>
        <v>66.6344094187031</v>
      </c>
      <c r="C111" s="1550">
        <f>'Input data'!C131</f>
        <v>3689.3743282354972</v>
      </c>
      <c r="D111" s="1552">
        <f>'Input data'!D131</f>
        <v>43830165.240535274</v>
      </c>
      <c r="E111" s="1454">
        <f t="shared" si="29"/>
        <v>0.8357939393939392</v>
      </c>
      <c r="F111" s="1504">
        <f t="shared" si="30"/>
        <v>0.32254242424242419</v>
      </c>
      <c r="G111" s="1509">
        <f>B111*F111*'Input data'!$C$9</f>
        <v>657.82056372102647</v>
      </c>
      <c r="H111" s="1508">
        <f>'Input data'!I131</f>
        <v>424.26313389388866</v>
      </c>
      <c r="I111" s="1509">
        <f>'Input data'!K131</f>
        <v>28270.52336514743</v>
      </c>
      <c r="J111" s="1509">
        <f t="shared" ref="J111:J116" si="87">($J$117-$J$107)/($A$117-$A$107)+J110</f>
        <v>5308.2028273926371</v>
      </c>
      <c r="K111" s="1511">
        <f t="shared" si="78"/>
        <v>7829.630918123823</v>
      </c>
      <c r="L111" s="1504">
        <f>L110</f>
        <v>0.57999999999999996</v>
      </c>
      <c r="M111" s="1504">
        <f t="shared" ref="M111:P111" si="88">M110</f>
        <v>0.437</v>
      </c>
      <c r="N111" s="1504">
        <f t="shared" si="88"/>
        <v>0.71200000000000008</v>
      </c>
      <c r="O111" s="1504">
        <f t="shared" si="88"/>
        <v>0.8</v>
      </c>
      <c r="P111" s="1504">
        <f t="shared" si="88"/>
        <v>0.23600000000000002</v>
      </c>
      <c r="Q111" s="1508">
        <f t="shared" si="36"/>
        <v>0</v>
      </c>
      <c r="R111" s="1509">
        <f t="shared" si="37"/>
        <v>0</v>
      </c>
      <c r="S111" s="1509">
        <f t="shared" si="38"/>
        <v>0</v>
      </c>
      <c r="T111" s="1509">
        <f t="shared" si="39"/>
        <v>0</v>
      </c>
      <c r="U111" s="1511">
        <f t="shared" si="40"/>
        <v>0</v>
      </c>
      <c r="V111" s="1509">
        <f t="shared" si="10"/>
        <v>0</v>
      </c>
      <c r="W111" s="1454">
        <f t="shared" si="86"/>
        <v>0.5</v>
      </c>
      <c r="X111" s="530">
        <f t="shared" si="41"/>
        <v>3033.4854703020706</v>
      </c>
      <c r="Y111" s="528">
        <f t="shared" si="79"/>
        <v>3033.4854703020706</v>
      </c>
      <c r="Z111" s="528">
        <f t="shared" si="80"/>
        <v>10104.34827521439</v>
      </c>
      <c r="AA111" s="530">
        <f t="shared" si="81"/>
        <v>4796.1454478217529</v>
      </c>
      <c r="AB111" s="1091">
        <f t="shared" si="42"/>
        <v>0.47466153354853458</v>
      </c>
      <c r="AC111" s="135" t="str">
        <f t="shared" si="43"/>
        <v>Yes</v>
      </c>
      <c r="AD111" s="1091">
        <f t="shared" si="44"/>
        <v>0.47466153354853458</v>
      </c>
      <c r="AE111" s="649">
        <f t="shared" si="11"/>
        <v>0.24659254843090828</v>
      </c>
      <c r="AF111" s="530">
        <f t="shared" si="45"/>
        <v>319.643006501711</v>
      </c>
      <c r="AG111" s="527">
        <f t="shared" si="46"/>
        <v>5308.2028273926371</v>
      </c>
      <c r="AH111" s="528">
        <f t="shared" si="82"/>
        <v>7749.3621529443453</v>
      </c>
      <c r="AI111" s="528">
        <f t="shared" si="83"/>
        <v>6437.6604656145792</v>
      </c>
      <c r="AJ111" s="528">
        <f t="shared" si="12"/>
        <v>1803.9975171086269</v>
      </c>
      <c r="AK111" s="528">
        <f t="shared" si="47"/>
        <v>21299.222963060187</v>
      </c>
      <c r="AL111" s="716">
        <f t="shared" si="13"/>
        <v>0</v>
      </c>
      <c r="AM111" s="649">
        <f t="shared" si="48"/>
        <v>0.24922049206202476</v>
      </c>
      <c r="AN111" s="417">
        <f t="shared" si="49"/>
        <v>0.36383309223929305</v>
      </c>
      <c r="AO111" s="417">
        <f t="shared" si="50"/>
        <v>0.30224860675807685</v>
      </c>
      <c r="AP111" s="417">
        <f t="shared" si="51"/>
        <v>8.4697808940605399E-2</v>
      </c>
      <c r="AQ111" s="525">
        <f t="shared" si="52"/>
        <v>1</v>
      </c>
      <c r="AR111" s="1086">
        <f t="shared" si="14"/>
        <v>953.95925333254934</v>
      </c>
      <c r="AS111" s="938">
        <f t="shared" si="15"/>
        <v>1209.8784141321107</v>
      </c>
      <c r="AT111" s="938">
        <f t="shared" si="16"/>
        <v>407.19461355865178</v>
      </c>
      <c r="AU111" s="938">
        <f t="shared" si="17"/>
        <v>0</v>
      </c>
      <c r="AV111" s="938">
        <f t="shared" si="18"/>
        <v>0</v>
      </c>
      <c r="AW111" s="938">
        <f t="shared" si="19"/>
        <v>0</v>
      </c>
      <c r="AX111" s="938">
        <f t="shared" si="20"/>
        <v>1733.1578446004237</v>
      </c>
      <c r="AY111" s="938">
        <f t="shared" si="21"/>
        <v>250.5751083761748</v>
      </c>
      <c r="AZ111" s="938">
        <f t="shared" si="22"/>
        <v>364.20962656451599</v>
      </c>
      <c r="BA111" s="938">
        <f t="shared" si="23"/>
        <v>320.1691737055545</v>
      </c>
      <c r="BB111" s="938">
        <f t="shared" si="24"/>
        <v>69.058793122654635</v>
      </c>
      <c r="BC111" s="530">
        <f t="shared" si="53"/>
        <v>5308.2028273926362</v>
      </c>
      <c r="BD111" s="724">
        <f t="shared" si="54"/>
        <v>0</v>
      </c>
      <c r="BE111" s="436">
        <f t="shared" si="55"/>
        <v>0.17971416774236743</v>
      </c>
      <c r="BF111" s="624">
        <f t="shared" si="56"/>
        <v>0.22792618395977857</v>
      </c>
      <c r="BG111" s="624">
        <f t="shared" si="57"/>
        <v>7.6710447358445011E-2</v>
      </c>
      <c r="BH111" s="624">
        <f t="shared" si="58"/>
        <v>0</v>
      </c>
      <c r="BI111" s="624">
        <f t="shared" si="59"/>
        <v>0</v>
      </c>
      <c r="BJ111" s="624">
        <f t="shared" si="60"/>
        <v>0</v>
      </c>
      <c r="BK111" s="624">
        <f t="shared" si="61"/>
        <v>0.5156492009394088</v>
      </c>
      <c r="BL111" s="624">
        <f t="shared" si="62"/>
        <v>0.99999999999999978</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84.798741739445063</v>
      </c>
      <c r="BW111" s="114">
        <f t="shared" si="65"/>
        <v>0.52390407933327598</v>
      </c>
      <c r="BX111" s="1689">
        <f t="shared" si="25"/>
        <v>43.830165240535273</v>
      </c>
      <c r="BY111" s="527">
        <f t="shared" si="66"/>
        <v>84.798741739445063</v>
      </c>
      <c r="BZ111" s="417">
        <f t="shared" si="67"/>
        <v>0.52390407933327598</v>
      </c>
      <c r="CA111" s="544">
        <f t="shared" si="26"/>
        <v>43.830165240535273</v>
      </c>
      <c r="CB111" s="649">
        <f t="shared" si="27"/>
        <v>0.24659254843090828</v>
      </c>
      <c r="CC111" s="525">
        <f t="shared" si="68"/>
        <v>0.28019114672951217</v>
      </c>
      <c r="CD111" s="417">
        <f t="shared" si="28"/>
        <v>0.24659254843090828</v>
      </c>
      <c r="CE111" s="525">
        <f t="shared" si="69"/>
        <v>0.28019114672951217</v>
      </c>
      <c r="CG111" s="527">
        <f t="shared" si="70"/>
        <v>1463.0646925155554</v>
      </c>
      <c r="CH111" s="528">
        <f t="shared" si="71"/>
        <v>566.31872731688702</v>
      </c>
      <c r="CI111" s="528">
        <f t="shared" si="72"/>
        <v>2342.7272473459334</v>
      </c>
      <c r="CJ111" s="528">
        <f t="shared" si="73"/>
        <v>3332.1328543939608</v>
      </c>
      <c r="CK111" s="528">
        <f t="shared" si="74"/>
        <v>45.118631372009098</v>
      </c>
      <c r="CL111" s="528">
        <f t="shared" si="75"/>
        <v>7749.3621529443462</v>
      </c>
      <c r="CM111" s="646">
        <f t="shared" si="76"/>
        <v>0</v>
      </c>
    </row>
    <row r="112" spans="1:91">
      <c r="A112" s="873">
        <f>'Input data'!A132</f>
        <v>2032</v>
      </c>
      <c r="B112" s="1551">
        <f>'Input data'!B132</f>
        <v>67.215877817791679</v>
      </c>
      <c r="C112" s="1550">
        <f>'Input data'!C132</f>
        <v>3770.9504220066083</v>
      </c>
      <c r="D112" s="1552">
        <f>'Input data'!D132</f>
        <v>42600148.259036541</v>
      </c>
      <c r="E112" s="1454">
        <f t="shared" si="29"/>
        <v>0.84443636363636343</v>
      </c>
      <c r="F112" s="1504">
        <f t="shared" si="30"/>
        <v>0.32489545454545449</v>
      </c>
      <c r="G112" s="1509">
        <f>B112*F112*'Input data'!$C$9</f>
        <v>668.4017172193852</v>
      </c>
      <c r="H112" s="1508">
        <f>'Input data'!I132</f>
        <v>424.26313389388866</v>
      </c>
      <c r="I112" s="1509">
        <f>'Input data'!K132</f>
        <v>28517.218970405011</v>
      </c>
      <c r="J112" s="1509">
        <f t="shared" si="87"/>
        <v>5044.3899138048773</v>
      </c>
      <c r="K112" s="1511">
        <f t="shared" si="78"/>
        <v>8208.0878305425103</v>
      </c>
      <c r="L112" s="1504">
        <f t="shared" ref="L112:L130" si="89">L111</f>
        <v>0.57999999999999996</v>
      </c>
      <c r="M112" s="1504">
        <f t="shared" ref="M112:M130" si="90">M111</f>
        <v>0.437</v>
      </c>
      <c r="N112" s="1504">
        <f t="shared" ref="N112:N130" si="91">N111</f>
        <v>0.71200000000000008</v>
      </c>
      <c r="O112" s="1504">
        <f t="shared" ref="O112:P130" si="92">O111</f>
        <v>0.8</v>
      </c>
      <c r="P112" s="1504">
        <f t="shared" si="92"/>
        <v>0.23600000000000002</v>
      </c>
      <c r="Q112" s="1508">
        <f t="shared" si="36"/>
        <v>0</v>
      </c>
      <c r="R112" s="1509">
        <f t="shared" si="37"/>
        <v>0</v>
      </c>
      <c r="S112" s="1509">
        <f t="shared" si="38"/>
        <v>0</v>
      </c>
      <c r="T112" s="1509">
        <f t="shared" si="39"/>
        <v>0</v>
      </c>
      <c r="U112" s="1511">
        <f t="shared" si="40"/>
        <v>0</v>
      </c>
      <c r="V112" s="1509">
        <f t="shared" si="10"/>
        <v>0</v>
      </c>
      <c r="W112" s="1454">
        <f t="shared" si="86"/>
        <v>0.5</v>
      </c>
      <c r="X112" s="530">
        <f t="shared" si="41"/>
        <v>3033.4854703020706</v>
      </c>
      <c r="Y112" s="528">
        <f t="shared" si="79"/>
        <v>3033.4854703020706</v>
      </c>
      <c r="Z112" s="528">
        <f t="shared" si="80"/>
        <v>10218.992274045317</v>
      </c>
      <c r="AA112" s="530">
        <f t="shared" si="81"/>
        <v>5174.6023602404393</v>
      </c>
      <c r="AB112" s="1091">
        <f t="shared" si="42"/>
        <v>0.50637110015075959</v>
      </c>
      <c r="AC112" s="135" t="str">
        <f t="shared" si="43"/>
        <v>Yes</v>
      </c>
      <c r="AD112" s="1091">
        <f t="shared" si="44"/>
        <v>0.50637110015075959</v>
      </c>
      <c r="AE112" s="649">
        <f t="shared" si="11"/>
        <v>0.26328948483417403</v>
      </c>
      <c r="AF112" s="530">
        <f t="shared" si="45"/>
        <v>312.55911193683448</v>
      </c>
      <c r="AG112" s="527">
        <f t="shared" si="46"/>
        <v>5044.3899138048773</v>
      </c>
      <c r="AH112" s="528">
        <f t="shared" si="82"/>
        <v>7816.9850109292693</v>
      </c>
      <c r="AI112" s="528">
        <f t="shared" si="83"/>
        <v>6437.6604656145792</v>
      </c>
      <c r="AJ112" s="528">
        <f t="shared" si="12"/>
        <v>1709.899688435012</v>
      </c>
      <c r="AK112" s="528">
        <f t="shared" si="47"/>
        <v>21008.935078783739</v>
      </c>
      <c r="AL112" s="716">
        <f t="shared" si="13"/>
        <v>0</v>
      </c>
      <c r="AM112" s="649">
        <f t="shared" si="48"/>
        <v>0.24010688285190845</v>
      </c>
      <c r="AN112" s="417">
        <f t="shared" si="49"/>
        <v>0.37207906929196977</v>
      </c>
      <c r="AO112" s="417">
        <f t="shared" si="50"/>
        <v>0.30642488262604844</v>
      </c>
      <c r="AP112" s="417">
        <f t="shared" si="51"/>
        <v>8.1389165230073265E-2</v>
      </c>
      <c r="AQ112" s="525">
        <f t="shared" si="52"/>
        <v>0.99999999999999989</v>
      </c>
      <c r="AR112" s="1086">
        <f t="shared" si="14"/>
        <v>909.96074096512996</v>
      </c>
      <c r="AS112" s="938">
        <f t="shared" si="15"/>
        <v>1154.0763972416596</v>
      </c>
      <c r="AT112" s="938">
        <f t="shared" si="16"/>
        <v>385.95504497827346</v>
      </c>
      <c r="AU112" s="938">
        <f t="shared" si="17"/>
        <v>0</v>
      </c>
      <c r="AV112" s="938">
        <f t="shared" si="18"/>
        <v>0</v>
      </c>
      <c r="AW112" s="938">
        <f t="shared" si="19"/>
        <v>0</v>
      </c>
      <c r="AX112" s="938">
        <f t="shared" si="20"/>
        <v>1642.7550650073949</v>
      </c>
      <c r="AY112" s="938">
        <f t="shared" si="21"/>
        <v>237.50492762800803</v>
      </c>
      <c r="AZ112" s="938">
        <f t="shared" si="22"/>
        <v>345.21218631488756</v>
      </c>
      <c r="BA112" s="938">
        <f t="shared" si="23"/>
        <v>303.46891565741436</v>
      </c>
      <c r="BB112" s="938">
        <f t="shared" si="24"/>
        <v>65.456636012107523</v>
      </c>
      <c r="BC112" s="530">
        <f t="shared" si="53"/>
        <v>5044.3899138048755</v>
      </c>
      <c r="BD112" s="724">
        <f t="shared" si="54"/>
        <v>0</v>
      </c>
      <c r="BE112" s="436">
        <f t="shared" si="55"/>
        <v>0.18039064317269757</v>
      </c>
      <c r="BF112" s="624">
        <f t="shared" si="56"/>
        <v>0.22878413781680973</v>
      </c>
      <c r="BG112" s="624">
        <f t="shared" si="57"/>
        <v>7.651173909495744E-2</v>
      </c>
      <c r="BH112" s="624">
        <f t="shared" si="58"/>
        <v>0</v>
      </c>
      <c r="BI112" s="624">
        <f t="shared" si="59"/>
        <v>0</v>
      </c>
      <c r="BJ112" s="624">
        <f t="shared" si="60"/>
        <v>0</v>
      </c>
      <c r="BK112" s="624">
        <f t="shared" si="61"/>
        <v>0.51431347991553533</v>
      </c>
      <c r="BL112" s="624">
        <f t="shared" si="62"/>
        <v>1</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83.696722046022018</v>
      </c>
      <c r="BW112" s="114">
        <f t="shared" si="65"/>
        <v>0.53254431518213041</v>
      </c>
      <c r="BX112" s="1689">
        <f t="shared" si="25"/>
        <v>42.600148259036544</v>
      </c>
      <c r="BY112" s="527">
        <f t="shared" si="66"/>
        <v>83.696722046022018</v>
      </c>
      <c r="BZ112" s="417">
        <f t="shared" si="67"/>
        <v>0.53254431518213041</v>
      </c>
      <c r="CA112" s="544">
        <f t="shared" si="26"/>
        <v>42.600148259036544</v>
      </c>
      <c r="CB112" s="649">
        <f t="shared" si="27"/>
        <v>0.26328948483417403</v>
      </c>
      <c r="CC112" s="525">
        <f t="shared" si="68"/>
        <v>0.28738471154494827</v>
      </c>
      <c r="CD112" s="417">
        <f t="shared" si="28"/>
        <v>0.26328948483417403</v>
      </c>
      <c r="CE112" s="525">
        <f t="shared" si="69"/>
        <v>0.28738471154494827</v>
      </c>
      <c r="CG112" s="527">
        <f t="shared" si="70"/>
        <v>1475.8317582394284</v>
      </c>
      <c r="CH112" s="528">
        <f t="shared" si="71"/>
        <v>571.26056512440277</v>
      </c>
      <c r="CI112" s="528">
        <f t="shared" si="72"/>
        <v>2363.1704669062024</v>
      </c>
      <c r="CJ112" s="528">
        <f t="shared" si="73"/>
        <v>3361.2098729088279</v>
      </c>
      <c r="CK112" s="528">
        <f t="shared" si="74"/>
        <v>45.512347750406022</v>
      </c>
      <c r="CL112" s="528">
        <f t="shared" si="75"/>
        <v>7816.9850109292674</v>
      </c>
      <c r="CM112" s="646">
        <f t="shared" si="76"/>
        <v>0</v>
      </c>
    </row>
    <row r="113" spans="1:91">
      <c r="A113" s="873">
        <f>'Input data'!A133</f>
        <v>2033</v>
      </c>
      <c r="B113" s="1551">
        <f>'Input data'!B133</f>
        <v>67.784781669940756</v>
      </c>
      <c r="C113" s="1550">
        <f>'Input data'!C133</f>
        <v>3867.5085984126213</v>
      </c>
      <c r="D113" s="1552">
        <f>'Input data'!D133</f>
        <v>41720520.537816472</v>
      </c>
      <c r="E113" s="1454">
        <f t="shared" si="29"/>
        <v>0.85307878787878766</v>
      </c>
      <c r="F113" s="1504">
        <f t="shared" si="30"/>
        <v>0.32724848484848479</v>
      </c>
      <c r="G113" s="1509">
        <f>B113*F113*'Input data'!$C$9</f>
        <v>678.94077668151692</v>
      </c>
      <c r="H113" s="1508">
        <f>'Input data'!I133</f>
        <v>424.26313389388866</v>
      </c>
      <c r="I113" s="1509">
        <f>'Input data'!K133</f>
        <v>28758.583901602084</v>
      </c>
      <c r="J113" s="1509">
        <f t="shared" si="87"/>
        <v>4780.5770002171175</v>
      </c>
      <c r="K113" s="1511">
        <f t="shared" si="78"/>
        <v>8584.067480384414</v>
      </c>
      <c r="L113" s="1504">
        <f t="shared" si="89"/>
        <v>0.57999999999999996</v>
      </c>
      <c r="M113" s="1504">
        <f t="shared" si="90"/>
        <v>0.437</v>
      </c>
      <c r="N113" s="1504">
        <f t="shared" si="91"/>
        <v>0.71200000000000008</v>
      </c>
      <c r="O113" s="1504">
        <f t="shared" si="92"/>
        <v>0.8</v>
      </c>
      <c r="P113" s="1504">
        <f t="shared" si="92"/>
        <v>0.23600000000000002</v>
      </c>
      <c r="Q113" s="1508">
        <f t="shared" si="36"/>
        <v>0</v>
      </c>
      <c r="R113" s="1509">
        <f t="shared" si="37"/>
        <v>0</v>
      </c>
      <c r="S113" s="1509">
        <f t="shared" si="38"/>
        <v>0</v>
      </c>
      <c r="T113" s="1509">
        <f t="shared" si="39"/>
        <v>0</v>
      </c>
      <c r="U113" s="1511">
        <f t="shared" si="40"/>
        <v>0</v>
      </c>
      <c r="V113" s="1509">
        <f t="shared" si="10"/>
        <v>0</v>
      </c>
      <c r="W113" s="1454">
        <f t="shared" si="86"/>
        <v>0.5</v>
      </c>
      <c r="X113" s="530">
        <f t="shared" si="41"/>
        <v>3033.4854703020706</v>
      </c>
      <c r="Y113" s="528">
        <f t="shared" si="79"/>
        <v>3033.4854703020706</v>
      </c>
      <c r="Z113" s="528">
        <f t="shared" si="80"/>
        <v>10331.159010299461</v>
      </c>
      <c r="AA113" s="530">
        <f t="shared" si="81"/>
        <v>5550.5820100823439</v>
      </c>
      <c r="AB113" s="1091">
        <f t="shared" si="42"/>
        <v>0.53726614841072451</v>
      </c>
      <c r="AC113" s="135" t="str">
        <f t="shared" si="43"/>
        <v>Yes</v>
      </c>
      <c r="AD113" s="1091">
        <f t="shared" si="44"/>
        <v>0.53726614841072451</v>
      </c>
      <c r="AE113" s="649">
        <f t="shared" si="11"/>
        <v>0.27959485500563153</v>
      </c>
      <c r="AF113" s="530">
        <f t="shared" si="45"/>
        <v>305.64134448859204</v>
      </c>
      <c r="AG113" s="527">
        <f t="shared" si="46"/>
        <v>4780.5770002171175</v>
      </c>
      <c r="AH113" s="528">
        <f t="shared" si="82"/>
        <v>7883.1466535245563</v>
      </c>
      <c r="AI113" s="528">
        <f t="shared" si="83"/>
        <v>6437.6604656145792</v>
      </c>
      <c r="AJ113" s="528">
        <f t="shared" si="12"/>
        <v>1616.4476861101075</v>
      </c>
      <c r="AK113" s="528">
        <f t="shared" si="47"/>
        <v>20717.831805466361</v>
      </c>
      <c r="AL113" s="716">
        <f t="shared" si="13"/>
        <v>0</v>
      </c>
      <c r="AM113" s="649">
        <f t="shared" si="48"/>
        <v>0.23074697415758397</v>
      </c>
      <c r="AN113" s="417">
        <f t="shared" si="49"/>
        <v>0.38050056239208402</v>
      </c>
      <c r="AO113" s="417">
        <f t="shared" si="50"/>
        <v>0.31073041455602579</v>
      </c>
      <c r="AP113" s="417">
        <f t="shared" si="51"/>
        <v>7.8022048894306154E-2</v>
      </c>
      <c r="AQ113" s="525">
        <f t="shared" si="52"/>
        <v>1</v>
      </c>
      <c r="AR113" s="1086">
        <f t="shared" si="14"/>
        <v>865.46595868272459</v>
      </c>
      <c r="AS113" s="938">
        <f t="shared" si="15"/>
        <v>1097.6449758398228</v>
      </c>
      <c r="AT113" s="938">
        <f t="shared" si="16"/>
        <v>364.86125099458673</v>
      </c>
      <c r="AU113" s="938">
        <f t="shared" si="17"/>
        <v>0</v>
      </c>
      <c r="AV113" s="938">
        <f t="shared" si="18"/>
        <v>0</v>
      </c>
      <c r="AW113" s="938">
        <f t="shared" si="19"/>
        <v>0</v>
      </c>
      <c r="AX113" s="938">
        <f t="shared" si="20"/>
        <v>1552.9727513473299</v>
      </c>
      <c r="AY113" s="938">
        <f t="shared" si="21"/>
        <v>224.524452107141</v>
      </c>
      <c r="AZ113" s="938">
        <f t="shared" si="22"/>
        <v>326.34513215008394</v>
      </c>
      <c r="BA113" s="938">
        <f t="shared" si="23"/>
        <v>286.88327732823893</v>
      </c>
      <c r="BB113" s="938">
        <f t="shared" si="24"/>
        <v>61.879201767188427</v>
      </c>
      <c r="BC113" s="530">
        <f t="shared" si="53"/>
        <v>4780.5770002171166</v>
      </c>
      <c r="BD113" s="724">
        <f t="shared" si="54"/>
        <v>0</v>
      </c>
      <c r="BE113" s="436">
        <f t="shared" si="55"/>
        <v>0.18103797065572175</v>
      </c>
      <c r="BF113" s="624">
        <f t="shared" si="56"/>
        <v>0.22960512419106976</v>
      </c>
      <c r="BG113" s="624">
        <f t="shared" si="57"/>
        <v>7.632159276547916E-2</v>
      </c>
      <c r="BH113" s="624">
        <f t="shared" si="58"/>
        <v>0</v>
      </c>
      <c r="BI113" s="624">
        <f t="shared" si="59"/>
        <v>0</v>
      </c>
      <c r="BJ113" s="624">
        <f t="shared" si="60"/>
        <v>0</v>
      </c>
      <c r="BK113" s="624">
        <f t="shared" si="61"/>
        <v>0.51303531238772937</v>
      </c>
      <c r="BL113" s="624">
        <f t="shared" si="62"/>
        <v>1</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83.021097541546737</v>
      </c>
      <c r="BW113" s="114">
        <f t="shared" si="65"/>
        <v>0.540394013565345</v>
      </c>
      <c r="BX113" s="1689">
        <f t="shared" si="25"/>
        <v>41.720520537816469</v>
      </c>
      <c r="BY113" s="527">
        <f t="shared" si="66"/>
        <v>83.021097541546737</v>
      </c>
      <c r="BZ113" s="417">
        <f t="shared" si="67"/>
        <v>0.540394013565345</v>
      </c>
      <c r="CA113" s="544">
        <f t="shared" si="26"/>
        <v>41.720520537816469</v>
      </c>
      <c r="CB113" s="649">
        <f t="shared" si="27"/>
        <v>0.27959485500563153</v>
      </c>
      <c r="CC113" s="525">
        <f t="shared" si="68"/>
        <v>0.29401952941936627</v>
      </c>
      <c r="CD113" s="417">
        <f t="shared" si="28"/>
        <v>0.27959485500563153</v>
      </c>
      <c r="CE113" s="525">
        <f t="shared" si="69"/>
        <v>0.29401952941936627</v>
      </c>
      <c r="CG113" s="527">
        <f t="shared" si="70"/>
        <v>1488.3229493038723</v>
      </c>
      <c r="CH113" s="528">
        <f t="shared" si="71"/>
        <v>576.09561818970849</v>
      </c>
      <c r="CI113" s="528">
        <f t="shared" si="72"/>
        <v>2383.1719431281203</v>
      </c>
      <c r="CJ113" s="528">
        <f t="shared" si="73"/>
        <v>3389.6585863179266</v>
      </c>
      <c r="CK113" s="528">
        <f t="shared" si="74"/>
        <v>45.897556584927869</v>
      </c>
      <c r="CL113" s="528">
        <f t="shared" si="75"/>
        <v>7883.1466535245554</v>
      </c>
      <c r="CM113" s="646">
        <f t="shared" si="76"/>
        <v>0</v>
      </c>
    </row>
    <row r="114" spans="1:91">
      <c r="A114" s="873">
        <f>'Input data'!A134</f>
        <v>2034</v>
      </c>
      <c r="B114" s="1551">
        <f>'Input data'!B134</f>
        <v>68.342055626742408</v>
      </c>
      <c r="C114" s="1550">
        <f>'Input data'!C134</f>
        <v>3988.7128287659275</v>
      </c>
      <c r="D114" s="1552">
        <f>'Input data'!D134</f>
        <v>41169489.630995624</v>
      </c>
      <c r="E114" s="1454">
        <f t="shared" si="29"/>
        <v>0.86172121212121189</v>
      </c>
      <c r="F114" s="1504">
        <f t="shared" si="30"/>
        <v>0.32960151515151509</v>
      </c>
      <c r="G114" s="1509">
        <f>B114*F114*'Input data'!$C$9</f>
        <v>689.44445633287512</v>
      </c>
      <c r="H114" s="1508">
        <f>'Input data'!I134</f>
        <v>424.26313389388866</v>
      </c>
      <c r="I114" s="1509">
        <f>'Input data'!K134</f>
        <v>28995.014696952203</v>
      </c>
      <c r="J114" s="1509">
        <f t="shared" si="87"/>
        <v>4516.7640866293577</v>
      </c>
      <c r="K114" s="1511">
        <f t="shared" si="78"/>
        <v>8957.7541462727604</v>
      </c>
      <c r="L114" s="1504">
        <f t="shared" si="89"/>
        <v>0.57999999999999996</v>
      </c>
      <c r="M114" s="1504">
        <f t="shared" si="90"/>
        <v>0.437</v>
      </c>
      <c r="N114" s="1504">
        <f t="shared" si="91"/>
        <v>0.71200000000000008</v>
      </c>
      <c r="O114" s="1504">
        <f t="shared" si="92"/>
        <v>0.8</v>
      </c>
      <c r="P114" s="1504">
        <f t="shared" si="92"/>
        <v>0.23600000000000002</v>
      </c>
      <c r="Q114" s="1508">
        <f t="shared" si="36"/>
        <v>0</v>
      </c>
      <c r="R114" s="1509">
        <f t="shared" si="37"/>
        <v>0</v>
      </c>
      <c r="S114" s="1509">
        <f t="shared" si="38"/>
        <v>0</v>
      </c>
      <c r="T114" s="1509">
        <f t="shared" si="39"/>
        <v>0</v>
      </c>
      <c r="U114" s="1511">
        <f t="shared" si="40"/>
        <v>0</v>
      </c>
      <c r="V114" s="1509">
        <f t="shared" si="10"/>
        <v>0</v>
      </c>
      <c r="W114" s="1454">
        <f t="shared" si="86"/>
        <v>0.5</v>
      </c>
      <c r="X114" s="530">
        <f t="shared" si="41"/>
        <v>3033.4854703020706</v>
      </c>
      <c r="Y114" s="528">
        <f t="shared" si="79"/>
        <v>3033.4854703020706</v>
      </c>
      <c r="Z114" s="528">
        <f t="shared" si="80"/>
        <v>10441.032762600047</v>
      </c>
      <c r="AA114" s="530">
        <f t="shared" si="81"/>
        <v>5924.2686759706894</v>
      </c>
      <c r="AB114" s="1091">
        <f t="shared" si="42"/>
        <v>0.56740255592258249</v>
      </c>
      <c r="AC114" s="135" t="str">
        <f t="shared" si="43"/>
        <v>Yes</v>
      </c>
      <c r="AD114" s="1091">
        <f t="shared" si="44"/>
        <v>0.56740255592258249</v>
      </c>
      <c r="AE114" s="649">
        <f t="shared" si="11"/>
        <v>0.29553484457555457</v>
      </c>
      <c r="AF114" s="530">
        <f t="shared" si="45"/>
        <v>298.87859455942061</v>
      </c>
      <c r="AG114" s="527">
        <f t="shared" si="46"/>
        <v>4516.7640866293577</v>
      </c>
      <c r="AH114" s="528">
        <f t="shared" si="82"/>
        <v>7947.9557776292586</v>
      </c>
      <c r="AI114" s="528">
        <f t="shared" si="83"/>
        <v>6437.6604656145792</v>
      </c>
      <c r="AJ114" s="528">
        <f t="shared" si="12"/>
        <v>1523.5972051493175</v>
      </c>
      <c r="AK114" s="528">
        <f t="shared" si="47"/>
        <v>20425.977535022514</v>
      </c>
      <c r="AL114" s="716">
        <f t="shared" si="13"/>
        <v>0</v>
      </c>
      <c r="AM114" s="649">
        <f t="shared" si="48"/>
        <v>0.22112841742261219</v>
      </c>
      <c r="AN114" s="417">
        <f t="shared" si="49"/>
        <v>0.38911017913349027</v>
      </c>
      <c r="AO114" s="417">
        <f t="shared" si="50"/>
        <v>0.31517025095012097</v>
      </c>
      <c r="AP114" s="417">
        <f t="shared" si="51"/>
        <v>7.45911524937765E-2</v>
      </c>
      <c r="AQ114" s="525">
        <f t="shared" si="52"/>
        <v>0.99999999999999989</v>
      </c>
      <c r="AR114" s="1086">
        <f t="shared" si="14"/>
        <v>820.50895159820595</v>
      </c>
      <c r="AS114" s="938">
        <f t="shared" si="15"/>
        <v>1040.6273283401742</v>
      </c>
      <c r="AT114" s="938">
        <f t="shared" si="16"/>
        <v>343.90323117748568</v>
      </c>
      <c r="AU114" s="938">
        <f t="shared" si="17"/>
        <v>0</v>
      </c>
      <c r="AV114" s="938">
        <f t="shared" si="18"/>
        <v>0</v>
      </c>
      <c r="AW114" s="938">
        <f t="shared" si="19"/>
        <v>0</v>
      </c>
      <c r="AX114" s="938">
        <f t="shared" si="20"/>
        <v>1463.7683384110865</v>
      </c>
      <c r="AY114" s="938">
        <f t="shared" si="21"/>
        <v>211.62752785481737</v>
      </c>
      <c r="AZ114" s="938">
        <f t="shared" si="22"/>
        <v>307.59951932281928</v>
      </c>
      <c r="BA114" s="938">
        <f t="shared" si="23"/>
        <v>270.40439557510547</v>
      </c>
      <c r="BB114" s="938">
        <f t="shared" si="24"/>
        <v>58.324794349661992</v>
      </c>
      <c r="BC114" s="530">
        <f t="shared" si="53"/>
        <v>4516.7640866293568</v>
      </c>
      <c r="BD114" s="724">
        <f t="shared" si="54"/>
        <v>0</v>
      </c>
      <c r="BE114" s="436">
        <f t="shared" si="55"/>
        <v>0.18165858031573931</v>
      </c>
      <c r="BF114" s="624">
        <f t="shared" si="56"/>
        <v>0.23039222513760824</v>
      </c>
      <c r="BG114" s="624">
        <f t="shared" si="57"/>
        <v>7.6139294543967215E-2</v>
      </c>
      <c r="BH114" s="624">
        <f t="shared" si="58"/>
        <v>0</v>
      </c>
      <c r="BI114" s="624">
        <f t="shared" si="59"/>
        <v>0</v>
      </c>
      <c r="BJ114" s="624">
        <f t="shared" si="60"/>
        <v>0</v>
      </c>
      <c r="BK114" s="624">
        <f t="shared" si="61"/>
        <v>0.51180990000268523</v>
      </c>
      <c r="BL114" s="624">
        <f t="shared" si="62"/>
        <v>1</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82.799692629387508</v>
      </c>
      <c r="BW114" s="114">
        <f t="shared" si="65"/>
        <v>0.54767518329973663</v>
      </c>
      <c r="BX114" s="1689">
        <f t="shared" si="25"/>
        <v>41.169489630995621</v>
      </c>
      <c r="BY114" s="527">
        <f t="shared" si="66"/>
        <v>82.799692629387508</v>
      </c>
      <c r="BZ114" s="417">
        <f t="shared" si="67"/>
        <v>0.54767518329973663</v>
      </c>
      <c r="CA114" s="544">
        <f t="shared" si="26"/>
        <v>41.169489630995621</v>
      </c>
      <c r="CB114" s="649">
        <f t="shared" si="27"/>
        <v>0.29553484457555457</v>
      </c>
      <c r="CC114" s="525">
        <f t="shared" si="68"/>
        <v>0.3004127271051904</v>
      </c>
      <c r="CD114" s="417">
        <f t="shared" si="28"/>
        <v>0.29553484457555457</v>
      </c>
      <c r="CE114" s="525">
        <f t="shared" si="69"/>
        <v>0.3004127271051904</v>
      </c>
      <c r="CG114" s="527">
        <f t="shared" si="70"/>
        <v>1500.5587874746852</v>
      </c>
      <c r="CH114" s="528">
        <f t="shared" si="71"/>
        <v>580.83183001683972</v>
      </c>
      <c r="CI114" s="528">
        <f t="shared" si="72"/>
        <v>2402.7645364177529</v>
      </c>
      <c r="CJ114" s="528">
        <f t="shared" si="73"/>
        <v>3417.525732985182</v>
      </c>
      <c r="CK114" s="528">
        <f t="shared" si="74"/>
        <v>46.27489073479876</v>
      </c>
      <c r="CL114" s="528">
        <f t="shared" si="75"/>
        <v>7947.9557776292586</v>
      </c>
      <c r="CM114" s="646">
        <f t="shared" si="76"/>
        <v>0</v>
      </c>
    </row>
    <row r="115" spans="1:91">
      <c r="A115" s="873">
        <f>'Input data'!A135</f>
        <v>2035</v>
      </c>
      <c r="B115" s="1551">
        <f>'Input data'!B135</f>
        <v>68.88733085860035</v>
      </c>
      <c r="C115" s="1550">
        <f>'Input data'!C135</f>
        <v>4088.0370257470286</v>
      </c>
      <c r="D115" s="1552">
        <f>'Input data'!D135</f>
        <v>33008995.481321324</v>
      </c>
      <c r="E115" s="1454">
        <f t="shared" si="29"/>
        <v>0.87036363636363612</v>
      </c>
      <c r="F115" s="1504">
        <f t="shared" si="30"/>
        <v>0.33195454545454539</v>
      </c>
      <c r="G115" s="1509">
        <f>B115*F115*'Input data'!$C$9</f>
        <v>699.90649607006878</v>
      </c>
      <c r="H115" s="1508">
        <f>'Input data'!I135</f>
        <v>424.26313389388866</v>
      </c>
      <c r="I115" s="1509">
        <f>'Input data'!K135</f>
        <v>29226.354875654968</v>
      </c>
      <c r="J115" s="1509">
        <f t="shared" si="87"/>
        <v>4252.9511730415979</v>
      </c>
      <c r="K115" s="1511">
        <f t="shared" si="78"/>
        <v>9329.0751086928212</v>
      </c>
      <c r="L115" s="1504">
        <f t="shared" si="89"/>
        <v>0.57999999999999996</v>
      </c>
      <c r="M115" s="1504">
        <f t="shared" si="90"/>
        <v>0.437</v>
      </c>
      <c r="N115" s="1504">
        <f t="shared" si="91"/>
        <v>0.71200000000000008</v>
      </c>
      <c r="O115" s="1504">
        <f t="shared" si="92"/>
        <v>0.8</v>
      </c>
      <c r="P115" s="1504">
        <f t="shared" si="92"/>
        <v>0.23600000000000002</v>
      </c>
      <c r="Q115" s="1508">
        <f t="shared" si="36"/>
        <v>0</v>
      </c>
      <c r="R115" s="1509">
        <f t="shared" si="37"/>
        <v>0</v>
      </c>
      <c r="S115" s="1509">
        <f t="shared" si="38"/>
        <v>0</v>
      </c>
      <c r="T115" s="1509">
        <f t="shared" si="39"/>
        <v>0</v>
      </c>
      <c r="U115" s="1511">
        <f t="shared" si="40"/>
        <v>0</v>
      </c>
      <c r="V115" s="1509">
        <f t="shared" si="10"/>
        <v>0</v>
      </c>
      <c r="W115" s="1454">
        <f t="shared" si="86"/>
        <v>0.5</v>
      </c>
      <c r="X115" s="530">
        <f t="shared" si="41"/>
        <v>3033.4854703020706</v>
      </c>
      <c r="Y115" s="528">
        <f t="shared" si="79"/>
        <v>3033.4854703020706</v>
      </c>
      <c r="Z115" s="528">
        <f t="shared" si="80"/>
        <v>10548.540811432349</v>
      </c>
      <c r="AA115" s="530">
        <f t="shared" si="81"/>
        <v>6295.5896383907511</v>
      </c>
      <c r="AB115" s="1091">
        <f t="shared" si="42"/>
        <v>0.59682090167084401</v>
      </c>
      <c r="AC115" s="135" t="str">
        <f t="shared" si="43"/>
        <v>Yes</v>
      </c>
      <c r="AD115" s="1091">
        <f t="shared" si="44"/>
        <v>0.59682090167084401</v>
      </c>
      <c r="AE115" s="649">
        <f t="shared" si="11"/>
        <v>0.3111252742728734</v>
      </c>
      <c r="AF115" s="530">
        <f t="shared" si="45"/>
        <v>292.26414999728377</v>
      </c>
      <c r="AG115" s="527">
        <f t="shared" si="46"/>
        <v>4252.9511730415979</v>
      </c>
      <c r="AH115" s="528">
        <f t="shared" si="82"/>
        <v>8011.3694895771869</v>
      </c>
      <c r="AI115" s="528">
        <f t="shared" si="83"/>
        <v>6437.6604656145792</v>
      </c>
      <c r="AJ115" s="528">
        <f t="shared" si="12"/>
        <v>1431.316070737121</v>
      </c>
      <c r="AK115" s="528">
        <f t="shared" si="47"/>
        <v>20133.297198970486</v>
      </c>
      <c r="AL115" s="716">
        <f t="shared" si="13"/>
        <v>0</v>
      </c>
      <c r="AM115" s="649">
        <f t="shared" si="48"/>
        <v>0.21123967579731909</v>
      </c>
      <c r="AN115" s="417">
        <f t="shared" si="49"/>
        <v>0.39791641728642674</v>
      </c>
      <c r="AO115" s="417">
        <f t="shared" si="50"/>
        <v>0.31975192150562243</v>
      </c>
      <c r="AP115" s="417">
        <f t="shared" si="51"/>
        <v>7.1091985410631664E-2</v>
      </c>
      <c r="AQ115" s="525">
        <f t="shared" si="52"/>
        <v>0.99999999999999989</v>
      </c>
      <c r="AR115" s="1086">
        <f t="shared" si="14"/>
        <v>775.11444368419518</v>
      </c>
      <c r="AS115" s="938">
        <f t="shared" si="15"/>
        <v>983.05481142873668</v>
      </c>
      <c r="AT115" s="938">
        <f t="shared" si="16"/>
        <v>323.07372309370834</v>
      </c>
      <c r="AU115" s="938">
        <f t="shared" si="17"/>
        <v>0</v>
      </c>
      <c r="AV115" s="938">
        <f t="shared" si="18"/>
        <v>0</v>
      </c>
      <c r="AW115" s="938">
        <f t="shared" si="19"/>
        <v>0</v>
      </c>
      <c r="AX115" s="938">
        <f t="shared" si="20"/>
        <v>1375.110914829115</v>
      </c>
      <c r="AY115" s="938">
        <f t="shared" si="21"/>
        <v>198.80968579177861</v>
      </c>
      <c r="AZ115" s="938">
        <f t="shared" si="22"/>
        <v>288.96885204946068</v>
      </c>
      <c r="BA115" s="938">
        <f t="shared" si="23"/>
        <v>254.02656008854748</v>
      </c>
      <c r="BB115" s="938">
        <f t="shared" si="24"/>
        <v>54.792182076054289</v>
      </c>
      <c r="BC115" s="530">
        <f t="shared" si="53"/>
        <v>4252.9511730415961</v>
      </c>
      <c r="BD115" s="724">
        <f t="shared" si="54"/>
        <v>0</v>
      </c>
      <c r="BE115" s="436">
        <f t="shared" si="55"/>
        <v>0.18225331355729019</v>
      </c>
      <c r="BF115" s="624">
        <f t="shared" si="56"/>
        <v>0.23114650778501233</v>
      </c>
      <c r="BG115" s="624">
        <f t="shared" si="57"/>
        <v>7.5964597275791135E-2</v>
      </c>
      <c r="BH115" s="624">
        <f t="shared" si="58"/>
        <v>0</v>
      </c>
      <c r="BI115" s="624">
        <f t="shared" si="59"/>
        <v>0</v>
      </c>
      <c r="BJ115" s="624">
        <f t="shared" si="60"/>
        <v>0</v>
      </c>
      <c r="BK115" s="624">
        <f t="shared" si="61"/>
        <v>0.51063558138190634</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77.078995247419613</v>
      </c>
      <c r="BW115" s="114">
        <f t="shared" si="65"/>
        <v>0.57338137103969855</v>
      </c>
      <c r="BX115" s="1689">
        <f t="shared" si="25"/>
        <v>33.008995481321321</v>
      </c>
      <c r="BY115" s="527">
        <f t="shared" si="66"/>
        <v>77.078995247419613</v>
      </c>
      <c r="BZ115" s="417">
        <f t="shared" si="67"/>
        <v>0.57338137103969855</v>
      </c>
      <c r="CA115" s="544">
        <f t="shared" si="26"/>
        <v>33.008995481321321</v>
      </c>
      <c r="CB115" s="649">
        <f t="shared" si="27"/>
        <v>0.3111252742728734</v>
      </c>
      <c r="CC115" s="525">
        <f t="shared" si="68"/>
        <v>0.30716551766607769</v>
      </c>
      <c r="CD115" s="417">
        <f t="shared" si="28"/>
        <v>0.3111252742728734</v>
      </c>
      <c r="CE115" s="525">
        <f t="shared" si="69"/>
        <v>0.30716551766607769</v>
      </c>
      <c r="CG115" s="527">
        <f t="shared" si="70"/>
        <v>1512.5311745100635</v>
      </c>
      <c r="CH115" s="528">
        <f t="shared" si="71"/>
        <v>585.46606596245806</v>
      </c>
      <c r="CI115" s="528">
        <f t="shared" si="72"/>
        <v>2421.9352794935958</v>
      </c>
      <c r="CJ115" s="528">
        <f t="shared" si="73"/>
        <v>3444.7928691481852</v>
      </c>
      <c r="CK115" s="528">
        <f t="shared" si="74"/>
        <v>46.644100462882278</v>
      </c>
      <c r="CL115" s="528">
        <f t="shared" si="75"/>
        <v>8011.369489577185</v>
      </c>
      <c r="CM115" s="646">
        <f t="shared" si="76"/>
        <v>0</v>
      </c>
    </row>
    <row r="116" spans="1:91">
      <c r="A116" s="873">
        <f>'Input data'!A136</f>
        <v>2036</v>
      </c>
      <c r="B116" s="1551">
        <f>'Input data'!B136</f>
        <v>69.420244147098416</v>
      </c>
      <c r="C116" s="1550">
        <f>'Input data'!C136</f>
        <v>4188.173572206083</v>
      </c>
      <c r="D116" s="1552">
        <f>'Input data'!D136</f>
        <v>23988684.664399058</v>
      </c>
      <c r="E116" s="1454">
        <f t="shared" si="29"/>
        <v>0.87900606060606035</v>
      </c>
      <c r="F116" s="1504">
        <f t="shared" si="30"/>
        <v>0.33430757575757569</v>
      </c>
      <c r="G116" s="1509">
        <f>B116*F116*'Input data'!$C$9</f>
        <v>710.32058695276226</v>
      </c>
      <c r="H116" s="1508">
        <f>'Input data'!I136</f>
        <v>424.26313389388866</v>
      </c>
      <c r="I116" s="1509">
        <f>'Input data'!K136</f>
        <v>29452.450337526854</v>
      </c>
      <c r="J116" s="1509">
        <f t="shared" si="87"/>
        <v>3989.1382594538386</v>
      </c>
      <c r="K116" s="1511">
        <f t="shared" si="78"/>
        <v>9697.9587544464575</v>
      </c>
      <c r="L116" s="1504">
        <f t="shared" si="89"/>
        <v>0.57999999999999996</v>
      </c>
      <c r="M116" s="1504">
        <f t="shared" si="90"/>
        <v>0.437</v>
      </c>
      <c r="N116" s="1504">
        <f t="shared" si="91"/>
        <v>0.71200000000000008</v>
      </c>
      <c r="O116" s="1504">
        <f t="shared" si="92"/>
        <v>0.8</v>
      </c>
      <c r="P116" s="1504">
        <f t="shared" si="92"/>
        <v>0.23600000000000002</v>
      </c>
      <c r="Q116" s="1508">
        <f t="shared" si="36"/>
        <v>0</v>
      </c>
      <c r="R116" s="1509">
        <f t="shared" si="37"/>
        <v>0</v>
      </c>
      <c r="S116" s="1509">
        <f t="shared" si="38"/>
        <v>0</v>
      </c>
      <c r="T116" s="1509">
        <f t="shared" si="39"/>
        <v>0</v>
      </c>
      <c r="U116" s="1511">
        <f t="shared" si="40"/>
        <v>0</v>
      </c>
      <c r="V116" s="1509">
        <f t="shared" si="10"/>
        <v>0</v>
      </c>
      <c r="W116" s="1454">
        <f t="shared" si="86"/>
        <v>0.5</v>
      </c>
      <c r="X116" s="530">
        <f t="shared" si="41"/>
        <v>3033.4854703020706</v>
      </c>
      <c r="Y116" s="528">
        <f t="shared" si="79"/>
        <v>3033.4854703020706</v>
      </c>
      <c r="Z116" s="528">
        <f t="shared" si="80"/>
        <v>10653.611543598226</v>
      </c>
      <c r="AA116" s="530">
        <f t="shared" si="81"/>
        <v>6664.4732841443874</v>
      </c>
      <c r="AB116" s="1091">
        <f t="shared" si="42"/>
        <v>0.62556000440518045</v>
      </c>
      <c r="AC116" s="135" t="str">
        <f t="shared" si="43"/>
        <v>Yes</v>
      </c>
      <c r="AD116" s="1091">
        <f t="shared" si="44"/>
        <v>0.62556000440518045</v>
      </c>
      <c r="AE116" s="649">
        <f t="shared" si="11"/>
        <v>0.3263814198918995</v>
      </c>
      <c r="AF116" s="530">
        <f t="shared" si="45"/>
        <v>285.79152984581418</v>
      </c>
      <c r="AG116" s="527">
        <f t="shared" si="46"/>
        <v>3989.1382594538386</v>
      </c>
      <c r="AH116" s="528">
        <f t="shared" si="82"/>
        <v>8073.3455482638992</v>
      </c>
      <c r="AI116" s="528">
        <f t="shared" si="83"/>
        <v>6437.6604656145792</v>
      </c>
      <c r="AJ116" s="528">
        <f t="shared" si="12"/>
        <v>1339.5735037368668</v>
      </c>
      <c r="AK116" s="528">
        <f t="shared" si="47"/>
        <v>19839.717777069185</v>
      </c>
      <c r="AL116" s="716">
        <f t="shared" si="13"/>
        <v>0</v>
      </c>
      <c r="AM116" s="649">
        <f t="shared" si="48"/>
        <v>0.20106829665009138</v>
      </c>
      <c r="AN116" s="417">
        <f t="shared" si="49"/>
        <v>0.40692844721788834</v>
      </c>
      <c r="AO116" s="417">
        <f t="shared" si="50"/>
        <v>0.32448346987351046</v>
      </c>
      <c r="AP116" s="417">
        <f t="shared" si="51"/>
        <v>6.7519786258509712E-2</v>
      </c>
      <c r="AQ116" s="525">
        <f t="shared" si="52"/>
        <v>1</v>
      </c>
      <c r="AR116" s="1086">
        <f t="shared" si="14"/>
        <v>729.30608643704352</v>
      </c>
      <c r="AS116" s="938">
        <f t="shared" si="15"/>
        <v>924.95742160147859</v>
      </c>
      <c r="AT116" s="938">
        <f t="shared" si="16"/>
        <v>302.36577933976037</v>
      </c>
      <c r="AU116" s="938">
        <f t="shared" si="17"/>
        <v>0</v>
      </c>
      <c r="AV116" s="938">
        <f t="shared" si="18"/>
        <v>0</v>
      </c>
      <c r="AW116" s="938">
        <f t="shared" si="19"/>
        <v>0</v>
      </c>
      <c r="AX116" s="938">
        <f t="shared" si="20"/>
        <v>1286.9709101049864</v>
      </c>
      <c r="AY116" s="938">
        <f t="shared" si="21"/>
        <v>186.0666506984476</v>
      </c>
      <c r="AZ116" s="938">
        <f t="shared" si="22"/>
        <v>270.44691632042122</v>
      </c>
      <c r="BA116" s="938">
        <f t="shared" si="23"/>
        <v>237.74430826085319</v>
      </c>
      <c r="BB116" s="938">
        <f t="shared" si="24"/>
        <v>51.280186690846485</v>
      </c>
      <c r="BC116" s="530">
        <f t="shared" si="53"/>
        <v>3989.1382594538377</v>
      </c>
      <c r="BD116" s="724">
        <f t="shared" si="54"/>
        <v>0</v>
      </c>
      <c r="BE116" s="436">
        <f t="shared" si="55"/>
        <v>0.18282296551358301</v>
      </c>
      <c r="BF116" s="624">
        <f t="shared" si="56"/>
        <v>0.2318689805773031</v>
      </c>
      <c r="BG116" s="624">
        <f t="shared" si="57"/>
        <v>7.5797267398086621E-2</v>
      </c>
      <c r="BH116" s="624">
        <f t="shared" si="58"/>
        <v>0</v>
      </c>
      <c r="BI116" s="624">
        <f t="shared" si="59"/>
        <v>0</v>
      </c>
      <c r="BJ116" s="624">
        <f t="shared" si="60"/>
        <v>0</v>
      </c>
      <c r="BK116" s="624">
        <f t="shared" si="61"/>
        <v>0.50951078651102721</v>
      </c>
      <c r="BL116" s="624">
        <f t="shared" si="62"/>
        <v>1</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74.491631104006146</v>
      </c>
      <c r="BW116" s="114">
        <f t="shared" si="65"/>
        <v>0.57557185167336355</v>
      </c>
      <c r="BX116" s="1689">
        <f t="shared" si="25"/>
        <v>23.988684664399056</v>
      </c>
      <c r="BY116" s="527">
        <f t="shared" si="66"/>
        <v>74.491631104006146</v>
      </c>
      <c r="BZ116" s="417">
        <f t="shared" si="67"/>
        <v>0.57557185167336355</v>
      </c>
      <c r="CA116" s="544">
        <f t="shared" si="26"/>
        <v>23.988684664399056</v>
      </c>
      <c r="CB116" s="649">
        <f t="shared" si="27"/>
        <v>0.3263814198918995</v>
      </c>
      <c r="CC116" s="525">
        <f t="shared" si="68"/>
        <v>0.2652020629830415</v>
      </c>
      <c r="CD116" s="417">
        <f t="shared" si="28"/>
        <v>0.3263814198918995</v>
      </c>
      <c r="CE116" s="525">
        <f t="shared" si="69"/>
        <v>0.2652020629830415</v>
      </c>
      <c r="CG116" s="527">
        <f t="shared" si="70"/>
        <v>1524.23213537061</v>
      </c>
      <c r="CH116" s="528">
        <f t="shared" si="71"/>
        <v>589.99523907204616</v>
      </c>
      <c r="CI116" s="528">
        <f t="shared" si="72"/>
        <v>2440.671402351566</v>
      </c>
      <c r="CJ116" s="528">
        <f t="shared" si="73"/>
        <v>3471.4418316382639</v>
      </c>
      <c r="CK116" s="528">
        <f t="shared" si="74"/>
        <v>47.004939831411896</v>
      </c>
      <c r="CL116" s="528">
        <f t="shared" si="75"/>
        <v>8073.3455482638974</v>
      </c>
      <c r="CM116" s="646">
        <f t="shared" si="76"/>
        <v>0</v>
      </c>
    </row>
    <row r="117" spans="1:91" s="1" customFormat="1">
      <c r="A117" s="873">
        <f>'Input data'!A137</f>
        <v>2037</v>
      </c>
      <c r="B117" s="1551">
        <f>'Input data'!B137</f>
        <v>69.940438284968707</v>
      </c>
      <c r="C117" s="1550">
        <f>'Input data'!C137</f>
        <v>4308.5353934667492</v>
      </c>
      <c r="D117" s="1552">
        <f>'Input data'!D137</f>
        <v>19936802.299321227</v>
      </c>
      <c r="E117" s="1454">
        <f t="shared" si="29"/>
        <v>0.88764848484848458</v>
      </c>
      <c r="F117" s="1504">
        <f t="shared" si="30"/>
        <v>0.33666060606060599</v>
      </c>
      <c r="G117" s="1509">
        <f>B117*F117*'Input data'!$C$9</f>
        <v>720.68037734559789</v>
      </c>
      <c r="H117" s="1508">
        <f>'Input data'!I137</f>
        <v>424.26313389388866</v>
      </c>
      <c r="I117" s="1509">
        <f>'Input data'!K137</f>
        <v>29673.149532692936</v>
      </c>
      <c r="J117" s="1509">
        <f>J97*(1-$C$5)</f>
        <v>3900.4110186862777</v>
      </c>
      <c r="K117" s="1511">
        <f t="shared" si="78"/>
        <v>9889.2489826907859</v>
      </c>
      <c r="L117" s="1504">
        <f t="shared" si="89"/>
        <v>0.57999999999999996</v>
      </c>
      <c r="M117" s="1504">
        <f t="shared" si="90"/>
        <v>0.437</v>
      </c>
      <c r="N117" s="1504">
        <f t="shared" si="91"/>
        <v>0.71200000000000008</v>
      </c>
      <c r="O117" s="1504">
        <f t="shared" si="92"/>
        <v>0.8</v>
      </c>
      <c r="P117" s="1504">
        <f>P116</f>
        <v>0.23600000000000002</v>
      </c>
      <c r="Q117" s="1508">
        <f t="shared" si="36"/>
        <v>0</v>
      </c>
      <c r="R117" s="1509">
        <f t="shared" si="37"/>
        <v>0</v>
      </c>
      <c r="S117" s="1509">
        <f t="shared" si="38"/>
        <v>0</v>
      </c>
      <c r="T117" s="1509">
        <f t="shared" si="39"/>
        <v>0</v>
      </c>
      <c r="U117" s="1511">
        <f t="shared" si="40"/>
        <v>0</v>
      </c>
      <c r="V117" s="1509">
        <f t="shared" si="10"/>
        <v>0</v>
      </c>
      <c r="W117" s="1454">
        <f t="shared" si="86"/>
        <v>0.5</v>
      </c>
      <c r="X117" s="530">
        <f t="shared" si="41"/>
        <v>3033.4854703020706</v>
      </c>
      <c r="Y117" s="528">
        <f t="shared" si="79"/>
        <v>3033.4854703020706</v>
      </c>
      <c r="Z117" s="528">
        <f t="shared" si="80"/>
        <v>10756.174531074994</v>
      </c>
      <c r="AA117" s="530">
        <f t="shared" si="81"/>
        <v>6855.7635123887158</v>
      </c>
      <c r="AB117" s="1091">
        <f t="shared" si="42"/>
        <v>0.63737934826012321</v>
      </c>
      <c r="AC117" s="135" t="str">
        <f t="shared" si="43"/>
        <v>Yes</v>
      </c>
      <c r="AD117" s="1091">
        <f t="shared" si="44"/>
        <v>0.63737934826012321</v>
      </c>
      <c r="AE117" s="649">
        <f t="shared" si="11"/>
        <v>0.33344034353106078</v>
      </c>
      <c r="AF117" s="530">
        <f t="shared" si="45"/>
        <v>282.79668878074597</v>
      </c>
      <c r="AG117" s="527">
        <f t="shared" si="46"/>
        <v>3900.4110186862777</v>
      </c>
      <c r="AH117" s="528">
        <f t="shared" si="82"/>
        <v>8133.842411661687</v>
      </c>
      <c r="AI117" s="528">
        <f t="shared" si="83"/>
        <v>6437.6604656145792</v>
      </c>
      <c r="AJ117" s="528">
        <f t="shared" si="12"/>
        <v>1307.0104629007255</v>
      </c>
      <c r="AK117" s="528">
        <f t="shared" si="47"/>
        <v>19778.924358863267</v>
      </c>
      <c r="AL117" s="716">
        <f t="shared" si="13"/>
        <v>0</v>
      </c>
      <c r="AM117" s="649">
        <f t="shared" si="48"/>
        <v>0.19720036074350211</v>
      </c>
      <c r="AN117" s="417">
        <f t="shared" si="49"/>
        <v>0.41123785419689801</v>
      </c>
      <c r="AO117" s="417">
        <f t="shared" si="50"/>
        <v>0.32548081729883133</v>
      </c>
      <c r="AP117" s="417">
        <f t="shared" si="51"/>
        <v>6.6080967760768661E-2</v>
      </c>
      <c r="AQ117" s="525">
        <f t="shared" si="52"/>
        <v>1</v>
      </c>
      <c r="AR117" s="1086">
        <f t="shared" si="14"/>
        <v>715.21168921941535</v>
      </c>
      <c r="AS117" s="938">
        <f t="shared" si="15"/>
        <v>907.08191287902446</v>
      </c>
      <c r="AT117" s="938">
        <f t="shared" si="16"/>
        <v>295.01571665740209</v>
      </c>
      <c r="AU117" s="938">
        <f t="shared" si="17"/>
        <v>0</v>
      </c>
      <c r="AV117" s="938">
        <f t="shared" si="18"/>
        <v>0</v>
      </c>
      <c r="AW117" s="938">
        <f t="shared" si="19"/>
        <v>0</v>
      </c>
      <c r="AX117" s="938">
        <f t="shared" si="20"/>
        <v>1255.6865601355605</v>
      </c>
      <c r="AY117" s="938">
        <f t="shared" si="21"/>
        <v>181.54364697522098</v>
      </c>
      <c r="AZ117" s="938">
        <f t="shared" si="22"/>
        <v>263.87275375630395</v>
      </c>
      <c r="BA117" s="938">
        <f t="shared" si="23"/>
        <v>231.96509749200615</v>
      </c>
      <c r="BB117" s="938">
        <f t="shared" si="24"/>
        <v>50.033641571343303</v>
      </c>
      <c r="BC117" s="530">
        <f t="shared" si="53"/>
        <v>3900.4110186862767</v>
      </c>
      <c r="BD117" s="724">
        <f t="shared" si="54"/>
        <v>0</v>
      </c>
      <c r="BE117" s="436">
        <f t="shared" si="55"/>
        <v>0.18336828754532403</v>
      </c>
      <c r="BF117" s="624">
        <f t="shared" si="56"/>
        <v>0.23256059644312685</v>
      </c>
      <c r="BG117" s="624">
        <f t="shared" si="57"/>
        <v>7.5637084205748217E-2</v>
      </c>
      <c r="BH117" s="624">
        <f t="shared" si="58"/>
        <v>0</v>
      </c>
      <c r="BI117" s="624">
        <f t="shared" si="59"/>
        <v>0</v>
      </c>
      <c r="BJ117" s="624">
        <f t="shared" si="60"/>
        <v>0</v>
      </c>
      <c r="BK117" s="624">
        <f t="shared" si="61"/>
        <v>0.50843403180580093</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73.269594915501798</v>
      </c>
      <c r="BW117" s="114">
        <f t="shared" si="65"/>
        <v>0.58291579503401669</v>
      </c>
      <c r="BX117" s="1689">
        <f t="shared" si="25"/>
        <v>19.936802299321226</v>
      </c>
      <c r="BY117" s="527">
        <f t="shared" si="66"/>
        <v>73.269594915501798</v>
      </c>
      <c r="BZ117" s="417">
        <f t="shared" si="67"/>
        <v>0.58291579503401669</v>
      </c>
      <c r="CA117" s="544">
        <f t="shared" si="26"/>
        <v>19.936802299321226</v>
      </c>
      <c r="CB117" s="649">
        <f t="shared" si="27"/>
        <v>0.33344034353106078</v>
      </c>
      <c r="CC117" s="525">
        <f t="shared" si="68"/>
        <v>0.25472420898162451</v>
      </c>
      <c r="CD117" s="417">
        <f t="shared" si="28"/>
        <v>0.33344034353106078</v>
      </c>
      <c r="CE117" s="525">
        <f t="shared" si="69"/>
        <v>0.25472420898162451</v>
      </c>
      <c r="CG117" s="527">
        <f t="shared" si="70"/>
        <v>1535.6538270012704</v>
      </c>
      <c r="CH117" s="528">
        <f t="shared" si="71"/>
        <v>594.4163134791936</v>
      </c>
      <c r="CI117" s="528">
        <f t="shared" si="72"/>
        <v>2458.9603463270541</v>
      </c>
      <c r="CJ117" s="528">
        <f t="shared" si="73"/>
        <v>3497.4547578813563</v>
      </c>
      <c r="CK117" s="528">
        <f t="shared" si="74"/>
        <v>47.357166972812244</v>
      </c>
      <c r="CL117" s="528">
        <f t="shared" si="75"/>
        <v>8133.842411661687</v>
      </c>
      <c r="CM117" s="646">
        <f t="shared" si="76"/>
        <v>0</v>
      </c>
    </row>
    <row r="118" spans="1:91">
      <c r="A118" s="873">
        <f>'Input data'!A138</f>
        <v>2038</v>
      </c>
      <c r="B118" s="1551">
        <f>'Input data'!B138</f>
        <v>70.447562472153166</v>
      </c>
      <c r="C118" s="1550">
        <f>'Input data'!C138</f>
        <v>4436.6736831338776</v>
      </c>
      <c r="D118" s="1552">
        <f>'Input data'!D138</f>
        <v>16174143.168204505</v>
      </c>
      <c r="E118" s="1454">
        <f t="shared" si="29"/>
        <v>0.89629090909090881</v>
      </c>
      <c r="F118" s="1504">
        <f t="shared" si="30"/>
        <v>0.33901363636363629</v>
      </c>
      <c r="G118" s="1509">
        <f>B118*F118*'Input data'!$C$9</f>
        <v>730.97947919241494</v>
      </c>
      <c r="H118" s="1508">
        <f>'Input data'!I138</f>
        <v>424.26313389388866</v>
      </c>
      <c r="I118" s="1509">
        <f>'Input data'!K138</f>
        <v>29888.303629621205</v>
      </c>
      <c r="J118" s="1509">
        <f t="shared" ref="J118:J126" si="94">($J$127-$J$117)/($A$127-$A$117)+J117</f>
        <v>3733.2505464568658</v>
      </c>
      <c r="K118" s="1511">
        <f t="shared" si="78"/>
        <v>10156.395532949269</v>
      </c>
      <c r="L118" s="1504">
        <f t="shared" si="89"/>
        <v>0.57999999999999996</v>
      </c>
      <c r="M118" s="1504">
        <f t="shared" si="90"/>
        <v>0.437</v>
      </c>
      <c r="N118" s="1504">
        <f t="shared" si="91"/>
        <v>0.71200000000000008</v>
      </c>
      <c r="O118" s="1504">
        <f t="shared" si="92"/>
        <v>0.8</v>
      </c>
      <c r="P118" s="1504">
        <f t="shared" si="92"/>
        <v>0.23600000000000002</v>
      </c>
      <c r="Q118" s="1508">
        <f t="shared" si="36"/>
        <v>0</v>
      </c>
      <c r="R118" s="1509">
        <f t="shared" si="37"/>
        <v>0</v>
      </c>
      <c r="S118" s="1509">
        <f t="shared" si="38"/>
        <v>0</v>
      </c>
      <c r="T118" s="1509">
        <f t="shared" si="39"/>
        <v>0</v>
      </c>
      <c r="U118" s="1511">
        <f t="shared" si="40"/>
        <v>0</v>
      </c>
      <c r="V118" s="1509">
        <f t="shared" si="10"/>
        <v>0</v>
      </c>
      <c r="W118" s="1454">
        <f t="shared" si="86"/>
        <v>0.5</v>
      </c>
      <c r="X118" s="530">
        <f t="shared" si="41"/>
        <v>3033.4854703020706</v>
      </c>
      <c r="Y118" s="528">
        <f t="shared" si="79"/>
        <v>3033.4854703020706</v>
      </c>
      <c r="Z118" s="528">
        <f t="shared" si="80"/>
        <v>10856.160609104065</v>
      </c>
      <c r="AA118" s="530">
        <f t="shared" si="81"/>
        <v>7122.9100626471991</v>
      </c>
      <c r="AB118" s="1091">
        <f t="shared" si="42"/>
        <v>0.65611686480336973</v>
      </c>
      <c r="AC118" s="135" t="str">
        <f t="shared" si="43"/>
        <v>Yes</v>
      </c>
      <c r="AD118" s="1091">
        <f t="shared" si="44"/>
        <v>0.65611686480336973</v>
      </c>
      <c r="AE118" s="649">
        <f t="shared" si="11"/>
        <v>0.3438171775067399</v>
      </c>
      <c r="AF118" s="530">
        <f t="shared" si="45"/>
        <v>278.39418067832781</v>
      </c>
      <c r="AG118" s="527">
        <f t="shared" si="46"/>
        <v>3733.2505464568658</v>
      </c>
      <c r="AH118" s="528">
        <f t="shared" si="82"/>
        <v>8192.8192828802203</v>
      </c>
      <c r="AI118" s="528">
        <f t="shared" si="83"/>
        <v>6437.6604656145792</v>
      </c>
      <c r="AJ118" s="528">
        <f t="shared" si="12"/>
        <v>1248.4611402687246</v>
      </c>
      <c r="AK118" s="528">
        <f t="shared" si="47"/>
        <v>19612.191435220393</v>
      </c>
      <c r="AL118" s="716">
        <f t="shared" si="13"/>
        <v>0</v>
      </c>
      <c r="AM118" s="649">
        <f t="shared" si="48"/>
        <v>0.19035356445443105</v>
      </c>
      <c r="AN118" s="417">
        <f t="shared" si="49"/>
        <v>0.41774114381563771</v>
      </c>
      <c r="AO118" s="417">
        <f t="shared" si="50"/>
        <v>0.32824789044499941</v>
      </c>
      <c r="AP118" s="417">
        <f t="shared" si="51"/>
        <v>6.3657401284931678E-2</v>
      </c>
      <c r="AQ118" s="525">
        <f t="shared" si="52"/>
        <v>0.99999999999999989</v>
      </c>
      <c r="AR118" s="1086">
        <f t="shared" si="14"/>
        <v>686.50740400680172</v>
      </c>
      <c r="AS118" s="938">
        <f t="shared" si="15"/>
        <v>870.67711366929689</v>
      </c>
      <c r="AT118" s="938">
        <f t="shared" si="16"/>
        <v>281.8000838324358</v>
      </c>
      <c r="AU118" s="938">
        <f t="shared" si="17"/>
        <v>0</v>
      </c>
      <c r="AV118" s="938">
        <f t="shared" si="18"/>
        <v>0</v>
      </c>
      <c r="AW118" s="938">
        <f t="shared" si="19"/>
        <v>0</v>
      </c>
      <c r="AX118" s="938">
        <f t="shared" si="20"/>
        <v>1199.4363619765666</v>
      </c>
      <c r="AY118" s="938">
        <f t="shared" si="21"/>
        <v>173.41115082446169</v>
      </c>
      <c r="AZ118" s="938">
        <f t="shared" si="22"/>
        <v>252.05221258084603</v>
      </c>
      <c r="BA118" s="938">
        <f t="shared" si="23"/>
        <v>221.57390345192098</v>
      </c>
      <c r="BB118" s="938">
        <f t="shared" si="24"/>
        <v>47.792316114534778</v>
      </c>
      <c r="BC118" s="530">
        <f t="shared" si="53"/>
        <v>3733.2505464568649</v>
      </c>
      <c r="BD118" s="724">
        <f t="shared" si="54"/>
        <v>0</v>
      </c>
      <c r="BE118" s="436">
        <f t="shared" si="55"/>
        <v>0.18388998955838867</v>
      </c>
      <c r="BF118" s="624">
        <f t="shared" si="56"/>
        <v>0.23322225573518895</v>
      </c>
      <c r="BG118" s="624">
        <f t="shared" si="57"/>
        <v>7.5483839170635156E-2</v>
      </c>
      <c r="BH118" s="624">
        <f t="shared" si="58"/>
        <v>0</v>
      </c>
      <c r="BI118" s="624">
        <f t="shared" si="59"/>
        <v>0</v>
      </c>
      <c r="BJ118" s="624">
        <f t="shared" si="60"/>
        <v>0</v>
      </c>
      <c r="BK118" s="624">
        <f t="shared" si="61"/>
        <v>0.50740391553578712</v>
      </c>
      <c r="BL118" s="624">
        <f t="shared" si="62"/>
        <v>0.99999999999999989</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72.073256676196024</v>
      </c>
      <c r="BW118" s="114">
        <f t="shared" si="65"/>
        <v>0.59127250290536937</v>
      </c>
      <c r="BX118" s="1689">
        <f t="shared" si="25"/>
        <v>16.174143168204505</v>
      </c>
      <c r="BY118" s="527">
        <f t="shared" si="66"/>
        <v>72.073256676196024</v>
      </c>
      <c r="BZ118" s="417">
        <f t="shared" si="67"/>
        <v>0.59127250290536937</v>
      </c>
      <c r="CA118" s="544">
        <f t="shared" si="26"/>
        <v>16.174143168204505</v>
      </c>
      <c r="CB118" s="649">
        <f t="shared" si="27"/>
        <v>0.3438171775067399</v>
      </c>
      <c r="CC118" s="525">
        <f t="shared" si="68"/>
        <v>0.24572851431527698</v>
      </c>
      <c r="CD118" s="417">
        <f t="shared" si="28"/>
        <v>0.3438171775067399</v>
      </c>
      <c r="CE118" s="525">
        <f t="shared" si="69"/>
        <v>0.24572851431527698</v>
      </c>
      <c r="CG118" s="527">
        <f t="shared" si="70"/>
        <v>1546.7885470274971</v>
      </c>
      <c r="CH118" s="528">
        <f t="shared" si="71"/>
        <v>598.72630777168149</v>
      </c>
      <c r="CI118" s="528">
        <f t="shared" si="72"/>
        <v>2476.789778019619</v>
      </c>
      <c r="CJ118" s="528">
        <f t="shared" si="73"/>
        <v>3522.8141057035473</v>
      </c>
      <c r="CK118" s="528">
        <f t="shared" si="74"/>
        <v>47.700544357875145</v>
      </c>
      <c r="CL118" s="528">
        <f t="shared" si="75"/>
        <v>8192.8192828802203</v>
      </c>
      <c r="CM118" s="646">
        <f t="shared" si="76"/>
        <v>0</v>
      </c>
    </row>
    <row r="119" spans="1:91">
      <c r="A119" s="873">
        <f>'Input data'!A139</f>
        <v>2039</v>
      </c>
      <c r="B119" s="1551">
        <f>'Input data'!B139</f>
        <v>70.942722252264574</v>
      </c>
      <c r="C119" s="1550">
        <f>'Input data'!C139</f>
        <v>4572.7379558768307</v>
      </c>
      <c r="D119" s="1552">
        <f>'Input data'!D139</f>
        <v>12411484.037087778</v>
      </c>
      <c r="E119" s="1454">
        <f t="shared" si="29"/>
        <v>0.90493333333333303</v>
      </c>
      <c r="F119" s="1504">
        <f t="shared" si="30"/>
        <v>0.3413666666666666</v>
      </c>
      <c r="G119" s="1509">
        <f>B119*F119*'Input data'!$C$9</f>
        <v>741.22661960823496</v>
      </c>
      <c r="H119" s="1508">
        <f>'Input data'!I139</f>
        <v>424.26313389388866</v>
      </c>
      <c r="I119" s="1509">
        <f>'Input data'!K139</f>
        <v>30098.381669709481</v>
      </c>
      <c r="J119" s="1509">
        <f t="shared" si="94"/>
        <v>3566.0900742274539</v>
      </c>
      <c r="K119" s="1511">
        <f t="shared" si="78"/>
        <v>10421.183145950552</v>
      </c>
      <c r="L119" s="1504">
        <f t="shared" si="89"/>
        <v>0.57999999999999996</v>
      </c>
      <c r="M119" s="1504">
        <f t="shared" si="90"/>
        <v>0.437</v>
      </c>
      <c r="N119" s="1504">
        <f t="shared" si="91"/>
        <v>0.71200000000000008</v>
      </c>
      <c r="O119" s="1504">
        <f t="shared" si="92"/>
        <v>0.8</v>
      </c>
      <c r="P119" s="1504">
        <f t="shared" si="92"/>
        <v>0.23600000000000002</v>
      </c>
      <c r="Q119" s="1508">
        <f t="shared" si="36"/>
        <v>0</v>
      </c>
      <c r="R119" s="1509">
        <f t="shared" si="37"/>
        <v>0</v>
      </c>
      <c r="S119" s="1509">
        <f t="shared" si="38"/>
        <v>0</v>
      </c>
      <c r="T119" s="1509">
        <f t="shared" si="39"/>
        <v>0</v>
      </c>
      <c r="U119" s="1511">
        <f t="shared" si="40"/>
        <v>0</v>
      </c>
      <c r="V119" s="1509">
        <f t="shared" si="10"/>
        <v>0</v>
      </c>
      <c r="W119" s="1454">
        <f t="shared" si="86"/>
        <v>0.5</v>
      </c>
      <c r="X119" s="530">
        <f t="shared" si="41"/>
        <v>3033.4854703020706</v>
      </c>
      <c r="Y119" s="528">
        <f t="shared" si="79"/>
        <v>3033.4854703020706</v>
      </c>
      <c r="Z119" s="528">
        <f t="shared" si="80"/>
        <v>10953.787749875935</v>
      </c>
      <c r="AA119" s="530">
        <f t="shared" si="81"/>
        <v>7387.6976756484819</v>
      </c>
      <c r="AB119" s="1091">
        <f t="shared" si="42"/>
        <v>0.67444228830635833</v>
      </c>
      <c r="AC119" s="135" t="str">
        <f t="shared" si="43"/>
        <v>Yes</v>
      </c>
      <c r="AD119" s="1091">
        <f t="shared" si="44"/>
        <v>0.67444228830635833</v>
      </c>
      <c r="AE119" s="649">
        <f t="shared" si="11"/>
        <v>0.35397211551867103</v>
      </c>
      <c r="AF119" s="530">
        <f t="shared" si="45"/>
        <v>274.08581485288772</v>
      </c>
      <c r="AG119" s="527">
        <f t="shared" si="46"/>
        <v>3566.0900742274539</v>
      </c>
      <c r="AH119" s="528">
        <f t="shared" si="82"/>
        <v>8250.4047329972072</v>
      </c>
      <c r="AI119" s="528">
        <f t="shared" si="83"/>
        <v>6437.6604656145792</v>
      </c>
      <c r="AJ119" s="528">
        <f t="shared" si="12"/>
        <v>1190.2385635547844</v>
      </c>
      <c r="AK119" s="528">
        <f t="shared" si="47"/>
        <v>19444.393836394025</v>
      </c>
      <c r="AL119" s="716">
        <f t="shared" si="13"/>
        <v>0</v>
      </c>
      <c r="AM119" s="649">
        <f t="shared" si="48"/>
        <v>0.18339939543668426</v>
      </c>
      <c r="AN119" s="417">
        <f t="shared" si="49"/>
        <v>0.4243076334709362</v>
      </c>
      <c r="AO119" s="417">
        <f t="shared" si="50"/>
        <v>0.33108054279199106</v>
      </c>
      <c r="AP119" s="417">
        <f t="shared" si="51"/>
        <v>6.121242830038845E-2</v>
      </c>
      <c r="AQ119" s="525">
        <f t="shared" si="52"/>
        <v>1</v>
      </c>
      <c r="AR119" s="1086">
        <f t="shared" si="14"/>
        <v>657.55203865584792</v>
      </c>
      <c r="AS119" s="938">
        <f t="shared" si="15"/>
        <v>833.95387691778353</v>
      </c>
      <c r="AT119" s="938">
        <f t="shared" si="16"/>
        <v>268.6582034248508</v>
      </c>
      <c r="AU119" s="938">
        <f t="shared" si="17"/>
        <v>0</v>
      </c>
      <c r="AV119" s="938">
        <f t="shared" si="18"/>
        <v>0</v>
      </c>
      <c r="AW119" s="938">
        <f t="shared" si="19"/>
        <v>0</v>
      </c>
      <c r="AX119" s="938">
        <f t="shared" si="20"/>
        <v>1143.5000790229467</v>
      </c>
      <c r="AY119" s="938">
        <f t="shared" si="21"/>
        <v>165.32403965514112</v>
      </c>
      <c r="AZ119" s="938">
        <f t="shared" si="22"/>
        <v>240.29763824163354</v>
      </c>
      <c r="BA119" s="938">
        <f t="shared" si="23"/>
        <v>211.24069949752325</v>
      </c>
      <c r="BB119" s="938">
        <f t="shared" si="24"/>
        <v>45.563498811725943</v>
      </c>
      <c r="BC119" s="530">
        <f t="shared" si="53"/>
        <v>3566.0900742274525</v>
      </c>
      <c r="BD119" s="724">
        <f t="shared" si="54"/>
        <v>0</v>
      </c>
      <c r="BE119" s="436">
        <f t="shared" si="55"/>
        <v>0.18439019345250221</v>
      </c>
      <c r="BF119" s="624">
        <f t="shared" si="56"/>
        <v>0.23385664959639274</v>
      </c>
      <c r="BG119" s="624">
        <f t="shared" si="57"/>
        <v>7.5336909004759825E-2</v>
      </c>
      <c r="BH119" s="624">
        <f t="shared" si="58"/>
        <v>0</v>
      </c>
      <c r="BI119" s="624">
        <f t="shared" si="59"/>
        <v>0</v>
      </c>
      <c r="BJ119" s="624">
        <f t="shared" si="60"/>
        <v>0</v>
      </c>
      <c r="BK119" s="624">
        <f t="shared" si="61"/>
        <v>0.50641624794634543</v>
      </c>
      <c r="BL119" s="624">
        <f t="shared" si="62"/>
        <v>1.0000000000000002</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70.949224741997497</v>
      </c>
      <c r="BW119" s="114">
        <f t="shared" si="65"/>
        <v>0.59985774171973827</v>
      </c>
      <c r="BX119" s="1689">
        <f t="shared" si="25"/>
        <v>12.411484037087778</v>
      </c>
      <c r="BY119" s="527">
        <f t="shared" si="66"/>
        <v>70.949224741997497</v>
      </c>
      <c r="BZ119" s="417">
        <f t="shared" si="67"/>
        <v>0.59985774171973827</v>
      </c>
      <c r="CA119" s="544">
        <f t="shared" si="26"/>
        <v>12.411484037087778</v>
      </c>
      <c r="CB119" s="649">
        <f t="shared" si="27"/>
        <v>0.35397211551867103</v>
      </c>
      <c r="CC119" s="525">
        <f t="shared" si="68"/>
        <v>0.23613147101513454</v>
      </c>
      <c r="CD119" s="417">
        <f t="shared" si="28"/>
        <v>0.35397211551867103</v>
      </c>
      <c r="CE119" s="525">
        <f t="shared" si="69"/>
        <v>0.23613147101513454</v>
      </c>
      <c r="CG119" s="527">
        <f t="shared" si="70"/>
        <v>1557.6605694218524</v>
      </c>
      <c r="CH119" s="528">
        <f t="shared" si="71"/>
        <v>602.93461784657359</v>
      </c>
      <c r="CI119" s="528">
        <f t="shared" si="72"/>
        <v>2494.198566043352</v>
      </c>
      <c r="CJ119" s="528">
        <f t="shared" si="73"/>
        <v>3547.5751591274052</v>
      </c>
      <c r="CK119" s="528">
        <f t="shared" si="74"/>
        <v>48.03582055802439</v>
      </c>
      <c r="CL119" s="528">
        <f t="shared" si="75"/>
        <v>8250.4047329972091</v>
      </c>
      <c r="CM119" s="646">
        <f t="shared" si="76"/>
        <v>0</v>
      </c>
    </row>
    <row r="120" spans="1:91">
      <c r="A120" s="873">
        <f>'Input data'!A140</f>
        <v>2040</v>
      </c>
      <c r="B120" s="1551">
        <f>'Input data'!B140</f>
        <v>71.425610993241406</v>
      </c>
      <c r="C120" s="1550">
        <f>'Input data'!C140</f>
        <v>4714.8820680263625</v>
      </c>
      <c r="D120" s="1552">
        <f>'Input data'!D140</f>
        <v>8648824.905971054</v>
      </c>
      <c r="E120" s="1454">
        <f t="shared" si="29"/>
        <v>0.91357575757575726</v>
      </c>
      <c r="F120" s="1504">
        <f t="shared" si="30"/>
        <v>0.3437196969696969</v>
      </c>
      <c r="G120" s="1509">
        <f>B120*F120*'Input data'!$C$9</f>
        <v>751.41598773543024</v>
      </c>
      <c r="H120" s="1508">
        <f>'Input data'!I140</f>
        <v>424.26313389388866</v>
      </c>
      <c r="I120" s="1509">
        <f>'Input data'!K140</f>
        <v>30303.253560278386</v>
      </c>
      <c r="J120" s="1509">
        <f t="shared" si="94"/>
        <v>3398.929601998042</v>
      </c>
      <c r="K120" s="1511">
        <f t="shared" si="78"/>
        <v>10683.551365226562</v>
      </c>
      <c r="L120" s="1504">
        <f t="shared" si="89"/>
        <v>0.57999999999999996</v>
      </c>
      <c r="M120" s="1504">
        <f t="shared" si="90"/>
        <v>0.437</v>
      </c>
      <c r="N120" s="1504">
        <f t="shared" si="91"/>
        <v>0.71200000000000008</v>
      </c>
      <c r="O120" s="1504">
        <f t="shared" si="92"/>
        <v>0.8</v>
      </c>
      <c r="P120" s="1504">
        <f t="shared" si="92"/>
        <v>0.23600000000000002</v>
      </c>
      <c r="Q120" s="1508">
        <f t="shared" si="36"/>
        <v>0</v>
      </c>
      <c r="R120" s="1509">
        <f t="shared" si="37"/>
        <v>0</v>
      </c>
      <c r="S120" s="1509">
        <f t="shared" si="38"/>
        <v>0</v>
      </c>
      <c r="T120" s="1509">
        <f t="shared" si="39"/>
        <v>0</v>
      </c>
      <c r="U120" s="1511">
        <f t="shared" si="40"/>
        <v>0</v>
      </c>
      <c r="V120" s="1509">
        <f t="shared" si="10"/>
        <v>0</v>
      </c>
      <c r="W120" s="1454">
        <f t="shared" si="86"/>
        <v>0.5</v>
      </c>
      <c r="X120" s="530">
        <f t="shared" si="41"/>
        <v>3033.4854703020706</v>
      </c>
      <c r="Y120" s="528">
        <f t="shared" si="79"/>
        <v>3033.4854703020706</v>
      </c>
      <c r="Z120" s="528">
        <f t="shared" si="80"/>
        <v>11048.995496922535</v>
      </c>
      <c r="AA120" s="530">
        <f t="shared" si="81"/>
        <v>7650.0658949244926</v>
      </c>
      <c r="AB120" s="1091">
        <f t="shared" si="42"/>
        <v>0.69237659632092874</v>
      </c>
      <c r="AC120" s="135" t="str">
        <f t="shared" si="43"/>
        <v>Yes</v>
      </c>
      <c r="AD120" s="1091">
        <f t="shared" si="44"/>
        <v>0.69237659632092874</v>
      </c>
      <c r="AE120" s="649">
        <f t="shared" si="11"/>
        <v>0.36391387047670576</v>
      </c>
      <c r="AF120" s="530">
        <f t="shared" si="45"/>
        <v>269.86789473798677</v>
      </c>
      <c r="AG120" s="527">
        <f t="shared" si="46"/>
        <v>3398.929601998042</v>
      </c>
      <c r="AH120" s="528">
        <f t="shared" si="82"/>
        <v>8306.5631017147134</v>
      </c>
      <c r="AI120" s="528">
        <f t="shared" si="83"/>
        <v>6437.6604656145792</v>
      </c>
      <c r="AJ120" s="528">
        <f t="shared" si="12"/>
        <v>1132.3260997931295</v>
      </c>
      <c r="AK120" s="528">
        <f t="shared" si="47"/>
        <v>19275.479269120464</v>
      </c>
      <c r="AL120" s="716">
        <f t="shared" si="13"/>
        <v>0</v>
      </c>
      <c r="AM120" s="649">
        <f t="shared" si="48"/>
        <v>0.17633437563563806</v>
      </c>
      <c r="AN120" s="417">
        <f t="shared" si="49"/>
        <v>0.43093938084444527</v>
      </c>
      <c r="AO120" s="417">
        <f t="shared" si="50"/>
        <v>0.33398186243429934</v>
      </c>
      <c r="AP120" s="417">
        <f t="shared" si="51"/>
        <v>5.8744381085617352E-2</v>
      </c>
      <c r="AQ120" s="525">
        <f t="shared" si="52"/>
        <v>0.99999999999999989</v>
      </c>
      <c r="AR120" s="1086">
        <f t="shared" si="14"/>
        <v>628.35837437395912</v>
      </c>
      <c r="AS120" s="938">
        <f t="shared" si="15"/>
        <v>796.92841265325933</v>
      </c>
      <c r="AT120" s="938">
        <f t="shared" si="16"/>
        <v>255.58632107578183</v>
      </c>
      <c r="AU120" s="938">
        <f t="shared" si="17"/>
        <v>0</v>
      </c>
      <c r="AV120" s="938">
        <f t="shared" si="18"/>
        <v>0</v>
      </c>
      <c r="AW120" s="938">
        <f t="shared" si="19"/>
        <v>0</v>
      </c>
      <c r="AX120" s="938">
        <f t="shared" si="20"/>
        <v>1087.861731454974</v>
      </c>
      <c r="AY120" s="938">
        <f t="shared" si="21"/>
        <v>157.28000314966616</v>
      </c>
      <c r="AZ120" s="938">
        <f t="shared" si="22"/>
        <v>228.60567270397073</v>
      </c>
      <c r="BA120" s="938">
        <f t="shared" si="23"/>
        <v>200.96253364974535</v>
      </c>
      <c r="BB120" s="938">
        <f t="shared" si="24"/>
        <v>43.346552936684297</v>
      </c>
      <c r="BC120" s="530">
        <f t="shared" si="53"/>
        <v>3398.9296019980411</v>
      </c>
      <c r="BD120" s="724">
        <f t="shared" si="54"/>
        <v>0</v>
      </c>
      <c r="BE120" s="436">
        <f t="shared" si="55"/>
        <v>0.18486948773654574</v>
      </c>
      <c r="BF120" s="624">
        <f t="shared" si="56"/>
        <v>0.23446452441521282</v>
      </c>
      <c r="BG120" s="624">
        <f t="shared" si="57"/>
        <v>7.5196120839200936E-2</v>
      </c>
      <c r="BH120" s="624">
        <f t="shared" si="58"/>
        <v>0</v>
      </c>
      <c r="BI120" s="624">
        <f t="shared" si="59"/>
        <v>0</v>
      </c>
      <c r="BJ120" s="624">
        <f t="shared" si="60"/>
        <v>0</v>
      </c>
      <c r="BK120" s="624">
        <f t="shared" si="61"/>
        <v>0.5054698670090404</v>
      </c>
      <c r="BL120" s="624">
        <f t="shared" si="62"/>
        <v>0.99999999999999989</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69.886833804900618</v>
      </c>
      <c r="BW120" s="114">
        <f t="shared" si="65"/>
        <v>0.6086125807326902</v>
      </c>
      <c r="BX120" s="1689">
        <f t="shared" si="25"/>
        <v>8.648824905971054</v>
      </c>
      <c r="BY120" s="527">
        <f t="shared" si="66"/>
        <v>69.886833804900618</v>
      </c>
      <c r="BZ120" s="417">
        <f t="shared" si="67"/>
        <v>0.6086125807326902</v>
      </c>
      <c r="CA120" s="544">
        <f t="shared" si="26"/>
        <v>8.648824905971054</v>
      </c>
      <c r="CB120" s="649">
        <f t="shared" si="27"/>
        <v>0.36391387047670576</v>
      </c>
      <c r="CC120" s="525">
        <f t="shared" si="68"/>
        <v>0.22581576677277726</v>
      </c>
      <c r="CD120" s="417">
        <f t="shared" si="28"/>
        <v>0.36391387047670576</v>
      </c>
      <c r="CE120" s="525">
        <f t="shared" si="69"/>
        <v>0.22581576677277726</v>
      </c>
      <c r="CG120" s="527">
        <f t="shared" si="70"/>
        <v>1568.2631615885687</v>
      </c>
      <c r="CH120" s="528">
        <f t="shared" si="71"/>
        <v>607.03863767073506</v>
      </c>
      <c r="CI120" s="528">
        <f t="shared" si="72"/>
        <v>2511.1759298527095</v>
      </c>
      <c r="CJ120" s="528">
        <f t="shared" si="73"/>
        <v>3571.7225846521851</v>
      </c>
      <c r="CK120" s="528">
        <f t="shared" si="74"/>
        <v>48.362787950515632</v>
      </c>
      <c r="CL120" s="528">
        <f t="shared" si="75"/>
        <v>8306.5631017147134</v>
      </c>
      <c r="CM120" s="646">
        <f t="shared" si="76"/>
        <v>0</v>
      </c>
    </row>
    <row r="121" spans="1:91">
      <c r="A121" s="873">
        <f>'Input data'!A141</f>
        <v>2041</v>
      </c>
      <c r="B121" s="1551">
        <f>'Input data'!B141</f>
        <v>71.895928013305991</v>
      </c>
      <c r="C121" s="1550">
        <f>'Input data'!C141</f>
        <v>4861.7822977789338</v>
      </c>
      <c r="D121" s="1552">
        <f>'Input data'!D141</f>
        <v>7702881.2953237193</v>
      </c>
      <c r="E121" s="1454">
        <f t="shared" si="29"/>
        <v>0.92221818181818149</v>
      </c>
      <c r="F121" s="1504">
        <f t="shared" si="30"/>
        <v>0.3460727272727272</v>
      </c>
      <c r="G121" s="1509">
        <f>B121*F121*'Input data'!$C$9</f>
        <v>761.54174740959866</v>
      </c>
      <c r="H121" s="1508">
        <f>'Input data'!I141</f>
        <v>424.26313389388866</v>
      </c>
      <c r="I121" s="1509">
        <f>'Input data'!K141</f>
        <v>30502.791733134622</v>
      </c>
      <c r="J121" s="1509">
        <f t="shared" si="94"/>
        <v>3231.7691297686301</v>
      </c>
      <c r="K121" s="1511">
        <f t="shared" si="78"/>
        <v>10943.440907484483</v>
      </c>
      <c r="L121" s="1504">
        <f t="shared" si="89"/>
        <v>0.57999999999999996</v>
      </c>
      <c r="M121" s="1504">
        <f t="shared" si="90"/>
        <v>0.437</v>
      </c>
      <c r="N121" s="1504">
        <f t="shared" si="91"/>
        <v>0.71200000000000008</v>
      </c>
      <c r="O121" s="1504">
        <f t="shared" si="92"/>
        <v>0.8</v>
      </c>
      <c r="P121" s="1504">
        <f t="shared" si="92"/>
        <v>0.23600000000000002</v>
      </c>
      <c r="Q121" s="1508">
        <f t="shared" si="36"/>
        <v>0</v>
      </c>
      <c r="R121" s="1509">
        <f t="shared" si="37"/>
        <v>0</v>
      </c>
      <c r="S121" s="1509">
        <f t="shared" si="38"/>
        <v>0</v>
      </c>
      <c r="T121" s="1509">
        <f t="shared" si="39"/>
        <v>0</v>
      </c>
      <c r="U121" s="1511">
        <f t="shared" si="40"/>
        <v>0</v>
      </c>
      <c r="V121" s="1509">
        <f t="shared" si="10"/>
        <v>0</v>
      </c>
      <c r="W121" s="1454">
        <f t="shared" si="86"/>
        <v>0.5</v>
      </c>
      <c r="X121" s="530">
        <f t="shared" si="41"/>
        <v>3033.4854703020706</v>
      </c>
      <c r="Y121" s="528">
        <f t="shared" si="79"/>
        <v>3033.4854703020706</v>
      </c>
      <c r="Z121" s="528">
        <f t="shared" si="80"/>
        <v>11141.724566951043</v>
      </c>
      <c r="AA121" s="530">
        <f t="shared" si="81"/>
        <v>7909.9554371824124</v>
      </c>
      <c r="AB121" s="1091">
        <f t="shared" si="42"/>
        <v>0.7099399549550155</v>
      </c>
      <c r="AC121" s="135" t="str">
        <f t="shared" si="43"/>
        <v>Yes</v>
      </c>
      <c r="AD121" s="1091">
        <f t="shared" si="44"/>
        <v>0.7099399549550155</v>
      </c>
      <c r="AE121" s="649">
        <f t="shared" si="11"/>
        <v>0.37365087947772324</v>
      </c>
      <c r="AF121" s="530">
        <f t="shared" si="45"/>
        <v>265.73684078446212</v>
      </c>
      <c r="AG121" s="527">
        <f t="shared" si="46"/>
        <v>3231.7691297686301</v>
      </c>
      <c r="AH121" s="528">
        <f t="shared" si="82"/>
        <v>8361.259420733204</v>
      </c>
      <c r="AI121" s="528">
        <f t="shared" si="83"/>
        <v>6437.6604656145792</v>
      </c>
      <c r="AJ121" s="528">
        <f t="shared" si="12"/>
        <v>1074.7077594066334</v>
      </c>
      <c r="AK121" s="528">
        <f t="shared" si="47"/>
        <v>19105.396775523044</v>
      </c>
      <c r="AL121" s="716">
        <f t="shared" si="13"/>
        <v>0</v>
      </c>
      <c r="AM121" s="649">
        <f t="shared" si="48"/>
        <v>0.16915477693240186</v>
      </c>
      <c r="AN121" s="417">
        <f t="shared" si="49"/>
        <v>0.43763861692970779</v>
      </c>
      <c r="AO121" s="417">
        <f t="shared" si="50"/>
        <v>0.33695507825632881</v>
      </c>
      <c r="AP121" s="417">
        <f t="shared" si="51"/>
        <v>5.6251527881561694E-2</v>
      </c>
      <c r="AQ121" s="525">
        <f t="shared" si="52"/>
        <v>1</v>
      </c>
      <c r="AR121" s="1086">
        <f t="shared" si="14"/>
        <v>598.93869797182049</v>
      </c>
      <c r="AS121" s="938">
        <f t="shared" si="15"/>
        <v>759.61630387570392</v>
      </c>
      <c r="AT121" s="938">
        <f t="shared" si="16"/>
        <v>242.58082765072774</v>
      </c>
      <c r="AU121" s="938">
        <f t="shared" si="17"/>
        <v>0</v>
      </c>
      <c r="AV121" s="938">
        <f t="shared" si="18"/>
        <v>0</v>
      </c>
      <c r="AW121" s="938">
        <f t="shared" si="19"/>
        <v>0</v>
      </c>
      <c r="AX121" s="938">
        <f t="shared" si="20"/>
        <v>1032.5059575768771</v>
      </c>
      <c r="AY121" s="938">
        <f t="shared" si="21"/>
        <v>149.27682035707466</v>
      </c>
      <c r="AZ121" s="938">
        <f t="shared" si="22"/>
        <v>216.97308782709848</v>
      </c>
      <c r="BA121" s="938">
        <f t="shared" si="23"/>
        <v>190.73656811660157</v>
      </c>
      <c r="BB121" s="938">
        <f t="shared" si="24"/>
        <v>41.140866392725407</v>
      </c>
      <c r="BC121" s="530">
        <f t="shared" si="53"/>
        <v>3231.7691297686292</v>
      </c>
      <c r="BD121" s="724">
        <f t="shared" si="54"/>
        <v>0</v>
      </c>
      <c r="BE121" s="436">
        <f t="shared" si="55"/>
        <v>0.18532842969964877</v>
      </c>
      <c r="BF121" s="624">
        <f t="shared" si="56"/>
        <v>0.2350465869850322</v>
      </c>
      <c r="BG121" s="624">
        <f t="shared" si="57"/>
        <v>7.5061310975544443E-2</v>
      </c>
      <c r="BH121" s="624">
        <f t="shared" si="58"/>
        <v>0</v>
      </c>
      <c r="BI121" s="624">
        <f t="shared" si="59"/>
        <v>0</v>
      </c>
      <c r="BJ121" s="624">
        <f t="shared" si="60"/>
        <v>0</v>
      </c>
      <c r="BK121" s="624">
        <f t="shared" si="61"/>
        <v>0.50456367233977462</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68.977120525296513</v>
      </c>
      <c r="BW121" s="114">
        <f t="shared" si="65"/>
        <v>0.62477431492191726</v>
      </c>
      <c r="BX121" s="1689">
        <f t="shared" si="25"/>
        <v>7.7028812953237189</v>
      </c>
      <c r="BY121" s="527">
        <f t="shared" si="66"/>
        <v>68.977120525296513</v>
      </c>
      <c r="BZ121" s="417">
        <f t="shared" si="67"/>
        <v>0.62477431492191726</v>
      </c>
      <c r="CA121" s="544">
        <f t="shared" si="26"/>
        <v>7.7028812953237189</v>
      </c>
      <c r="CB121" s="649">
        <f t="shared" si="27"/>
        <v>0.37365087947772324</v>
      </c>
      <c r="CC121" s="525">
        <f t="shared" si="68"/>
        <v>0.2465961388608584</v>
      </c>
      <c r="CD121" s="417">
        <f t="shared" si="28"/>
        <v>0.37365087947772324</v>
      </c>
      <c r="CE121" s="525">
        <f t="shared" si="69"/>
        <v>0.2465961388608584</v>
      </c>
      <c r="CG121" s="527">
        <f t="shared" si="70"/>
        <v>1578.5897215798464</v>
      </c>
      <c r="CH121" s="528">
        <f t="shared" si="71"/>
        <v>611.03581178185857</v>
      </c>
      <c r="CI121" s="528">
        <f t="shared" si="72"/>
        <v>2527.7112981017535</v>
      </c>
      <c r="CJ121" s="528">
        <f t="shared" si="73"/>
        <v>3595.2413463281609</v>
      </c>
      <c r="CK121" s="528">
        <f t="shared" si="74"/>
        <v>48.68124294158396</v>
      </c>
      <c r="CL121" s="528">
        <f t="shared" si="75"/>
        <v>8361.259420733204</v>
      </c>
      <c r="CM121" s="646">
        <f t="shared" si="76"/>
        <v>0</v>
      </c>
    </row>
    <row r="122" spans="1:91">
      <c r="A122" s="873">
        <f>'Input data'!A142</f>
        <v>2042</v>
      </c>
      <c r="B122" s="1551">
        <f>'Input data'!B142</f>
        <v>72.353378891150228</v>
      </c>
      <c r="C122" s="1550">
        <f>'Input data'!C142</f>
        <v>4999.630924015547</v>
      </c>
      <c r="D122" s="1552">
        <f>'Input data'!D142</f>
        <v>6756937.6846763855</v>
      </c>
      <c r="E122" s="1454">
        <f t="shared" si="29"/>
        <v>0.93086060606060572</v>
      </c>
      <c r="F122" s="1504">
        <f t="shared" si="30"/>
        <v>0.3484257575757575</v>
      </c>
      <c r="G122" s="1509">
        <f>B122*F122*'Input data'!$C$9</f>
        <v>771.59804261015711</v>
      </c>
      <c r="H122" s="1508">
        <f>'Input data'!I142</f>
        <v>424.26313389388866</v>
      </c>
      <c r="I122" s="1509">
        <f>'Input data'!K142</f>
        <v>30696.871276171329</v>
      </c>
      <c r="J122" s="1509">
        <f t="shared" si="94"/>
        <v>3064.6086575392183</v>
      </c>
      <c r="K122" s="1511">
        <f t="shared" si="78"/>
        <v>11200.793723763865</v>
      </c>
      <c r="L122" s="1504">
        <f t="shared" si="89"/>
        <v>0.57999999999999996</v>
      </c>
      <c r="M122" s="1504">
        <f t="shared" si="90"/>
        <v>0.437</v>
      </c>
      <c r="N122" s="1504">
        <f t="shared" si="91"/>
        <v>0.71200000000000008</v>
      </c>
      <c r="O122" s="1504">
        <f t="shared" si="92"/>
        <v>0.8</v>
      </c>
      <c r="P122" s="1504">
        <f t="shared" si="92"/>
        <v>0.23600000000000002</v>
      </c>
      <c r="Q122" s="1508">
        <f t="shared" si="36"/>
        <v>0</v>
      </c>
      <c r="R122" s="1509">
        <f t="shared" si="37"/>
        <v>0</v>
      </c>
      <c r="S122" s="1509">
        <f t="shared" si="38"/>
        <v>0</v>
      </c>
      <c r="T122" s="1509">
        <f t="shared" si="39"/>
        <v>0</v>
      </c>
      <c r="U122" s="1511">
        <f t="shared" si="40"/>
        <v>0</v>
      </c>
      <c r="V122" s="1509">
        <f t="shared" si="10"/>
        <v>0</v>
      </c>
      <c r="W122" s="1454">
        <f t="shared" si="86"/>
        <v>0.5</v>
      </c>
      <c r="X122" s="530">
        <f t="shared" si="41"/>
        <v>3033.4854703020706</v>
      </c>
      <c r="Y122" s="528">
        <f t="shared" si="79"/>
        <v>3033.4854703020706</v>
      </c>
      <c r="Z122" s="528">
        <f t="shared" si="80"/>
        <v>11231.916911001013</v>
      </c>
      <c r="AA122" s="530">
        <f t="shared" si="81"/>
        <v>8167.3082534617952</v>
      </c>
      <c r="AB122" s="1091">
        <f t="shared" si="42"/>
        <v>0.7271517692106847</v>
      </c>
      <c r="AC122" s="135" t="str">
        <f t="shared" si="43"/>
        <v>Yes</v>
      </c>
      <c r="AD122" s="1091">
        <f t="shared" si="44"/>
        <v>0.7271517692106847</v>
      </c>
      <c r="AE122" s="649">
        <f t="shared" si="11"/>
        <v>0.38319131748222313</v>
      </c>
      <c r="AF122" s="530">
        <f t="shared" si="45"/>
        <v>261.68918465795264</v>
      </c>
      <c r="AG122" s="527">
        <f t="shared" si="46"/>
        <v>3064.6086575392183</v>
      </c>
      <c r="AH122" s="528">
        <f t="shared" si="82"/>
        <v>8414.4594498251154</v>
      </c>
      <c r="AI122" s="528">
        <f t="shared" si="83"/>
        <v>6437.6604656145792</v>
      </c>
      <c r="AJ122" s="528">
        <f t="shared" si="12"/>
        <v>1017.3681562941107</v>
      </c>
      <c r="AK122" s="528">
        <f t="shared" si="47"/>
        <v>18934.096729273024</v>
      </c>
      <c r="AL122" s="716">
        <f t="shared" si="13"/>
        <v>0</v>
      </c>
      <c r="AM122" s="649">
        <f t="shared" si="48"/>
        <v>0.16185660722865042</v>
      </c>
      <c r="AN122" s="417">
        <f t="shared" si="49"/>
        <v>0.44440775655360187</v>
      </c>
      <c r="AO122" s="417">
        <f t="shared" si="50"/>
        <v>0.34000356909879131</v>
      </c>
      <c r="AP122" s="417">
        <f t="shared" si="51"/>
        <v>5.3732067118956388E-2</v>
      </c>
      <c r="AQ122" s="525">
        <f t="shared" si="52"/>
        <v>0.99999999999999989</v>
      </c>
      <c r="AR122" s="1086">
        <f t="shared" si="14"/>
        <v>569.30483253336433</v>
      </c>
      <c r="AS122" s="938">
        <f t="shared" si="15"/>
        <v>722.03254545412153</v>
      </c>
      <c r="AT122" s="938">
        <f t="shared" si="16"/>
        <v>229.6382502305371</v>
      </c>
      <c r="AU122" s="938">
        <f t="shared" si="17"/>
        <v>0</v>
      </c>
      <c r="AV122" s="938">
        <f t="shared" si="18"/>
        <v>0</v>
      </c>
      <c r="AW122" s="938">
        <f t="shared" si="19"/>
        <v>0</v>
      </c>
      <c r="AX122" s="938">
        <f t="shared" si="20"/>
        <v>977.41797547143392</v>
      </c>
      <c r="AY122" s="938">
        <f t="shared" si="21"/>
        <v>141.3123541491635</v>
      </c>
      <c r="AZ122" s="938">
        <f t="shared" si="22"/>
        <v>205.39677730620542</v>
      </c>
      <c r="BA122" s="938">
        <f t="shared" si="23"/>
        <v>180.56007220957568</v>
      </c>
      <c r="BB122" s="938">
        <f t="shared" si="24"/>
        <v>38.945850184815413</v>
      </c>
      <c r="BC122" s="530">
        <f t="shared" si="53"/>
        <v>3064.6086575392169</v>
      </c>
      <c r="BD122" s="724">
        <f t="shared" si="54"/>
        <v>0</v>
      </c>
      <c r="BE122" s="436">
        <f t="shared" si="55"/>
        <v>0.18576754690450362</v>
      </c>
      <c r="BF122" s="624">
        <f t="shared" si="56"/>
        <v>0.23560350639806998</v>
      </c>
      <c r="BG122" s="624">
        <f t="shared" si="57"/>
        <v>7.4932324447236048E-2</v>
      </c>
      <c r="BH122" s="624">
        <f t="shared" si="58"/>
        <v>0</v>
      </c>
      <c r="BI122" s="624">
        <f t="shared" si="59"/>
        <v>0</v>
      </c>
      <c r="BJ122" s="624">
        <f t="shared" si="60"/>
        <v>0</v>
      </c>
      <c r="BK122" s="624">
        <f t="shared" si="61"/>
        <v>0.50369662225019041</v>
      </c>
      <c r="BL122" s="624">
        <f t="shared" si="62"/>
        <v>1</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68.09072934335066</v>
      </c>
      <c r="BW122" s="114">
        <f t="shared" si="65"/>
        <v>0.6404488616339179</v>
      </c>
      <c r="BX122" s="1689">
        <f t="shared" si="25"/>
        <v>6.7569376846763856</v>
      </c>
      <c r="BY122" s="527">
        <f t="shared" si="66"/>
        <v>68.09072934335066</v>
      </c>
      <c r="BZ122" s="417">
        <f t="shared" si="67"/>
        <v>0.6404488616339179</v>
      </c>
      <c r="CA122" s="544">
        <f t="shared" si="26"/>
        <v>6.7569376846763856</v>
      </c>
      <c r="CB122" s="649">
        <f t="shared" si="27"/>
        <v>0.38319131748222313</v>
      </c>
      <c r="CC122" s="525">
        <f t="shared" si="68"/>
        <v>0.26530707351959593</v>
      </c>
      <c r="CD122" s="417">
        <f t="shared" si="28"/>
        <v>0.38319131748222313</v>
      </c>
      <c r="CE122" s="525">
        <f t="shared" si="69"/>
        <v>0.26530707351959593</v>
      </c>
      <c r="CG122" s="527">
        <f t="shared" si="70"/>
        <v>1588.633784906478</v>
      </c>
      <c r="CH122" s="528">
        <f t="shared" si="71"/>
        <v>614.9236379246986</v>
      </c>
      <c r="CI122" s="528">
        <f t="shared" si="72"/>
        <v>2543.7943195496368</v>
      </c>
      <c r="CJ122" s="528">
        <f t="shared" si="73"/>
        <v>3618.1167212678283</v>
      </c>
      <c r="CK122" s="528">
        <f t="shared" si="74"/>
        <v>48.990986176472788</v>
      </c>
      <c r="CL122" s="528">
        <f t="shared" si="75"/>
        <v>8414.4594498251154</v>
      </c>
      <c r="CM122" s="646">
        <f t="shared" si="76"/>
        <v>0</v>
      </c>
    </row>
    <row r="123" spans="1:91">
      <c r="A123" s="873">
        <f>'Input data'!A143</f>
        <v>2043</v>
      </c>
      <c r="B123" s="1551">
        <f>'Input data'!B143</f>
        <v>72.797675771420302</v>
      </c>
      <c r="C123" s="1550">
        <f>'Input data'!C143</f>
        <v>5140.3990299017887</v>
      </c>
      <c r="D123" s="1552">
        <f>'Input data'!D143</f>
        <v>5810994.0740290517</v>
      </c>
      <c r="E123" s="1454">
        <f t="shared" si="29"/>
        <v>0.93950303030302995</v>
      </c>
      <c r="F123" s="1504">
        <f t="shared" si="30"/>
        <v>0.3507787878787878</v>
      </c>
      <c r="G123" s="1509">
        <f>B123*F123*'Input data'!$C$9</f>
        <v>781.57900299449909</v>
      </c>
      <c r="H123" s="1508">
        <f>'Input data'!I143</f>
        <v>424.26313389388866</v>
      </c>
      <c r="I123" s="1509">
        <f>'Input data'!K143</f>
        <v>30885.370062973987</v>
      </c>
      <c r="J123" s="1509">
        <f t="shared" si="94"/>
        <v>2897.4481853098064</v>
      </c>
      <c r="K123" s="1511">
        <f t="shared" si="78"/>
        <v>11455.553059666876</v>
      </c>
      <c r="L123" s="1504">
        <f t="shared" si="89"/>
        <v>0.57999999999999996</v>
      </c>
      <c r="M123" s="1504">
        <f t="shared" si="90"/>
        <v>0.437</v>
      </c>
      <c r="N123" s="1504">
        <f t="shared" si="91"/>
        <v>0.71200000000000008</v>
      </c>
      <c r="O123" s="1504">
        <f t="shared" si="92"/>
        <v>0.8</v>
      </c>
      <c r="P123" s="1504">
        <f t="shared" si="92"/>
        <v>0.23600000000000002</v>
      </c>
      <c r="Q123" s="1508">
        <f t="shared" si="36"/>
        <v>0</v>
      </c>
      <c r="R123" s="1509">
        <f t="shared" si="37"/>
        <v>0</v>
      </c>
      <c r="S123" s="1509">
        <f t="shared" si="38"/>
        <v>0</v>
      </c>
      <c r="T123" s="1509">
        <f t="shared" si="39"/>
        <v>0</v>
      </c>
      <c r="U123" s="1511">
        <f t="shared" si="40"/>
        <v>0</v>
      </c>
      <c r="V123" s="1509">
        <f t="shared" si="10"/>
        <v>0</v>
      </c>
      <c r="W123" s="1454">
        <f t="shared" si="86"/>
        <v>0.5</v>
      </c>
      <c r="X123" s="530">
        <f t="shared" si="41"/>
        <v>3033.4854703020706</v>
      </c>
      <c r="Y123" s="528">
        <f t="shared" si="79"/>
        <v>3033.4854703020706</v>
      </c>
      <c r="Z123" s="528">
        <f t="shared" si="80"/>
        <v>11319.515774674612</v>
      </c>
      <c r="AA123" s="530">
        <f t="shared" si="81"/>
        <v>8422.0675893648058</v>
      </c>
      <c r="AB123" s="1091">
        <f t="shared" si="42"/>
        <v>0.74403073037873868</v>
      </c>
      <c r="AC123" s="135" t="str">
        <f t="shared" si="43"/>
        <v>Yes</v>
      </c>
      <c r="AD123" s="1091">
        <f t="shared" si="44"/>
        <v>0.74403073037873868</v>
      </c>
      <c r="AE123" s="649">
        <f t="shared" si="11"/>
        <v>0.39254311036961609</v>
      </c>
      <c r="AF123" s="530">
        <f t="shared" si="45"/>
        <v>257.72156370002074</v>
      </c>
      <c r="AG123" s="527">
        <f t="shared" si="46"/>
        <v>2897.4481853098064</v>
      </c>
      <c r="AH123" s="528">
        <f t="shared" si="82"/>
        <v>8466.1297123617223</v>
      </c>
      <c r="AI123" s="528">
        <f t="shared" si="83"/>
        <v>6437.6604656145792</v>
      </c>
      <c r="AJ123" s="528">
        <f t="shared" si="12"/>
        <v>960.29247025144207</v>
      </c>
      <c r="AK123" s="528">
        <f t="shared" si="47"/>
        <v>18761.530833537552</v>
      </c>
      <c r="AL123" s="716">
        <f t="shared" si="13"/>
        <v>0</v>
      </c>
      <c r="AM123" s="649">
        <f t="shared" si="48"/>
        <v>0.15443559542222507</v>
      </c>
      <c r="AN123" s="417">
        <f t="shared" si="49"/>
        <v>0.45124940962855342</v>
      </c>
      <c r="AO123" s="417">
        <f t="shared" si="50"/>
        <v>0.34313087363355282</v>
      </c>
      <c r="AP123" s="417">
        <f t="shared" si="51"/>
        <v>5.1184121315668546E-2</v>
      </c>
      <c r="AQ123" s="525">
        <f t="shared" si="52"/>
        <v>0.99999999999999978</v>
      </c>
      <c r="AR123" s="1086">
        <f t="shared" si="14"/>
        <v>539.46816629236855</v>
      </c>
      <c r="AS123" s="938">
        <f t="shared" si="15"/>
        <v>684.19158074987627</v>
      </c>
      <c r="AT123" s="938">
        <f t="shared" si="16"/>
        <v>216.75524362918154</v>
      </c>
      <c r="AU123" s="938">
        <f t="shared" si="17"/>
        <v>0</v>
      </c>
      <c r="AV123" s="938">
        <f t="shared" si="18"/>
        <v>0</v>
      </c>
      <c r="AW123" s="938">
        <f t="shared" si="19"/>
        <v>0</v>
      </c>
      <c r="AX123" s="938">
        <f t="shared" si="20"/>
        <v>922.58354689674911</v>
      </c>
      <c r="AY123" s="938">
        <f t="shared" si="21"/>
        <v>133.38454600078617</v>
      </c>
      <c r="AZ123" s="938">
        <f t="shared" si="22"/>
        <v>193.87374908561716</v>
      </c>
      <c r="BA123" s="938">
        <f t="shared" si="23"/>
        <v>170.43041567421221</v>
      </c>
      <c r="BB123" s="938">
        <f t="shared" si="24"/>
        <v>36.760936981014744</v>
      </c>
      <c r="BC123" s="530">
        <f t="shared" si="53"/>
        <v>2897.4481853098055</v>
      </c>
      <c r="BD123" s="724">
        <f t="shared" si="54"/>
        <v>0</v>
      </c>
      <c r="BE123" s="436">
        <f t="shared" si="55"/>
        <v>0.18618733857864889</v>
      </c>
      <c r="BF123" s="624">
        <f t="shared" si="56"/>
        <v>0.23613591580990431</v>
      </c>
      <c r="BG123" s="624">
        <f t="shared" si="57"/>
        <v>7.4809014610905042E-2</v>
      </c>
      <c r="BH123" s="624">
        <f t="shared" si="58"/>
        <v>0</v>
      </c>
      <c r="BI123" s="624">
        <f t="shared" si="59"/>
        <v>0</v>
      </c>
      <c r="BJ123" s="624">
        <f t="shared" si="60"/>
        <v>0</v>
      </c>
      <c r="BK123" s="624">
        <f t="shared" si="61"/>
        <v>0.50286773100054183</v>
      </c>
      <c r="BL123" s="624">
        <f t="shared" si="62"/>
        <v>1</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67.285132703203558</v>
      </c>
      <c r="BW123" s="114">
        <f t="shared" si="65"/>
        <v>0.65595220093314899</v>
      </c>
      <c r="BX123" s="1689">
        <f t="shared" si="25"/>
        <v>5.8109940740290513</v>
      </c>
      <c r="BY123" s="527">
        <f t="shared" si="66"/>
        <v>67.285132703203558</v>
      </c>
      <c r="BZ123" s="417">
        <f t="shared" si="67"/>
        <v>0.65595220093314899</v>
      </c>
      <c r="CA123" s="544">
        <f t="shared" si="26"/>
        <v>5.8109940740290513</v>
      </c>
      <c r="CB123" s="649">
        <f t="shared" si="27"/>
        <v>0.39254311036961609</v>
      </c>
      <c r="CC123" s="525">
        <f t="shared" si="68"/>
        <v>0.28278269203141726</v>
      </c>
      <c r="CD123" s="417">
        <f t="shared" si="28"/>
        <v>0.39254311036961609</v>
      </c>
      <c r="CE123" s="525">
        <f t="shared" si="69"/>
        <v>0.28278269203141726</v>
      </c>
      <c r="CG123" s="527">
        <f t="shared" si="70"/>
        <v>1598.3890312452488</v>
      </c>
      <c r="CH123" s="528">
        <f t="shared" si="71"/>
        <v>618.69966964735374</v>
      </c>
      <c r="CI123" s="528">
        <f t="shared" si="72"/>
        <v>2559.4148738008062</v>
      </c>
      <c r="CJ123" s="528">
        <f t="shared" si="73"/>
        <v>3640.3343149220327</v>
      </c>
      <c r="CK123" s="528">
        <f t="shared" si="74"/>
        <v>49.291822746279806</v>
      </c>
      <c r="CL123" s="528">
        <f t="shared" si="75"/>
        <v>8466.1297123617205</v>
      </c>
      <c r="CM123" s="646">
        <f t="shared" si="76"/>
        <v>0</v>
      </c>
    </row>
    <row r="124" spans="1:91">
      <c r="A124" s="873">
        <f>'Input data'!A144</f>
        <v>2044</v>
      </c>
      <c r="B124" s="1551">
        <f>'Input data'!B144</f>
        <v>73.228597899236789</v>
      </c>
      <c r="C124" s="1550">
        <f>'Input data'!C144</f>
        <v>5284.2396924773611</v>
      </c>
      <c r="D124" s="1552">
        <f>'Input data'!D144</f>
        <v>4865050.463381717</v>
      </c>
      <c r="E124" s="1454">
        <f t="shared" si="29"/>
        <v>0.94814545454545418</v>
      </c>
      <c r="F124" s="1504">
        <f t="shared" si="30"/>
        <v>0.3531318181818181</v>
      </c>
      <c r="G124" s="1509">
        <f>B124*F124*'Input data'!$C$9</f>
        <v>791.47940053989919</v>
      </c>
      <c r="H124" s="1508">
        <f>'Input data'!I144</f>
        <v>424.26313389388866</v>
      </c>
      <c r="I124" s="1509">
        <f>'Input data'!K144</f>
        <v>31068.194435385631</v>
      </c>
      <c r="J124" s="1509">
        <f t="shared" si="94"/>
        <v>2730.2877130803945</v>
      </c>
      <c r="K124" s="1511">
        <f t="shared" si="78"/>
        <v>11707.675390520162</v>
      </c>
      <c r="L124" s="1504">
        <f t="shared" si="89"/>
        <v>0.57999999999999996</v>
      </c>
      <c r="M124" s="1504">
        <f t="shared" si="90"/>
        <v>0.437</v>
      </c>
      <c r="N124" s="1504">
        <f t="shared" si="91"/>
        <v>0.71200000000000008</v>
      </c>
      <c r="O124" s="1504">
        <f t="shared" si="92"/>
        <v>0.8</v>
      </c>
      <c r="P124" s="1504">
        <f t="shared" si="92"/>
        <v>0.23600000000000002</v>
      </c>
      <c r="Q124" s="1508">
        <f t="shared" si="36"/>
        <v>0</v>
      </c>
      <c r="R124" s="1509">
        <f t="shared" si="37"/>
        <v>0</v>
      </c>
      <c r="S124" s="1509">
        <f t="shared" si="38"/>
        <v>0</v>
      </c>
      <c r="T124" s="1509">
        <f t="shared" si="39"/>
        <v>0</v>
      </c>
      <c r="U124" s="1511">
        <f t="shared" si="40"/>
        <v>0</v>
      </c>
      <c r="V124" s="1509">
        <f t="shared" si="10"/>
        <v>0</v>
      </c>
      <c r="W124" s="1454">
        <f t="shared" si="86"/>
        <v>0.5</v>
      </c>
      <c r="X124" s="530">
        <f t="shared" si="41"/>
        <v>3033.4854703020706</v>
      </c>
      <c r="Y124" s="528">
        <f t="shared" si="79"/>
        <v>3033.4854703020706</v>
      </c>
      <c r="Z124" s="528">
        <f t="shared" si="80"/>
        <v>11404.477633298486</v>
      </c>
      <c r="AA124" s="530">
        <f t="shared" si="81"/>
        <v>8674.1899202180903</v>
      </c>
      <c r="AB124" s="1091">
        <f t="shared" si="42"/>
        <v>0.76059511001989477</v>
      </c>
      <c r="AC124" s="135" t="str">
        <f t="shared" si="43"/>
        <v>Yes</v>
      </c>
      <c r="AD124" s="1091">
        <f t="shared" si="44"/>
        <v>0.76059511001989477</v>
      </c>
      <c r="AE124" s="649">
        <f t="shared" si="11"/>
        <v>0.40171422042221039</v>
      </c>
      <c r="AF124" s="530">
        <f t="shared" si="45"/>
        <v>253.83059980782127</v>
      </c>
      <c r="AG124" s="527">
        <f t="shared" si="46"/>
        <v>2730.2877130803945</v>
      </c>
      <c r="AH124" s="528">
        <f t="shared" si="82"/>
        <v>8516.2445352782725</v>
      </c>
      <c r="AI124" s="528">
        <f t="shared" si="83"/>
        <v>6437.6604656145792</v>
      </c>
      <c r="AJ124" s="528">
        <f t="shared" si="12"/>
        <v>903.46621387578898</v>
      </c>
      <c r="AK124" s="528">
        <f t="shared" si="47"/>
        <v>18587.658927849036</v>
      </c>
      <c r="AL124" s="716">
        <f t="shared" si="13"/>
        <v>0</v>
      </c>
      <c r="AM124" s="649">
        <f t="shared" si="48"/>
        <v>0.14688712137867613</v>
      </c>
      <c r="AN124" s="417">
        <f t="shared" si="49"/>
        <v>0.45816660227818007</v>
      </c>
      <c r="AO124" s="417">
        <f t="shared" si="50"/>
        <v>0.34634057417361624</v>
      </c>
      <c r="AP124" s="417">
        <f t="shared" si="51"/>
        <v>4.8605702169527497E-2</v>
      </c>
      <c r="AQ124" s="525">
        <f t="shared" si="52"/>
        <v>0.99999999999999989</v>
      </c>
      <c r="AR124" s="1086">
        <f t="shared" si="14"/>
        <v>509.43983174937119</v>
      </c>
      <c r="AS124" s="938">
        <f t="shared" si="15"/>
        <v>646.10752878539972</v>
      </c>
      <c r="AT124" s="938">
        <f t="shared" si="16"/>
        <v>203.92853777985439</v>
      </c>
      <c r="AU124" s="938">
        <f t="shared" si="17"/>
        <v>0</v>
      </c>
      <c r="AV124" s="938">
        <f t="shared" si="18"/>
        <v>0</v>
      </c>
      <c r="AW124" s="938">
        <f t="shared" si="19"/>
        <v>0</v>
      </c>
      <c r="AX124" s="938">
        <f t="shared" si="20"/>
        <v>867.98875334371144</v>
      </c>
      <c r="AY124" s="938">
        <f t="shared" si="21"/>
        <v>125.49138361286693</v>
      </c>
      <c r="AZ124" s="938">
        <f t="shared" si="22"/>
        <v>182.40107829901439</v>
      </c>
      <c r="BA124" s="938">
        <f t="shared" si="23"/>
        <v>160.34502732083271</v>
      </c>
      <c r="BB124" s="938">
        <f t="shared" si="24"/>
        <v>34.585572189343118</v>
      </c>
      <c r="BC124" s="530">
        <f t="shared" si="53"/>
        <v>2730.287713080394</v>
      </c>
      <c r="BD124" s="724">
        <f t="shared" si="54"/>
        <v>0</v>
      </c>
      <c r="BE124" s="436">
        <f t="shared" si="55"/>
        <v>0.18658833254412063</v>
      </c>
      <c r="BF124" s="624">
        <f t="shared" si="56"/>
        <v>0.23664448464167223</v>
      </c>
      <c r="BG124" s="624">
        <f t="shared" si="57"/>
        <v>7.4691226423817439E-2</v>
      </c>
      <c r="BH124" s="624">
        <f t="shared" si="58"/>
        <v>0</v>
      </c>
      <c r="BI124" s="624">
        <f t="shared" si="59"/>
        <v>0</v>
      </c>
      <c r="BJ124" s="624">
        <f t="shared" si="60"/>
        <v>0</v>
      </c>
      <c r="BK124" s="624">
        <f t="shared" si="61"/>
        <v>0.5020759563903896</v>
      </c>
      <c r="BL124" s="624">
        <f t="shared" si="62"/>
        <v>0.99999999999999989</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66.557423977896448</v>
      </c>
      <c r="BW124" s="114">
        <f t="shared" si="65"/>
        <v>0.67126216240473568</v>
      </c>
      <c r="BX124" s="1689">
        <f t="shared" si="25"/>
        <v>4.8650504633817171</v>
      </c>
      <c r="BY124" s="527">
        <f t="shared" si="66"/>
        <v>66.557423977896448</v>
      </c>
      <c r="BZ124" s="417">
        <f t="shared" si="67"/>
        <v>0.67126216240473568</v>
      </c>
      <c r="CA124" s="544">
        <f t="shared" si="26"/>
        <v>4.8650504633817171</v>
      </c>
      <c r="CB124" s="649">
        <f t="shared" si="27"/>
        <v>0.40171422042221039</v>
      </c>
      <c r="CC124" s="525">
        <f t="shared" si="68"/>
        <v>0.29909731802877026</v>
      </c>
      <c r="CD124" s="417">
        <f t="shared" si="28"/>
        <v>0.40171422042221039</v>
      </c>
      <c r="CE124" s="525">
        <f t="shared" si="69"/>
        <v>0.29909731802877026</v>
      </c>
      <c r="CG124" s="527">
        <f t="shared" si="70"/>
        <v>1607.8506135708365</v>
      </c>
      <c r="CH124" s="528">
        <f t="shared" si="71"/>
        <v>622.36203077768619</v>
      </c>
      <c r="CI124" s="528">
        <f t="shared" si="72"/>
        <v>2574.5651995728326</v>
      </c>
      <c r="CJ124" s="528">
        <f t="shared" si="73"/>
        <v>3661.883088180607</v>
      </c>
      <c r="CK124" s="528">
        <f t="shared" si="74"/>
        <v>49.583603176309943</v>
      </c>
      <c r="CL124" s="528">
        <f t="shared" si="75"/>
        <v>8516.2445352782725</v>
      </c>
      <c r="CM124" s="646">
        <f t="shared" si="76"/>
        <v>0</v>
      </c>
    </row>
    <row r="125" spans="1:91">
      <c r="A125" s="873">
        <f>'Input data'!A145</f>
        <v>2045</v>
      </c>
      <c r="B125" s="1551">
        <f>'Input data'!B145</f>
        <v>73.645872502840064</v>
      </c>
      <c r="C125" s="1550">
        <f>'Input data'!C145</f>
        <v>5434.6458323535726</v>
      </c>
      <c r="D125" s="1552">
        <f>'Input data'!D145</f>
        <v>3919106.8527343827</v>
      </c>
      <c r="E125" s="1454">
        <f t="shared" si="29"/>
        <v>0.95678787878787841</v>
      </c>
      <c r="F125" s="1504">
        <f t="shared" si="30"/>
        <v>0.3554848484848484</v>
      </c>
      <c r="G125" s="1509">
        <f>B125*F125*'Input data'!$C$9</f>
        <v>801.29337766686433</v>
      </c>
      <c r="H125" s="1508">
        <f>'Input data'!I145</f>
        <v>424.26313389388866</v>
      </c>
      <c r="I125" s="1509">
        <f>'Input data'!K145</f>
        <v>31245.228666404688</v>
      </c>
      <c r="J125" s="1509">
        <f t="shared" si="94"/>
        <v>2563.1272408509826</v>
      </c>
      <c r="K125" s="1511">
        <f t="shared" si="78"/>
        <v>11957.106935851145</v>
      </c>
      <c r="L125" s="1504">
        <f t="shared" si="89"/>
        <v>0.57999999999999996</v>
      </c>
      <c r="M125" s="1504">
        <f t="shared" si="90"/>
        <v>0.437</v>
      </c>
      <c r="N125" s="1504">
        <f t="shared" si="91"/>
        <v>0.71200000000000008</v>
      </c>
      <c r="O125" s="1504">
        <f t="shared" si="92"/>
        <v>0.8</v>
      </c>
      <c r="P125" s="1504">
        <f t="shared" si="92"/>
        <v>0.23600000000000002</v>
      </c>
      <c r="Q125" s="1508">
        <f t="shared" si="36"/>
        <v>0</v>
      </c>
      <c r="R125" s="1509">
        <f t="shared" si="37"/>
        <v>0</v>
      </c>
      <c r="S125" s="1509">
        <f t="shared" si="38"/>
        <v>0</v>
      </c>
      <c r="T125" s="1509">
        <f t="shared" si="39"/>
        <v>0</v>
      </c>
      <c r="U125" s="1511">
        <f t="shared" si="40"/>
        <v>0</v>
      </c>
      <c r="V125" s="1509">
        <f t="shared" si="10"/>
        <v>0</v>
      </c>
      <c r="W125" s="1454">
        <f t="shared" si="86"/>
        <v>0.5</v>
      </c>
      <c r="X125" s="530">
        <f t="shared" si="41"/>
        <v>3033.4854703020706</v>
      </c>
      <c r="Y125" s="528">
        <f t="shared" si="79"/>
        <v>3033.4854703020706</v>
      </c>
      <c r="Z125" s="528">
        <f t="shared" si="80"/>
        <v>11486.748706400058</v>
      </c>
      <c r="AA125" s="530">
        <f t="shared" si="81"/>
        <v>8923.6214655490749</v>
      </c>
      <c r="AB125" s="1091">
        <f t="shared" si="42"/>
        <v>0.77686225176817103</v>
      </c>
      <c r="AC125" s="135" t="str">
        <f t="shared" si="43"/>
        <v>Yes</v>
      </c>
      <c r="AD125" s="1091">
        <f t="shared" si="44"/>
        <v>0.77686225176817103</v>
      </c>
      <c r="AE125" s="649">
        <f t="shared" si="11"/>
        <v>0.41071208872628218</v>
      </c>
      <c r="AF125" s="530">
        <f t="shared" si="45"/>
        <v>250.01313600277132</v>
      </c>
      <c r="AG125" s="527">
        <f t="shared" si="46"/>
        <v>2563.1272408509826</v>
      </c>
      <c r="AH125" s="528">
        <f t="shared" si="82"/>
        <v>8564.772196118327</v>
      </c>
      <c r="AI125" s="528">
        <f t="shared" si="83"/>
        <v>6437.6604656145792</v>
      </c>
      <c r="AJ125" s="528">
        <f t="shared" si="12"/>
        <v>846.87563551141841</v>
      </c>
      <c r="AK125" s="528">
        <f t="shared" si="47"/>
        <v>18412.435538095309</v>
      </c>
      <c r="AL125" s="716">
        <f t="shared" si="13"/>
        <v>0</v>
      </c>
      <c r="AM125" s="649">
        <f t="shared" si="48"/>
        <v>0.13920631170970701</v>
      </c>
      <c r="AN125" s="417">
        <f t="shared" si="49"/>
        <v>0.46516237237587732</v>
      </c>
      <c r="AO125" s="417">
        <f t="shared" si="50"/>
        <v>0.34963655146518052</v>
      </c>
      <c r="AP125" s="417">
        <f t="shared" si="51"/>
        <v>4.5994764449235066E-2</v>
      </c>
      <c r="AQ125" s="525">
        <f t="shared" si="52"/>
        <v>1</v>
      </c>
      <c r="AR125" s="1086">
        <f t="shared" si="14"/>
        <v>479.23039603752738</v>
      </c>
      <c r="AS125" s="938">
        <f t="shared" si="15"/>
        <v>607.793791544329</v>
      </c>
      <c r="AT125" s="938">
        <f t="shared" si="16"/>
        <v>191.15502868707389</v>
      </c>
      <c r="AU125" s="938">
        <f t="shared" si="17"/>
        <v>0</v>
      </c>
      <c r="AV125" s="938">
        <f t="shared" si="18"/>
        <v>0</v>
      </c>
      <c r="AW125" s="938">
        <f t="shared" si="19"/>
        <v>0</v>
      </c>
      <c r="AX125" s="938">
        <f t="shared" si="20"/>
        <v>813.62038315887708</v>
      </c>
      <c r="AY125" s="938">
        <f t="shared" si="21"/>
        <v>117.63095688154303</v>
      </c>
      <c r="AZ125" s="938">
        <f t="shared" si="22"/>
        <v>170.9759886202927</v>
      </c>
      <c r="BA125" s="938">
        <f t="shared" si="23"/>
        <v>150.30146653839904</v>
      </c>
      <c r="BB125" s="938">
        <f t="shared" si="24"/>
        <v>32.419229382940507</v>
      </c>
      <c r="BC125" s="530">
        <f t="shared" si="53"/>
        <v>2563.1272408509826</v>
      </c>
      <c r="BD125" s="724">
        <f t="shared" si="54"/>
        <v>0</v>
      </c>
      <c r="BE125" s="436">
        <f t="shared" si="55"/>
        <v>0.18697097373847829</v>
      </c>
      <c r="BF125" s="624">
        <f t="shared" si="56"/>
        <v>0.23712977719457098</v>
      </c>
      <c r="BG125" s="624">
        <f t="shared" si="57"/>
        <v>7.4578829189770782E-2</v>
      </c>
      <c r="BH125" s="624">
        <f t="shared" si="58"/>
        <v>0</v>
      </c>
      <c r="BI125" s="624">
        <f t="shared" si="59"/>
        <v>0</v>
      </c>
      <c r="BJ125" s="624">
        <f t="shared" si="60"/>
        <v>0</v>
      </c>
      <c r="BK125" s="624">
        <f t="shared" si="61"/>
        <v>0.5013204198771799</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65.922015152775458</v>
      </c>
      <c r="BW125" s="114">
        <f t="shared" si="65"/>
        <v>0.68643901431252186</v>
      </c>
      <c r="BX125" s="1689">
        <f t="shared" si="25"/>
        <v>3.9191068527343829</v>
      </c>
      <c r="BY125" s="527">
        <f t="shared" si="66"/>
        <v>65.922015152775458</v>
      </c>
      <c r="BZ125" s="417">
        <f t="shared" si="67"/>
        <v>0.68643901431252186</v>
      </c>
      <c r="CA125" s="544">
        <f t="shared" si="26"/>
        <v>3.9191068527343829</v>
      </c>
      <c r="CB125" s="649">
        <f t="shared" si="27"/>
        <v>0.41071208872628218</v>
      </c>
      <c r="CC125" s="525">
        <f t="shared" si="68"/>
        <v>0.31447148302346306</v>
      </c>
      <c r="CD125" s="417">
        <f t="shared" si="28"/>
        <v>0.41071208872628218</v>
      </c>
      <c r="CE125" s="525">
        <f t="shared" si="69"/>
        <v>0.31447148302346306</v>
      </c>
      <c r="CG125" s="527">
        <f t="shared" si="70"/>
        <v>1617.0125427443847</v>
      </c>
      <c r="CH125" s="528">
        <f t="shared" si="71"/>
        <v>625.90840305765028</v>
      </c>
      <c r="CI125" s="528">
        <f t="shared" si="72"/>
        <v>2589.2357067779658</v>
      </c>
      <c r="CJ125" s="528">
        <f t="shared" si="73"/>
        <v>3682.7494007674559</v>
      </c>
      <c r="CK125" s="528">
        <f t="shared" si="74"/>
        <v>49.86614277086953</v>
      </c>
      <c r="CL125" s="528">
        <f t="shared" si="75"/>
        <v>8564.772196118327</v>
      </c>
      <c r="CM125" s="646">
        <f t="shared" si="76"/>
        <v>0</v>
      </c>
    </row>
    <row r="126" spans="1:91">
      <c r="A126" s="873">
        <f>'Input data'!A146</f>
        <v>2046</v>
      </c>
      <c r="B126" s="1551">
        <f>'Input data'!B146</f>
        <v>74.049234192071822</v>
      </c>
      <c r="C126" s="1550">
        <f>'Input data'!C146</f>
        <v>5588.9785645796028</v>
      </c>
      <c r="D126" s="1552">
        <f>'Input data'!D146</f>
        <v>3263474.9196310313</v>
      </c>
      <c r="E126" s="1454">
        <f t="shared" si="29"/>
        <v>0.96543030303030264</v>
      </c>
      <c r="F126" s="1504">
        <f t="shared" si="30"/>
        <v>0.3578378787878787</v>
      </c>
      <c r="G126" s="1509">
        <f>B126*F126*'Input data'!$C$9</f>
        <v>811.01507906253039</v>
      </c>
      <c r="H126" s="1508">
        <f>'Input data'!I146</f>
        <v>424.26313389388866</v>
      </c>
      <c r="I126" s="1509">
        <f>'Input data'!K146</f>
        <v>31416.360160770884</v>
      </c>
      <c r="J126" s="1509">
        <f t="shared" si="94"/>
        <v>2395.9667686215707</v>
      </c>
      <c r="K126" s="1511">
        <f>I126*$B$10-J126</f>
        <v>12203.795370565207</v>
      </c>
      <c r="L126" s="1504">
        <f t="shared" si="89"/>
        <v>0.57999999999999996</v>
      </c>
      <c r="M126" s="1504">
        <f t="shared" si="90"/>
        <v>0.437</v>
      </c>
      <c r="N126" s="1504">
        <f t="shared" si="91"/>
        <v>0.71200000000000008</v>
      </c>
      <c r="O126" s="1504">
        <f t="shared" si="92"/>
        <v>0.8</v>
      </c>
      <c r="P126" s="1504">
        <f t="shared" si="92"/>
        <v>0.23600000000000002</v>
      </c>
      <c r="Q126" s="1508">
        <f t="shared" si="36"/>
        <v>0</v>
      </c>
      <c r="R126" s="1509">
        <f t="shared" si="37"/>
        <v>0</v>
      </c>
      <c r="S126" s="1509">
        <f t="shared" si="38"/>
        <v>0</v>
      </c>
      <c r="T126" s="1509">
        <f t="shared" si="39"/>
        <v>0</v>
      </c>
      <c r="U126" s="1511">
        <f t="shared" si="40"/>
        <v>0</v>
      </c>
      <c r="V126" s="1509">
        <f t="shared" si="10"/>
        <v>0</v>
      </c>
      <c r="W126" s="1454">
        <f t="shared" si="86"/>
        <v>0.5</v>
      </c>
      <c r="X126" s="530">
        <f t="shared" si="41"/>
        <v>3033.4854703020706</v>
      </c>
      <c r="Y126" s="528">
        <f t="shared" si="79"/>
        <v>3033.4854703020706</v>
      </c>
      <c r="Z126" s="528">
        <f t="shared" si="80"/>
        <v>11566.276668884708</v>
      </c>
      <c r="AA126" s="530">
        <f t="shared" si="81"/>
        <v>9170.309900263137</v>
      </c>
      <c r="AB126" s="1091">
        <f t="shared" si="42"/>
        <v>0.79284891437301186</v>
      </c>
      <c r="AC126" s="135" t="str">
        <f t="shared" si="43"/>
        <v>Yes</v>
      </c>
      <c r="AD126" s="1091">
        <f t="shared" si="44"/>
        <v>0.79284891437301186</v>
      </c>
      <c r="AE126" s="649">
        <f t="shared" si="11"/>
        <v>0.41954394401353745</v>
      </c>
      <c r="AF126" s="530">
        <f t="shared" si="45"/>
        <v>246.26610540050311</v>
      </c>
      <c r="AG126" s="527">
        <f t="shared" si="46"/>
        <v>2395.9667686215707</v>
      </c>
      <c r="AH126" s="528">
        <f t="shared" si="82"/>
        <v>8611.6818308813381</v>
      </c>
      <c r="AI126" s="528">
        <f t="shared" si="83"/>
        <v>6437.6604656145792</v>
      </c>
      <c r="AJ126" s="528">
        <f t="shared" si="12"/>
        <v>790.50744725380912</v>
      </c>
      <c r="AK126" s="528">
        <f t="shared" si="47"/>
        <v>18235.816512371297</v>
      </c>
      <c r="AL126" s="716">
        <f t="shared" si="13"/>
        <v>0</v>
      </c>
      <c r="AM126" s="649">
        <f t="shared" si="48"/>
        <v>0.13138796209076414</v>
      </c>
      <c r="AN126" s="417">
        <f t="shared" si="49"/>
        <v>0.47223999128523347</v>
      </c>
      <c r="AO126" s="417">
        <f t="shared" si="50"/>
        <v>0.3530228800694078</v>
      </c>
      <c r="AP126" s="417">
        <f t="shared" si="51"/>
        <v>4.3349166554594566E-2</v>
      </c>
      <c r="AQ126" s="525">
        <f t="shared" si="52"/>
        <v>0.99999999999999989</v>
      </c>
      <c r="AR126" s="1086">
        <f t="shared" si="14"/>
        <v>448.85006993138978</v>
      </c>
      <c r="AS126" s="938">
        <f t="shared" si="15"/>
        <v>569.26331905118479</v>
      </c>
      <c r="AT126" s="938">
        <f t="shared" si="16"/>
        <v>178.43171703232926</v>
      </c>
      <c r="AU126" s="938">
        <f t="shared" si="17"/>
        <v>0</v>
      </c>
      <c r="AV126" s="938">
        <f t="shared" si="18"/>
        <v>0</v>
      </c>
      <c r="AW126" s="938">
        <f t="shared" si="19"/>
        <v>0</v>
      </c>
      <c r="AX126" s="938">
        <f t="shared" si="20"/>
        <v>759.4656702293546</v>
      </c>
      <c r="AY126" s="938">
        <f t="shared" si="21"/>
        <v>109.80142011795748</v>
      </c>
      <c r="AZ126" s="938">
        <f t="shared" si="22"/>
        <v>159.59579735022564</v>
      </c>
      <c r="BA126" s="938">
        <f t="shared" si="23"/>
        <v>140.29737502133116</v>
      </c>
      <c r="BB126" s="938">
        <f t="shared" si="24"/>
        <v>30.261399887797861</v>
      </c>
      <c r="BC126" s="530">
        <f t="shared" si="53"/>
        <v>2395.9667686215707</v>
      </c>
      <c r="BD126" s="724">
        <f t="shared" si="54"/>
        <v>0</v>
      </c>
      <c r="BE126" s="436">
        <f t="shared" si="55"/>
        <v>0.18733568253520427</v>
      </c>
      <c r="BF126" s="624">
        <f t="shared" si="56"/>
        <v>0.23759232661590252</v>
      </c>
      <c r="BG126" s="624">
        <f t="shared" si="57"/>
        <v>7.447169942802806E-2</v>
      </c>
      <c r="BH126" s="624">
        <f t="shared" si="58"/>
        <v>0</v>
      </c>
      <c r="BI126" s="624">
        <f t="shared" si="59"/>
        <v>0</v>
      </c>
      <c r="BJ126" s="624">
        <f t="shared" si="60"/>
        <v>0</v>
      </c>
      <c r="BK126" s="624">
        <f t="shared" si="61"/>
        <v>0.50060029142086504</v>
      </c>
      <c r="BL126" s="624">
        <f t="shared" si="62"/>
        <v>0.99999999999999989</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65.420128664848974</v>
      </c>
      <c r="BW126" s="114">
        <f t="shared" si="65"/>
        <v>0.70165264547231221</v>
      </c>
      <c r="BX126" s="1689">
        <f t="shared" si="25"/>
        <v>3.2634749196310313</v>
      </c>
      <c r="BY126" s="527">
        <f t="shared" si="66"/>
        <v>65.420128664848974</v>
      </c>
      <c r="BZ126" s="417">
        <f t="shared" si="67"/>
        <v>0.70165264547231221</v>
      </c>
      <c r="CA126" s="544">
        <f t="shared" si="26"/>
        <v>3.2634749196310313</v>
      </c>
      <c r="CB126" s="649">
        <f t="shared" si="27"/>
        <v>0.41954394401353745</v>
      </c>
      <c r="CC126" s="525">
        <f t="shared" si="68"/>
        <v>0.33076388693024317</v>
      </c>
      <c r="CD126" s="417">
        <f t="shared" si="28"/>
        <v>0.41954394401353745</v>
      </c>
      <c r="CE126" s="525">
        <f t="shared" si="69"/>
        <v>0.33076388693024317</v>
      </c>
      <c r="CG126" s="527">
        <f t="shared" si="70"/>
        <v>1625.8689917018626</v>
      </c>
      <c r="CH126" s="528">
        <f t="shared" si="71"/>
        <v>629.33653096464127</v>
      </c>
      <c r="CI126" s="528">
        <f t="shared" si="72"/>
        <v>2603.4170648502036</v>
      </c>
      <c r="CJ126" s="528">
        <f t="shared" si="73"/>
        <v>3702.9199815322299</v>
      </c>
      <c r="CK126" s="528">
        <f t="shared" si="74"/>
        <v>50.139261832399477</v>
      </c>
      <c r="CL126" s="528">
        <f t="shared" si="75"/>
        <v>8611.6818308813363</v>
      </c>
      <c r="CM126" s="646">
        <f t="shared" si="76"/>
        <v>0</v>
      </c>
    </row>
    <row r="127" spans="1:91" s="1" customFormat="1">
      <c r="A127" s="873">
        <f>'Input data'!A147</f>
        <v>2047</v>
      </c>
      <c r="B127" s="1551">
        <f>'Input data'!B147</f>
        <v>74.438425238522782</v>
      </c>
      <c r="C127" s="1550">
        <f>'Input data'!C147</f>
        <v>5683.8226319462565</v>
      </c>
      <c r="D127" s="1552">
        <f>'Input data'!D147</f>
        <v>2607842.98652768</v>
      </c>
      <c r="E127" s="1454">
        <f t="shared" si="29"/>
        <v>0.97407272727272687</v>
      </c>
      <c r="F127" s="1504">
        <f t="shared" si="30"/>
        <v>0.36019090909090901</v>
      </c>
      <c r="G127" s="1509">
        <f>B127*F127*'Input data'!$C$9</f>
        <v>820.63865742721498</v>
      </c>
      <c r="H127" s="1508">
        <f>'Input data'!I147</f>
        <v>424.26313389388866</v>
      </c>
      <c r="I127" s="1509">
        <f>'Input data'!K147</f>
        <v>31581.479573821613</v>
      </c>
      <c r="J127" s="1509">
        <f>J97*(1-$C$6)</f>
        <v>2228.8062963921584</v>
      </c>
      <c r="K127" s="1511">
        <f t="shared" si="78"/>
        <v>12447.689880180433</v>
      </c>
      <c r="L127" s="1504">
        <f t="shared" si="89"/>
        <v>0.57999999999999996</v>
      </c>
      <c r="M127" s="1504">
        <f t="shared" si="90"/>
        <v>0.437</v>
      </c>
      <c r="N127" s="1504">
        <f t="shared" si="91"/>
        <v>0.71200000000000008</v>
      </c>
      <c r="O127" s="1504">
        <f t="shared" si="92"/>
        <v>0.8</v>
      </c>
      <c r="P127" s="1504">
        <f t="shared" si="92"/>
        <v>0.23600000000000002</v>
      </c>
      <c r="Q127" s="1508">
        <f t="shared" si="36"/>
        <v>0</v>
      </c>
      <c r="R127" s="1509">
        <f t="shared" si="37"/>
        <v>0</v>
      </c>
      <c r="S127" s="1509">
        <f t="shared" si="38"/>
        <v>0</v>
      </c>
      <c r="T127" s="1509">
        <f t="shared" si="39"/>
        <v>0</v>
      </c>
      <c r="U127" s="1511">
        <f t="shared" si="40"/>
        <v>0</v>
      </c>
      <c r="V127" s="1509">
        <f t="shared" si="10"/>
        <v>0</v>
      </c>
      <c r="W127" s="1454">
        <f t="shared" si="86"/>
        <v>0.5</v>
      </c>
      <c r="X127" s="530">
        <f t="shared" si="41"/>
        <v>3033.4854703020706</v>
      </c>
      <c r="Y127" s="528">
        <f t="shared" si="79"/>
        <v>3033.4854703020706</v>
      </c>
      <c r="Z127" s="528">
        <f t="shared" si="80"/>
        <v>11643.010706270521</v>
      </c>
      <c r="AA127" s="530">
        <f t="shared" si="81"/>
        <v>9414.2044098783626</v>
      </c>
      <c r="AB127" s="1091">
        <f t="shared" si="42"/>
        <v>0.80857130920683595</v>
      </c>
      <c r="AC127" s="135" t="str">
        <f t="shared" si="43"/>
        <v>Yes</v>
      </c>
      <c r="AD127" s="1091">
        <f t="shared" si="44"/>
        <v>0.80857130920683595</v>
      </c>
      <c r="AE127" s="649">
        <f t="shared" si="11"/>
        <v>0.42821681354067476</v>
      </c>
      <c r="AF127" s="530">
        <f t="shared" si="45"/>
        <v>242.586526595067</v>
      </c>
      <c r="AG127" s="527">
        <f t="shared" si="46"/>
        <v>2228.8062963921584</v>
      </c>
      <c r="AH127" s="528">
        <f t="shared" si="82"/>
        <v>8656.9434666029174</v>
      </c>
      <c r="AI127" s="528">
        <f t="shared" si="83"/>
        <v>6437.6604656145792</v>
      </c>
      <c r="AJ127" s="528">
        <f t="shared" si="12"/>
        <v>734.34879521015876</v>
      </c>
      <c r="AK127" s="528">
        <f t="shared" si="47"/>
        <v>18057.759023819814</v>
      </c>
      <c r="AL127" s="716">
        <f t="shared" si="13"/>
        <v>0</v>
      </c>
      <c r="AM127" s="649">
        <f t="shared" si="48"/>
        <v>0.12342651673732946</v>
      </c>
      <c r="AN127" s="417">
        <f t="shared" si="49"/>
        <v>0.47940297880726107</v>
      </c>
      <c r="AO127" s="417">
        <f t="shared" si="50"/>
        <v>0.35650384176257555</v>
      </c>
      <c r="AP127" s="417">
        <f t="shared" si="51"/>
        <v>4.0666662692833949E-2</v>
      </c>
      <c r="AQ127" s="525">
        <f t="shared" si="52"/>
        <v>1</v>
      </c>
      <c r="AR127" s="1086">
        <f t="shared" si="14"/>
        <v>418.3087306995165</v>
      </c>
      <c r="AS127" s="938">
        <f t="shared" si="15"/>
        <v>530.52863835466178</v>
      </c>
      <c r="AT127" s="938">
        <f t="shared" si="16"/>
        <v>165.75570146134331</v>
      </c>
      <c r="AU127" s="938">
        <f t="shared" si="17"/>
        <v>0</v>
      </c>
      <c r="AV127" s="938">
        <f t="shared" si="18"/>
        <v>0</v>
      </c>
      <c r="AW127" s="938">
        <f t="shared" si="19"/>
        <v>0</v>
      </c>
      <c r="AX127" s="938">
        <f t="shared" si="20"/>
        <v>705.51226541112749</v>
      </c>
      <c r="AY127" s="938">
        <f t="shared" si="21"/>
        <v>102.00098791744563</v>
      </c>
      <c r="AZ127" s="938">
        <f t="shared" si="22"/>
        <v>148.25790941234945</v>
      </c>
      <c r="BA127" s="938">
        <f t="shared" si="23"/>
        <v>130.33047149141316</v>
      </c>
      <c r="BB127" s="938">
        <f t="shared" si="24"/>
        <v>28.111591644300116</v>
      </c>
      <c r="BC127" s="530">
        <f t="shared" si="53"/>
        <v>2228.806296392157</v>
      </c>
      <c r="BD127" s="724">
        <f t="shared" si="54"/>
        <v>0</v>
      </c>
      <c r="BE127" s="436">
        <f t="shared" si="55"/>
        <v>0.18768285578546989</v>
      </c>
      <c r="BF127" s="624">
        <f t="shared" si="56"/>
        <v>0.23803263622031495</v>
      </c>
      <c r="BG127" s="624">
        <f t="shared" si="57"/>
        <v>7.4369720567308867E-2</v>
      </c>
      <c r="BH127" s="624">
        <f t="shared" si="58"/>
        <v>0</v>
      </c>
      <c r="BI127" s="624">
        <f t="shared" si="59"/>
        <v>0</v>
      </c>
      <c r="BJ127" s="624">
        <f t="shared" si="60"/>
        <v>0</v>
      </c>
      <c r="BK127" s="624">
        <f t="shared" si="61"/>
        <v>0.49991478742690643</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64.66540764350232</v>
      </c>
      <c r="BW127" s="114">
        <f t="shared" si="65"/>
        <v>0.71516598973560319</v>
      </c>
      <c r="BX127" s="1689">
        <f t="shared" si="25"/>
        <v>2.6078429865276798</v>
      </c>
      <c r="BY127" s="527">
        <f t="shared" si="66"/>
        <v>64.66540764350232</v>
      </c>
      <c r="BZ127" s="417">
        <f t="shared" si="67"/>
        <v>0.71516598973560319</v>
      </c>
      <c r="CA127" s="544">
        <f t="shared" si="26"/>
        <v>2.6078429865276798</v>
      </c>
      <c r="CB127" s="649">
        <f t="shared" si="27"/>
        <v>0.42821681354067476</v>
      </c>
      <c r="CC127" s="525">
        <f t="shared" si="68"/>
        <v>0.34346336908430042</v>
      </c>
      <c r="CD127" s="417">
        <f t="shared" si="28"/>
        <v>0.42821681354067476</v>
      </c>
      <c r="CE127" s="525">
        <f t="shared" si="69"/>
        <v>0.34346336908430042</v>
      </c>
      <c r="CG127" s="527">
        <f t="shared" si="70"/>
        <v>1634.4143016051535</v>
      </c>
      <c r="CH127" s="528">
        <f t="shared" si="71"/>
        <v>632.64422409244105</v>
      </c>
      <c r="CI127" s="528">
        <f t="shared" si="72"/>
        <v>2617.1002125947057</v>
      </c>
      <c r="CJ127" s="528">
        <f t="shared" si="73"/>
        <v>3722.3819424594508</v>
      </c>
      <c r="CK127" s="528">
        <f t="shared" si="74"/>
        <v>50.402785851165355</v>
      </c>
      <c r="CL127" s="528">
        <f t="shared" si="75"/>
        <v>8656.9434666029174</v>
      </c>
      <c r="CM127" s="646">
        <f t="shared" si="76"/>
        <v>0</v>
      </c>
    </row>
    <row r="128" spans="1:91">
      <c r="A128" s="873">
        <f>'Input data'!A148</f>
        <v>2048</v>
      </c>
      <c r="B128" s="1551">
        <f>'Input data'!B148</f>
        <v>74.813195848926668</v>
      </c>
      <c r="C128" s="1550">
        <f>'Input data'!C148</f>
        <v>5769.8658364340272</v>
      </c>
      <c r="D128" s="1552">
        <f>'Input data'!D148</f>
        <v>1952211.0534243288</v>
      </c>
      <c r="E128" s="1454">
        <f t="shared" si="29"/>
        <v>0.9827151515151511</v>
      </c>
      <c r="F128" s="1504">
        <f t="shared" si="30"/>
        <v>0.36254393939393931</v>
      </c>
      <c r="G128" s="1509">
        <f>B128*F128*'Input data'!$C$9</f>
        <v>830.15827926708346</v>
      </c>
      <c r="H128" s="1508">
        <f>'Input data'!I148</f>
        <v>424.26313389388866</v>
      </c>
      <c r="I128" s="1509">
        <f>'Input data'!K148</f>
        <v>31740.480927482891</v>
      </c>
      <c r="J128" s="1509">
        <f>J127</f>
        <v>2228.8062963921584</v>
      </c>
      <c r="K128" s="1511">
        <f t="shared" si="78"/>
        <v>12521.580742501334</v>
      </c>
      <c r="L128" s="1504">
        <f t="shared" si="89"/>
        <v>0.57999999999999996</v>
      </c>
      <c r="M128" s="1504">
        <f t="shared" si="90"/>
        <v>0.437</v>
      </c>
      <c r="N128" s="1504">
        <f t="shared" si="91"/>
        <v>0.71200000000000008</v>
      </c>
      <c r="O128" s="1504">
        <f t="shared" si="92"/>
        <v>0.8</v>
      </c>
      <c r="P128" s="1504">
        <f t="shared" si="92"/>
        <v>0.23600000000000002</v>
      </c>
      <c r="Q128" s="1508">
        <f t="shared" si="36"/>
        <v>0</v>
      </c>
      <c r="R128" s="1509">
        <f t="shared" si="37"/>
        <v>0</v>
      </c>
      <c r="S128" s="1509">
        <f t="shared" si="38"/>
        <v>0</v>
      </c>
      <c r="T128" s="1509">
        <f t="shared" si="39"/>
        <v>0</v>
      </c>
      <c r="U128" s="1511">
        <f t="shared" si="40"/>
        <v>0</v>
      </c>
      <c r="V128" s="1509">
        <f t="shared" si="10"/>
        <v>0</v>
      </c>
      <c r="W128" s="1454">
        <f t="shared" si="86"/>
        <v>0.5</v>
      </c>
      <c r="X128" s="530">
        <f t="shared" si="41"/>
        <v>3033.4854703020706</v>
      </c>
      <c r="Y128" s="528">
        <f t="shared" si="79"/>
        <v>3033.4854703020706</v>
      </c>
      <c r="Z128" s="528">
        <f t="shared" si="80"/>
        <v>11716.901568591422</v>
      </c>
      <c r="AA128" s="530">
        <f t="shared" si="81"/>
        <v>9488.0952721992635</v>
      </c>
      <c r="AB128" s="1091">
        <f t="shared" si="42"/>
        <v>0.80977852520612237</v>
      </c>
      <c r="AC128" s="135" t="str">
        <f t="shared" si="43"/>
        <v>Yes</v>
      </c>
      <c r="AD128" s="1091">
        <f t="shared" si="44"/>
        <v>0.80977852520612237</v>
      </c>
      <c r="AE128" s="649">
        <f t="shared" si="11"/>
        <v>0.42973811714044319</v>
      </c>
      <c r="AF128" s="530">
        <f t="shared" si="45"/>
        <v>241.94109356222521</v>
      </c>
      <c r="AG128" s="527">
        <f t="shared" si="46"/>
        <v>2228.8062963921584</v>
      </c>
      <c r="AH128" s="528">
        <f t="shared" si="82"/>
        <v>8700.5280531496464</v>
      </c>
      <c r="AI128" s="528">
        <f t="shared" si="83"/>
        <v>6437.6604656145792</v>
      </c>
      <c r="AJ128" s="528">
        <f t="shared" si="12"/>
        <v>733.39160141786135</v>
      </c>
      <c r="AK128" s="528">
        <f t="shared" si="47"/>
        <v>18100.386416574245</v>
      </c>
      <c r="AL128" s="716">
        <f t="shared" si="13"/>
        <v>0</v>
      </c>
      <c r="AM128" s="649">
        <f t="shared" si="48"/>
        <v>0.1231358405890868</v>
      </c>
      <c r="AN128" s="417">
        <f t="shared" si="49"/>
        <v>0.48068189556343982</v>
      </c>
      <c r="AO128" s="417">
        <f t="shared" si="50"/>
        <v>0.35566425585918499</v>
      </c>
      <c r="AP128" s="417">
        <f t="shared" si="51"/>
        <v>4.0518007988288356E-2</v>
      </c>
      <c r="AQ128" s="525">
        <f t="shared" si="52"/>
        <v>1</v>
      </c>
      <c r="AR128" s="1086">
        <f t="shared" si="14"/>
        <v>419.04426352947598</v>
      </c>
      <c r="AS128" s="938">
        <f t="shared" si="15"/>
        <v>531.46149297161196</v>
      </c>
      <c r="AT128" s="938">
        <f t="shared" si="16"/>
        <v>165.5396456449362</v>
      </c>
      <c r="AU128" s="938">
        <f t="shared" si="17"/>
        <v>0</v>
      </c>
      <c r="AV128" s="938">
        <f t="shared" si="18"/>
        <v>0</v>
      </c>
      <c r="AW128" s="938">
        <f t="shared" si="19"/>
        <v>0</v>
      </c>
      <c r="AX128" s="938">
        <f t="shared" si="20"/>
        <v>704.59265886278706</v>
      </c>
      <c r="AY128" s="938">
        <f t="shared" si="21"/>
        <v>101.86803377756057</v>
      </c>
      <c r="AZ128" s="938">
        <f t="shared" si="22"/>
        <v>148.06466125633136</v>
      </c>
      <c r="BA128" s="938">
        <f t="shared" si="23"/>
        <v>130.16059102170658</v>
      </c>
      <c r="BB128" s="938">
        <f t="shared" si="24"/>
        <v>28.074949327748314</v>
      </c>
      <c r="BC128" s="530">
        <f t="shared" si="53"/>
        <v>2228.8062963921584</v>
      </c>
      <c r="BD128" s="724">
        <f t="shared" si="54"/>
        <v>0</v>
      </c>
      <c r="BE128" s="436">
        <f t="shared" si="55"/>
        <v>0.18801286778837473</v>
      </c>
      <c r="BF128" s="624">
        <f t="shared" si="56"/>
        <v>0.2384511807203282</v>
      </c>
      <c r="BG128" s="624">
        <f t="shared" si="57"/>
        <v>7.4272782660790501E-2</v>
      </c>
      <c r="BH128" s="624">
        <f t="shared" si="58"/>
        <v>0</v>
      </c>
      <c r="BI128" s="624">
        <f t="shared" si="59"/>
        <v>0</v>
      </c>
      <c r="BJ128" s="624">
        <f t="shared" si="60"/>
        <v>0</v>
      </c>
      <c r="BK128" s="624">
        <f t="shared" si="61"/>
        <v>0.49926316883050637</v>
      </c>
      <c r="BL128" s="624">
        <f t="shared" si="62"/>
        <v>0.99999999999999978</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64.136960419847853</v>
      </c>
      <c r="BW128" s="114">
        <f t="shared" si="65"/>
        <v>0.72655753325536587</v>
      </c>
      <c r="BX128" s="1689">
        <f t="shared" si="25"/>
        <v>1.9522110534243289</v>
      </c>
      <c r="BY128" s="527">
        <f t="shared" si="66"/>
        <v>64.136960419847853</v>
      </c>
      <c r="BZ128" s="417">
        <f t="shared" si="67"/>
        <v>0.72655753325536587</v>
      </c>
      <c r="CA128" s="544">
        <f t="shared" si="26"/>
        <v>1.9522110534243289</v>
      </c>
      <c r="CB128" s="649">
        <f t="shared" si="27"/>
        <v>0.42973811714044319</v>
      </c>
      <c r="CC128" s="525">
        <f t="shared" si="68"/>
        <v>0.35495659183064587</v>
      </c>
      <c r="CD128" s="417">
        <f t="shared" si="28"/>
        <v>0.42973811714044319</v>
      </c>
      <c r="CE128" s="525">
        <f t="shared" si="69"/>
        <v>0.35495659183064587</v>
      </c>
      <c r="CG128" s="527">
        <f t="shared" si="70"/>
        <v>1642.6429878448566</v>
      </c>
      <c r="CH128" s="528">
        <f t="shared" si="71"/>
        <v>635.82935947476392</v>
      </c>
      <c r="CI128" s="528">
        <f t="shared" si="72"/>
        <v>2630.2763677997555</v>
      </c>
      <c r="CJ128" s="528">
        <f t="shared" si="73"/>
        <v>3741.1227923398965</v>
      </c>
      <c r="CK128" s="528">
        <f t="shared" si="74"/>
        <v>50.656545690374344</v>
      </c>
      <c r="CL128" s="528">
        <f t="shared" si="75"/>
        <v>8700.5280531496464</v>
      </c>
      <c r="CM128" s="646">
        <f t="shared" si="76"/>
        <v>0</v>
      </c>
    </row>
    <row r="129" spans="1:91">
      <c r="A129" s="127">
        <f>'Input data'!A149</f>
        <v>2049</v>
      </c>
      <c r="B129" s="662">
        <f>'Input data'!B149</f>
        <v>75.173102421925719</v>
      </c>
      <c r="C129" s="236">
        <f>'Input data'!C149</f>
        <v>5861.5540552090788</v>
      </c>
      <c r="D129" s="237">
        <f>'Input data'!D149</f>
        <v>1296579.1203209779</v>
      </c>
      <c r="E129" s="649">
        <f t="shared" si="29"/>
        <v>0.99135757575757533</v>
      </c>
      <c r="F129" s="417">
        <f t="shared" si="30"/>
        <v>0.36489696969696961</v>
      </c>
      <c r="G129" s="528">
        <f>B129*F129*'Input data'!$C$9</f>
        <v>839.56587459545926</v>
      </c>
      <c r="H129" s="527">
        <f>'Input data'!I149</f>
        <v>424.26313389388866</v>
      </c>
      <c r="I129" s="528">
        <f>'Input data'!K149</f>
        <v>31893.176018052476</v>
      </c>
      <c r="J129" s="528">
        <f t="shared" ref="J129:J130" si="95">J128</f>
        <v>2228.8062963921584</v>
      </c>
      <c r="K129" s="530">
        <f t="shared" si="78"/>
        <v>12592.540968024889</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3033.4854703020706</v>
      </c>
      <c r="Y129" s="528">
        <f t="shared" si="79"/>
        <v>3033.4854703020706</v>
      </c>
      <c r="Z129" s="528">
        <f t="shared" si="80"/>
        <v>11787.861794114977</v>
      </c>
      <c r="AA129" s="530">
        <f t="shared" si="81"/>
        <v>9559.0554977228185</v>
      </c>
      <c r="AB129" s="1091">
        <f t="shared" si="42"/>
        <v>0.81092361487433817</v>
      </c>
      <c r="AC129" s="135" t="str">
        <f t="shared" si="43"/>
        <v>Yes</v>
      </c>
      <c r="AD129" s="1091">
        <f t="shared" si="44"/>
        <v>0.81092361487433817</v>
      </c>
      <c r="AE129" s="649">
        <f t="shared" si="11"/>
        <v>0.43118445086567736</v>
      </c>
      <c r="AF129" s="530">
        <f t="shared" si="45"/>
        <v>241.32746748330089</v>
      </c>
      <c r="AG129" s="527">
        <f t="shared" si="46"/>
        <v>2228.8062963921584</v>
      </c>
      <c r="AH129" s="528">
        <f t="shared" si="82"/>
        <v>8742.384001145967</v>
      </c>
      <c r="AI129" s="528">
        <f t="shared" si="83"/>
        <v>6437.6604656145792</v>
      </c>
      <c r="AJ129" s="528">
        <f t="shared" si="12"/>
        <v>732.48366719342437</v>
      </c>
      <c r="AK129" s="528">
        <f t="shared" si="47"/>
        <v>18141.334430346127</v>
      </c>
      <c r="AL129" s="716">
        <f t="shared" si="13"/>
        <v>0</v>
      </c>
      <c r="AM129" s="649">
        <f t="shared" si="48"/>
        <v>0.12285790248505077</v>
      </c>
      <c r="AN129" s="417">
        <f t="shared" si="49"/>
        <v>0.48190413085169981</v>
      </c>
      <c r="AO129" s="417">
        <f t="shared" si="50"/>
        <v>0.35486146238756883</v>
      </c>
      <c r="AP129" s="417">
        <f t="shared" si="51"/>
        <v>4.0376504275680729E-2</v>
      </c>
      <c r="AQ129" s="525">
        <f t="shared" si="52"/>
        <v>1.0000000000000002</v>
      </c>
      <c r="AR129" s="1086">
        <f t="shared" si="14"/>
        <v>419.74194401475603</v>
      </c>
      <c r="AS129" s="938">
        <f t="shared" si="15"/>
        <v>532.34634057506321</v>
      </c>
      <c r="AT129" s="938">
        <f t="shared" si="16"/>
        <v>165.33470859699122</v>
      </c>
      <c r="AU129" s="938">
        <f t="shared" si="17"/>
        <v>0</v>
      </c>
      <c r="AV129" s="938">
        <f t="shared" si="18"/>
        <v>0</v>
      </c>
      <c r="AW129" s="938">
        <f t="shared" si="19"/>
        <v>0</v>
      </c>
      <c r="AX129" s="938">
        <f t="shared" si="20"/>
        <v>703.72037754945893</v>
      </c>
      <c r="AY129" s="938">
        <f t="shared" si="21"/>
        <v>101.74192178764422</v>
      </c>
      <c r="AZ129" s="938">
        <f t="shared" si="22"/>
        <v>147.88135812997373</v>
      </c>
      <c r="BA129" s="938">
        <f t="shared" si="23"/>
        <v>129.99945302253519</v>
      </c>
      <c r="BB129" s="938">
        <f t="shared" si="24"/>
        <v>28.040192715735415</v>
      </c>
      <c r="BC129" s="530">
        <f t="shared" si="53"/>
        <v>2228.8062963921584</v>
      </c>
      <c r="BD129" s="724">
        <f t="shared" si="54"/>
        <v>0</v>
      </c>
      <c r="BE129" s="436">
        <f t="shared" si="55"/>
        <v>0.18832589655467416</v>
      </c>
      <c r="BF129" s="624">
        <f t="shared" si="56"/>
        <v>0.23884818588173842</v>
      </c>
      <c r="BG129" s="624">
        <f t="shared" si="57"/>
        <v>7.4180833419496314E-2</v>
      </c>
      <c r="BH129" s="624">
        <f t="shared" si="58"/>
        <v>0</v>
      </c>
      <c r="BI129" s="624">
        <f t="shared" si="59"/>
        <v>0</v>
      </c>
      <c r="BJ129" s="624">
        <f t="shared" si="60"/>
        <v>0</v>
      </c>
      <c r="BK129" s="624">
        <f t="shared" si="61"/>
        <v>0.49864508414409087</v>
      </c>
      <c r="BL129" s="624">
        <f t="shared" si="62"/>
        <v>0.99999999999999978</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63.683734452256573</v>
      </c>
      <c r="BW129" s="114">
        <f t="shared" si="65"/>
        <v>0.73769463023343285</v>
      </c>
      <c r="BX129" s="1689">
        <f t="shared" si="25"/>
        <v>1.2965791203209778</v>
      </c>
      <c r="BY129" s="527">
        <f t="shared" si="66"/>
        <v>63.683734452256573</v>
      </c>
      <c r="BZ129" s="417">
        <f t="shared" si="67"/>
        <v>0.73769463023343285</v>
      </c>
      <c r="CA129" s="544">
        <f t="shared" si="26"/>
        <v>1.2965791203209778</v>
      </c>
      <c r="CB129" s="649">
        <f t="shared" si="27"/>
        <v>0.43118445086567736</v>
      </c>
      <c r="CC129" s="525">
        <f t="shared" si="68"/>
        <v>0.36585667689368018</v>
      </c>
      <c r="CD129" s="417">
        <f t="shared" si="28"/>
        <v>0.43118445086567736</v>
      </c>
      <c r="CE129" s="525">
        <f t="shared" si="69"/>
        <v>0.36585667689368018</v>
      </c>
      <c r="CG129" s="527">
        <f t="shared" si="70"/>
        <v>1650.5453104459386</v>
      </c>
      <c r="CH129" s="528">
        <f t="shared" si="71"/>
        <v>638.88816699105871</v>
      </c>
      <c r="CI129" s="528">
        <f t="shared" si="72"/>
        <v>2642.929934364226</v>
      </c>
      <c r="CJ129" s="528">
        <f t="shared" si="73"/>
        <v>3759.1203483603422</v>
      </c>
      <c r="CK129" s="528">
        <f t="shared" si="74"/>
        <v>50.900240984399851</v>
      </c>
      <c r="CL129" s="528">
        <f t="shared" si="75"/>
        <v>8742.3840011459652</v>
      </c>
      <c r="CM129" s="646">
        <f t="shared" si="76"/>
        <v>0</v>
      </c>
    </row>
    <row r="130" spans="1:91" ht="15.75" thickBot="1">
      <c r="A130" s="172">
        <f>'Input data'!A150</f>
        <v>2050</v>
      </c>
      <c r="B130" s="664">
        <f>'Input data'!B150</f>
        <v>75.517908954390194</v>
      </c>
      <c r="C130" s="239">
        <f>'Input data'!C150</f>
        <v>5947.0928685667695</v>
      </c>
      <c r="D130" s="240">
        <f>'Input data'!D150</f>
        <v>640947.1872176266</v>
      </c>
      <c r="E130" s="650">
        <f>C51</f>
        <v>1</v>
      </c>
      <c r="F130" s="651">
        <f>D51</f>
        <v>0.36725000000000002</v>
      </c>
      <c r="G130" s="667">
        <f>B130*F130*'Input data'!$C$9</f>
        <v>848.85557913235698</v>
      </c>
      <c r="H130" s="670">
        <f>'Input data'!I150</f>
        <v>424.26313389388866</v>
      </c>
      <c r="I130" s="667">
        <f>'Input data'!K150</f>
        <v>32039.46471810294</v>
      </c>
      <c r="J130" s="667">
        <f t="shared" si="95"/>
        <v>2228.8062963921584</v>
      </c>
      <c r="K130" s="659">
        <f t="shared" si="78"/>
        <v>12660.52402568841</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3033.4854703020706</v>
      </c>
      <c r="Y130" s="667">
        <f t="shared" si="79"/>
        <v>3033.4854703020706</v>
      </c>
      <c r="Z130" s="667">
        <f t="shared" si="80"/>
        <v>11855.844851778498</v>
      </c>
      <c r="AA130" s="659">
        <f t="shared" si="81"/>
        <v>9627.0385553863398</v>
      </c>
      <c r="AB130" s="1094">
        <f t="shared" si="42"/>
        <v>0.81200780507364567</v>
      </c>
      <c r="AC130" s="1105" t="str">
        <f t="shared" si="43"/>
        <v>Yes</v>
      </c>
      <c r="AD130" s="1094">
        <f t="shared" si="44"/>
        <v>0.81200780507364567</v>
      </c>
      <c r="AE130" s="650">
        <f t="shared" si="11"/>
        <v>0.43255685430643398</v>
      </c>
      <c r="AF130" s="659">
        <f t="shared" si="45"/>
        <v>240.74520729855877</v>
      </c>
      <c r="AG130" s="670">
        <f t="shared" si="46"/>
        <v>2228.8062963921584</v>
      </c>
      <c r="AH130" s="667">
        <f t="shared" si="82"/>
        <v>8782.4838642058785</v>
      </c>
      <c r="AI130" s="667">
        <f t="shared" si="83"/>
        <v>6437.6604656145792</v>
      </c>
      <c r="AJ130" s="667">
        <f t="shared" si="12"/>
        <v>731.62401976573904</v>
      </c>
      <c r="AK130" s="667">
        <f t="shared" si="47"/>
        <v>18180.574645978355</v>
      </c>
      <c r="AL130" s="717">
        <f t="shared" si="13"/>
        <v>0</v>
      </c>
      <c r="AM130" s="650">
        <f t="shared" si="48"/>
        <v>0.12259273096657497</v>
      </c>
      <c r="AN130" s="651">
        <f t="shared" si="49"/>
        <v>0.48306965182470801</v>
      </c>
      <c r="AO130" s="651">
        <f t="shared" si="50"/>
        <v>0.35409554378627001</v>
      </c>
      <c r="AP130" s="651">
        <f t="shared" si="51"/>
        <v>4.0242073422446983E-2</v>
      </c>
      <c r="AQ130" s="652">
        <f t="shared" si="52"/>
        <v>1</v>
      </c>
      <c r="AR130" s="1474">
        <f t="shared" si="14"/>
        <v>420.40251965820505</v>
      </c>
      <c r="AS130" s="1475">
        <f t="shared" si="15"/>
        <v>533.1841292008545</v>
      </c>
      <c r="AT130" s="1475">
        <f t="shared" si="16"/>
        <v>165.14067074561211</v>
      </c>
      <c r="AU130" s="1475">
        <f t="shared" si="17"/>
        <v>0</v>
      </c>
      <c r="AV130" s="1475">
        <f t="shared" si="18"/>
        <v>0</v>
      </c>
      <c r="AW130" s="1475">
        <f t="shared" si="19"/>
        <v>0</v>
      </c>
      <c r="AX130" s="1475">
        <f t="shared" si="20"/>
        <v>702.89448689897097</v>
      </c>
      <c r="AY130" s="1475">
        <f t="shared" si="21"/>
        <v>101.62251682986867</v>
      </c>
      <c r="AZ130" s="1475">
        <f t="shared" si="22"/>
        <v>147.70780364021132</v>
      </c>
      <c r="BA130" s="1475">
        <f t="shared" si="23"/>
        <v>129.84688484880445</v>
      </c>
      <c r="BB130" s="1475">
        <f t="shared" si="24"/>
        <v>28.007284569629931</v>
      </c>
      <c r="BC130" s="659">
        <f t="shared" si="53"/>
        <v>2228.8062963921575</v>
      </c>
      <c r="BD130" s="725">
        <f t="shared" si="54"/>
        <v>0</v>
      </c>
      <c r="BE130" s="683">
        <f t="shared" si="55"/>
        <v>0.18862227746696719</v>
      </c>
      <c r="BF130" s="683">
        <f>AS130/BC130</f>
        <v>0.23922407706041449</v>
      </c>
      <c r="BG130" s="683">
        <f t="shared" si="57"/>
        <v>7.409377432795787E-2</v>
      </c>
      <c r="BH130" s="683">
        <f t="shared" si="58"/>
        <v>0</v>
      </c>
      <c r="BI130" s="683">
        <f t="shared" si="59"/>
        <v>0</v>
      </c>
      <c r="BJ130" s="683">
        <f t="shared" si="60"/>
        <v>0</v>
      </c>
      <c r="BK130" s="683">
        <f t="shared" si="61"/>
        <v>0.49805987114466022</v>
      </c>
      <c r="BL130" s="683">
        <f t="shared" si="62"/>
        <v>0.99999999999999978</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63.242614932839146</v>
      </c>
      <c r="BW130" s="651">
        <f t="shared" si="65"/>
        <v>0.74832242495320411</v>
      </c>
      <c r="BX130" s="1690">
        <f t="shared" si="25"/>
        <v>0.64094718721762656</v>
      </c>
      <c r="BY130" s="670">
        <f t="shared" si="66"/>
        <v>63.242614932839146</v>
      </c>
      <c r="BZ130" s="651">
        <f t="shared" si="67"/>
        <v>0.74832242495320411</v>
      </c>
      <c r="CA130" s="675">
        <f t="shared" si="26"/>
        <v>0.64094718721762656</v>
      </c>
      <c r="CB130" s="650">
        <f t="shared" si="27"/>
        <v>0.43255685430643398</v>
      </c>
      <c r="CC130" s="652">
        <f t="shared" si="68"/>
        <v>0.3757915526682799</v>
      </c>
      <c r="CD130" s="651">
        <f t="shared" si="28"/>
        <v>0.43255685430643398</v>
      </c>
      <c r="CE130" s="652">
        <f t="shared" si="69"/>
        <v>0.3757915526682799</v>
      </c>
      <c r="CG130" s="670">
        <f t="shared" si="70"/>
        <v>1658.1160875834321</v>
      </c>
      <c r="CH130" s="667">
        <f t="shared" si="71"/>
        <v>641.8186408759376</v>
      </c>
      <c r="CI130" s="667">
        <f t="shared" si="72"/>
        <v>2655.0526149089219</v>
      </c>
      <c r="CJ130" s="667">
        <f t="shared" si="73"/>
        <v>3776.3628089037393</v>
      </c>
      <c r="CK130" s="667">
        <f t="shared" si="74"/>
        <v>51.13371193384836</v>
      </c>
      <c r="CL130" s="667">
        <f t="shared" si="75"/>
        <v>8782.4838642058785</v>
      </c>
      <c r="CM130" s="653">
        <f t="shared" si="76"/>
        <v>0</v>
      </c>
    </row>
    <row r="131" spans="1:91">
      <c r="AL131" s="529"/>
      <c r="AM131" s="528"/>
      <c r="AN131" s="623"/>
      <c r="AO131" s="623"/>
      <c r="AP131" s="623"/>
      <c r="AS131" s="114"/>
    </row>
    <row r="132" spans="1:91" ht="23.25">
      <c r="A132" s="686" t="s">
        <v>637</v>
      </c>
      <c r="AL132" s="529"/>
      <c r="AM132" s="528"/>
      <c r="AO132" s="623"/>
      <c r="AS132" s="114"/>
    </row>
    <row r="133" spans="1:91" ht="15.75" thickBot="1">
      <c r="AL133" s="529"/>
      <c r="AM133" s="528"/>
    </row>
    <row r="134" spans="1:91" ht="21.6" customHeight="1" thickBot="1">
      <c r="A134" s="1715" t="s">
        <v>602</v>
      </c>
      <c r="B134" s="1894"/>
      <c r="C134" s="1894"/>
      <c r="D134" s="1895"/>
      <c r="E134" s="1822" t="s">
        <v>603</v>
      </c>
      <c r="F134" s="1823"/>
      <c r="G134" s="1823"/>
      <c r="H134" s="1823"/>
      <c r="I134" s="1824"/>
      <c r="J134" s="1825" t="s">
        <v>604</v>
      </c>
      <c r="K134" s="1826"/>
      <c r="L134" s="1827"/>
      <c r="M134" s="1828" t="s">
        <v>764</v>
      </c>
      <c r="N134" s="1830" t="s">
        <v>607</v>
      </c>
      <c r="O134" s="1893"/>
      <c r="P134" s="1809" t="s">
        <v>594</v>
      </c>
      <c r="Q134" s="1811" t="s">
        <v>772</v>
      </c>
      <c r="R134" s="1811" t="s">
        <v>775</v>
      </c>
      <c r="S134" s="1811" t="s">
        <v>774</v>
      </c>
      <c r="T134" s="1843" t="s">
        <v>776</v>
      </c>
      <c r="U134" s="1876" t="s">
        <v>777</v>
      </c>
      <c r="V134" s="1813" t="s">
        <v>767</v>
      </c>
      <c r="W134" s="1815" t="s">
        <v>768</v>
      </c>
      <c r="X134" s="1878" t="s">
        <v>592</v>
      </c>
      <c r="Y134" s="1879"/>
      <c r="Z134" s="1879"/>
      <c r="AA134" s="1879"/>
      <c r="AB134" s="1879"/>
      <c r="AC134" s="1879"/>
      <c r="AD134" s="1879"/>
      <c r="AE134" s="1880"/>
      <c r="AF134" s="1880"/>
      <c r="AG134" s="1880"/>
      <c r="AH134" s="1880"/>
      <c r="AI134" s="1880"/>
      <c r="AJ134" s="1881"/>
      <c r="AK134" s="1887" t="s">
        <v>735</v>
      </c>
      <c r="AL134" s="1888"/>
      <c r="AM134" s="1888"/>
      <c r="AN134" s="1888"/>
      <c r="AO134" s="1889"/>
    </row>
    <row r="135" spans="1:91" ht="58.9" customHeight="1">
      <c r="A135" s="1818" t="s">
        <v>217</v>
      </c>
      <c r="B135" s="703" t="s">
        <v>218</v>
      </c>
      <c r="C135" s="703" t="s">
        <v>390</v>
      </c>
      <c r="D135" s="513" t="s">
        <v>629</v>
      </c>
      <c r="E135" s="704" t="s">
        <v>786</v>
      </c>
      <c r="F135" s="704" t="s">
        <v>787</v>
      </c>
      <c r="G135" s="704" t="s">
        <v>771</v>
      </c>
      <c r="H135" s="704" t="s">
        <v>597</v>
      </c>
      <c r="I135" s="704" t="s">
        <v>626</v>
      </c>
      <c r="J135" s="1461" t="s">
        <v>326</v>
      </c>
      <c r="K135" s="1633" t="s">
        <v>765</v>
      </c>
      <c r="L135" s="706" t="s">
        <v>766</v>
      </c>
      <c r="M135" s="1829"/>
      <c r="N135" s="508" t="s">
        <v>605</v>
      </c>
      <c r="O135" s="511" t="s">
        <v>606</v>
      </c>
      <c r="P135" s="1810"/>
      <c r="Q135" s="1812"/>
      <c r="R135" s="1812"/>
      <c r="S135" s="1812"/>
      <c r="T135" s="1844"/>
      <c r="U135" s="1877"/>
      <c r="V135" s="1814"/>
      <c r="W135" s="1816"/>
      <c r="X135" s="1464" t="s">
        <v>473</v>
      </c>
      <c r="Y135" s="1465" t="s">
        <v>489</v>
      </c>
      <c r="Z135" s="1465" t="s">
        <v>815</v>
      </c>
      <c r="AA135" s="1465" t="s">
        <v>377</v>
      </c>
      <c r="AB135" s="1465" t="s">
        <v>477</v>
      </c>
      <c r="AC135" s="1465" t="s">
        <v>225</v>
      </c>
      <c r="AD135" s="713" t="s">
        <v>617</v>
      </c>
      <c r="AE135" s="1092" t="s">
        <v>473</v>
      </c>
      <c r="AF135" s="1463" t="s">
        <v>489</v>
      </c>
      <c r="AG135" s="1463" t="s">
        <v>376</v>
      </c>
      <c r="AH135" s="1463" t="s">
        <v>377</v>
      </c>
      <c r="AI135" s="1463" t="s">
        <v>477</v>
      </c>
      <c r="AJ135" s="718" t="s">
        <v>225</v>
      </c>
      <c r="AK135" s="1464" t="s">
        <v>731</v>
      </c>
      <c r="AL135" s="1465" t="s">
        <v>493</v>
      </c>
      <c r="AM135" s="1465" t="s">
        <v>732</v>
      </c>
      <c r="AN135" s="1465" t="s">
        <v>225</v>
      </c>
      <c r="AO135" s="713" t="s">
        <v>617</v>
      </c>
    </row>
    <row r="136" spans="1:91" ht="61.15" customHeight="1" thickBot="1">
      <c r="A136" s="1845"/>
      <c r="B136" s="458" t="s">
        <v>232</v>
      </c>
      <c r="C136" s="459" t="s">
        <v>482</v>
      </c>
      <c r="D136" s="477" t="s">
        <v>480</v>
      </c>
      <c r="E136" s="1127" t="s">
        <v>228</v>
      </c>
      <c r="F136" s="1127" t="s">
        <v>228</v>
      </c>
      <c r="G136" s="1127" t="s">
        <v>228</v>
      </c>
      <c r="H136" s="1479" t="str">
        <f>G136</f>
        <v>Gg</v>
      </c>
      <c r="I136" s="1127" t="s">
        <v>228</v>
      </c>
      <c r="J136" s="707" t="s">
        <v>229</v>
      </c>
      <c r="K136" s="1114" t="s">
        <v>228</v>
      </c>
      <c r="L136" s="1114" t="s">
        <v>228</v>
      </c>
      <c r="M136" s="1114" t="s">
        <v>228</v>
      </c>
      <c r="N136" s="1472" t="s">
        <v>229</v>
      </c>
      <c r="O136" s="1642" t="s">
        <v>228</v>
      </c>
      <c r="P136" s="1115" t="s">
        <v>228</v>
      </c>
      <c r="Q136" s="1116" t="s">
        <v>228</v>
      </c>
      <c r="R136" s="1116" t="s">
        <v>228</v>
      </c>
      <c r="S136" s="1117" t="s">
        <v>28</v>
      </c>
      <c r="T136" s="1844"/>
      <c r="U136" s="1117" t="s">
        <v>28</v>
      </c>
      <c r="V136" s="1116" t="s">
        <v>228</v>
      </c>
      <c r="W136" s="1496"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1176" t="s">
        <v>229</v>
      </c>
      <c r="AK136" s="191" t="s">
        <v>228</v>
      </c>
      <c r="AL136" s="1095" t="s">
        <v>228</v>
      </c>
      <c r="AM136" s="1095" t="s">
        <v>228</v>
      </c>
      <c r="AN136" s="1095" t="s">
        <v>228</v>
      </c>
      <c r="AO136" s="1096" t="s">
        <v>590</v>
      </c>
    </row>
    <row r="137" spans="1:91" ht="15" customHeight="1">
      <c r="A137" s="736">
        <f>'Input data'!A117</f>
        <v>2017</v>
      </c>
      <c r="B137" s="737">
        <f>'Input data'!B117</f>
        <v>56.521948041648095</v>
      </c>
      <c r="C137" s="738">
        <f>'Input data'!C117</f>
        <v>3117.5115237718705</v>
      </c>
      <c r="D137" s="738">
        <f>'Input data'!D117</f>
        <v>49995051</v>
      </c>
      <c r="E137" s="956">
        <f>'Input data'!J117*C137</f>
        <v>37506.923384615395</v>
      </c>
      <c r="F137" s="957">
        <f>'Input data'!L117</f>
        <v>87501.974384615402</v>
      </c>
      <c r="G137" s="957">
        <f>F137*B11</f>
        <v>68439.708347615408</v>
      </c>
      <c r="H137" s="677">
        <f t="shared" ref="H137" si="96">E137*$B$12+I137*$E$80-G137</f>
        <v>0</v>
      </c>
      <c r="I137" s="1467">
        <f>D137/1000</f>
        <v>49995.050999999999</v>
      </c>
      <c r="J137" s="647">
        <f>H17</f>
        <v>6.154773859516615E-2</v>
      </c>
      <c r="K137" s="1501">
        <f>(I137)*J137-(I137)*$J$137</f>
        <v>0</v>
      </c>
      <c r="L137" s="1501">
        <f>(E137)*$C$12*$G$12-(E137)*$C$12*$G$12</f>
        <v>0</v>
      </c>
      <c r="M137" s="1501">
        <f>L137+K137</f>
        <v>0</v>
      </c>
      <c r="N137" s="1453">
        <v>0</v>
      </c>
      <c r="O137" s="1503">
        <f>N137*$E$137*($C$85)*$B$12</f>
        <v>0</v>
      </c>
      <c r="P137" s="1691">
        <f>O137+M137</f>
        <v>0</v>
      </c>
      <c r="Q137" s="1484">
        <f>E137*$B$12+(1-$J$137)*I137-P137</f>
        <v>68439.708347615408</v>
      </c>
      <c r="R137" s="1484">
        <f>Q137-G137</f>
        <v>0</v>
      </c>
      <c r="S137" s="1119">
        <f>R137/(Q137-I137*(1-J137))</f>
        <v>0</v>
      </c>
      <c r="T137" s="1489" t="str">
        <f>IF(AND(S137&gt;=0,S137&lt;=1),"Yes","No")</f>
        <v>Yes</v>
      </c>
      <c r="U137" s="1119">
        <f>IF(S137&lt;=0,0,IF(S137&gt;=1,1,S137))</f>
        <v>0</v>
      </c>
      <c r="V137" s="1493">
        <f t="shared" ref="V137:V170" si="97">AC137</f>
        <v>87501.974384615402</v>
      </c>
      <c r="W137" s="1490">
        <f t="shared" ref="W137:W170" si="98">(1-V137/F137)</f>
        <v>0</v>
      </c>
      <c r="X137" s="956">
        <f>(E137*$B$12-O137-L137)*(1-U137)+I137*(1-J137)</f>
        <v>68439.708347615408</v>
      </c>
      <c r="Y137" s="1501">
        <f>I137*J137+E137*$G$12*$C$12</f>
        <v>6080.5670370000007</v>
      </c>
      <c r="Z137" s="957">
        <f>($C$12*$H$12*E137+O137)</f>
        <v>1694.9190000000001</v>
      </c>
      <c r="AA137" s="957">
        <f>$F$137*$D$11</f>
        <v>0</v>
      </c>
      <c r="AB137" s="957">
        <f>E137*$E$12</f>
        <v>11286.78</v>
      </c>
      <c r="AC137" s="957">
        <f>SUM(X137:AB137)</f>
        <v>87501.974384615402</v>
      </c>
      <c r="AD137" s="1486">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7">
        <f>I137*(1-$J$137)-K137</f>
        <v>46917.968670000002</v>
      </c>
      <c r="AL137" s="1498">
        <f>(E137*$C$86*$B$12-L137)*(1-U137)</f>
        <v>20017.905677615392</v>
      </c>
      <c r="AM137" s="1498">
        <f>(E137*($C$85)*$B$12-O137)*(1-U137)</f>
        <v>1503.8340000000005</v>
      </c>
      <c r="AN137" s="1498">
        <f>SUM(AK137:AM137)</f>
        <v>68439.708347615393</v>
      </c>
      <c r="AO137" s="1563">
        <f>AN137-X137</f>
        <v>0</v>
      </c>
    </row>
    <row r="138" spans="1:91">
      <c r="A138" s="127">
        <f>'Input data'!A118</f>
        <v>2018</v>
      </c>
      <c r="B138" s="662">
        <f>'Input data'!B118</f>
        <v>57.436000617299655</v>
      </c>
      <c r="C138" s="236">
        <f>'Input data'!C118</f>
        <v>3154.0370052724184</v>
      </c>
      <c r="D138" s="236">
        <f>'Input data'!D118</f>
        <v>50359792.847133137</v>
      </c>
      <c r="E138" s="527">
        <f>'Input data'!J118*C138</f>
        <v>37946.363119089809</v>
      </c>
      <c r="F138" s="528">
        <f>'Input data'!L118</f>
        <v>88306.155966222956</v>
      </c>
      <c r="G138" s="528">
        <f>$G$137*(1+((($G$150/$G$137)^(1/($A$150-$A$137)))-1))^(A138-$A$137)</f>
        <v>64886.148572305057</v>
      </c>
      <c r="H138" s="528">
        <f>E138*$B$12+I138*$E$80-G138</f>
        <v>4148.0062349192594</v>
      </c>
      <c r="I138" s="530">
        <f t="shared" ref="I138:I170" si="99">D138/1000</f>
        <v>50359.79284713314</v>
      </c>
      <c r="J138" s="417">
        <f t="shared" ref="J138:J148" si="100">$J$137*(1+((($J$150/$J$137)^(1/($A$150-$A$137)))-1))^(A138-$A$137)</f>
        <v>6.7388021833337503E-2</v>
      </c>
      <c r="K138" s="1512">
        <f>(I138)*J138-(I138)*$J$137</f>
        <v>294.11545404289336</v>
      </c>
      <c r="L138" s="1512">
        <f t="shared" ref="L138:L170" si="101">(E138)*$C$12*$G$12-(E138)*$C$12*$G$12</f>
        <v>0</v>
      </c>
      <c r="M138" s="1509">
        <f>L138+K138</f>
        <v>294.11545404289336</v>
      </c>
      <c r="N138" s="1454">
        <f>($N$142-$N$137)/($A$102-$A$97)+N137</f>
        <v>0.05</v>
      </c>
      <c r="O138" s="1511">
        <f t="shared" ref="O138:O170" si="102">N138*$E$137*($C$85)*$B$12</f>
        <v>75.191700000000026</v>
      </c>
      <c r="P138" s="1692">
        <f>O138+M138</f>
        <v>369.30715404289339</v>
      </c>
      <c r="Q138" s="1364">
        <f t="shared" ref="Q138:Q170" si="103">E138*$B$12+(1-$J$137)*I138-P138</f>
        <v>68664.847653181423</v>
      </c>
      <c r="R138" s="1364">
        <f>Q138-G138</f>
        <v>3778.6990808763658</v>
      </c>
      <c r="S138" s="1091">
        <f t="shared" ref="S138:S170" si="104">R138/(Q138-I138*(1-J138))</f>
        <v>0.1741440177396035</v>
      </c>
      <c r="T138" s="135" t="str">
        <f t="shared" ref="T138:T170" si="105">IF(AND(S138&gt;=0,S138&lt;=1),"Yes","No")</f>
        <v>Yes</v>
      </c>
      <c r="U138" s="1091">
        <f t="shared" ref="U138:U170" si="106">IF(S138&lt;=0,0,IF(S138&gt;=1,1,S138))</f>
        <v>0.1741440177396035</v>
      </c>
      <c r="V138" s="1494">
        <f t="shared" si="97"/>
        <v>84527.45688534659</v>
      </c>
      <c r="W138" s="1491">
        <f t="shared" si="98"/>
        <v>4.2790890844820795E-2</v>
      </c>
      <c r="X138" s="527">
        <f t="shared" ref="X138:X170" si="107">(E138*$B$12-O138-L138)*(1-U138)+I138*(1-J138)</f>
        <v>64886.148572305057</v>
      </c>
      <c r="Y138" s="1509">
        <f t="shared" ref="Y138:Y170" si="108">I138*J138+E138*$G$12*$C$12</f>
        <v>6432.32104401378</v>
      </c>
      <c r="Z138" s="528">
        <f t="shared" ref="Z138:Z170" si="109">($C$12*$H$12*E138+O138)</f>
        <v>1789.9687605419947</v>
      </c>
      <c r="AA138" s="528">
        <f t="shared" ref="AA138:AA170" si="110">$F$137*$D$11</f>
        <v>0</v>
      </c>
      <c r="AB138" s="528">
        <f t="shared" ref="AB138:AB170" si="111">E138*$E$12</f>
        <v>11419.018508485759</v>
      </c>
      <c r="AC138" s="528">
        <f t="shared" ref="AC138:AC170" si="112">SUM(X138:AB138)</f>
        <v>84527.45688534659</v>
      </c>
      <c r="AD138" s="1487">
        <f t="shared" ref="AD138:AD170" si="113">X138-G138</f>
        <v>0</v>
      </c>
      <c r="AE138" s="417">
        <f t="shared" ref="AE138:AE170" si="114">X138/AC138</f>
        <v>0.76763398501763647</v>
      </c>
      <c r="AF138" s="417">
        <f t="shared" ref="AF138:AF170" si="115">Y138/AC138</f>
        <v>7.6097415928869219E-2</v>
      </c>
      <c r="AG138" s="417">
        <f t="shared" ref="AG138:AG170" si="116">Z138/AC138</f>
        <v>2.117618140304299E-2</v>
      </c>
      <c r="AH138" s="417">
        <f>AA138/AC138</f>
        <v>0</v>
      </c>
      <c r="AI138" s="417">
        <f t="shared" ref="AI138:AI169" si="117">AB138/AC138</f>
        <v>0.13509241765045132</v>
      </c>
      <c r="AJ138" s="525">
        <f t="shared" ref="AJ138:AJ170" si="118">SUM(AE138:AI138)</f>
        <v>1</v>
      </c>
      <c r="AK138" s="1497">
        <f t="shared" ref="AK138:AK170" si="119">I138*(1-$J$137)-K138</f>
        <v>46966.146027228184</v>
      </c>
      <c r="AL138" s="1498">
        <f t="shared" ref="AL138:AL170" si="120">(E138*$C$86*$B$12-L138)*(1-U138)</f>
        <v>16725.598779901986</v>
      </c>
      <c r="AM138" s="1498">
        <f t="shared" ref="AM138:AM170" si="121">(E138*($C$85)*$B$12-O138)*(1-U138)</f>
        <v>1194.4037651748863</v>
      </c>
      <c r="AN138" s="1498">
        <f t="shared" ref="AN138:AN170" si="122">SUM(AK138:AM138)</f>
        <v>64886.148572305057</v>
      </c>
      <c r="AO138" s="1563">
        <f t="shared" ref="AO138:AO170" si="123">AN138-X138</f>
        <v>0</v>
      </c>
    </row>
    <row r="139" spans="1:91">
      <c r="A139" s="127">
        <f>'Input data'!A119</f>
        <v>2019</v>
      </c>
      <c r="B139" s="662">
        <f>'Input data'!B119</f>
        <v>58.364834921819444</v>
      </c>
      <c r="C139" s="236">
        <f>'Input data'!C119</f>
        <v>3164.1559328574817</v>
      </c>
      <c r="D139" s="236">
        <f>'Input data'!D119</f>
        <v>53404857.831011549</v>
      </c>
      <c r="E139" s="527">
        <f>'Input data'!J119*C139</f>
        <v>38068.104398560121</v>
      </c>
      <c r="F139" s="528">
        <f>'Input data'!L119</f>
        <v>91472.962229571669</v>
      </c>
      <c r="G139" s="528">
        <f t="shared" ref="G139:G149" si="124">$G$137*(1+((($G$150/$G$137)^(1/($A$150-$A$137)))-1))^(A139-$A$137)</f>
        <v>61517.098453473154</v>
      </c>
      <c r="H139" s="528">
        <f t="shared" ref="H139:H170" si="125">E139*$B$12+I139*$E$80-G139</f>
        <v>10444.560486922783</v>
      </c>
      <c r="I139" s="530">
        <f t="shared" si="99"/>
        <v>53404.857831011548</v>
      </c>
      <c r="J139" s="417">
        <f t="shared" si="100"/>
        <v>7.3782491286642105E-2</v>
      </c>
      <c r="K139" s="1512">
        <f t="shared" ref="K139:K170" si="126">(I139)*J139-(I139)*$J$137</f>
        <v>653.39522808585889</v>
      </c>
      <c r="L139" s="1512">
        <f t="shared" si="101"/>
        <v>0</v>
      </c>
      <c r="M139" s="1509">
        <f t="shared" ref="M139:M170" si="127">L139+K139</f>
        <v>653.39522808585889</v>
      </c>
      <c r="N139" s="1454">
        <f>($N$142-$N$137)/($A$102-$A$97)+N138</f>
        <v>0.1</v>
      </c>
      <c r="O139" s="1511">
        <f t="shared" si="102"/>
        <v>150.38340000000005</v>
      </c>
      <c r="P139" s="1692">
        <f>O139+M139</f>
        <v>803.77862808585894</v>
      </c>
      <c r="Q139" s="1364">
        <f t="shared" si="103"/>
        <v>71157.880312310081</v>
      </c>
      <c r="R139" s="1364">
        <f t="shared" ref="R139:R170" si="128">Q139-G139</f>
        <v>9640.7818588369264</v>
      </c>
      <c r="S139" s="1091">
        <f t="shared" si="104"/>
        <v>0.44441152590149363</v>
      </c>
      <c r="T139" s="135" t="str">
        <f t="shared" si="105"/>
        <v>Yes</v>
      </c>
      <c r="U139" s="1091">
        <f t="shared" si="106"/>
        <v>0.44441152590149363</v>
      </c>
      <c r="V139" s="1494">
        <f>AC139</f>
        <v>81832.180370734743</v>
      </c>
      <c r="W139" s="1491">
        <f t="shared" si="98"/>
        <v>0.10539487979673434</v>
      </c>
      <c r="X139" s="527">
        <f t="shared" si="107"/>
        <v>61517.098453473154</v>
      </c>
      <c r="Y139" s="1509">
        <f t="shared" si="108"/>
        <v>6988.7664970578244</v>
      </c>
      <c r="Z139" s="528">
        <f t="shared" si="109"/>
        <v>1870.6618877196547</v>
      </c>
      <c r="AA139" s="528">
        <f t="shared" si="110"/>
        <v>0</v>
      </c>
      <c r="AB139" s="528">
        <f t="shared" si="111"/>
        <v>11455.653532484115</v>
      </c>
      <c r="AC139" s="528">
        <f t="shared" si="112"/>
        <v>81832.180370734743</v>
      </c>
      <c r="AD139" s="1487">
        <f t="shared" si="113"/>
        <v>0</v>
      </c>
      <c r="AE139" s="417">
        <f t="shared" si="114"/>
        <v>0.75174702879447197</v>
      </c>
      <c r="AF139" s="417">
        <f t="shared" si="115"/>
        <v>8.5403645184519414E-2</v>
      </c>
      <c r="AG139" s="417">
        <f t="shared" si="116"/>
        <v>2.2859734144254216E-2</v>
      </c>
      <c r="AH139" s="417">
        <f t="shared" ref="AH139:AH170" si="129">AA139/AC139</f>
        <v>0</v>
      </c>
      <c r="AI139" s="417">
        <f t="shared" si="117"/>
        <v>0.13998959187675447</v>
      </c>
      <c r="AJ139" s="525">
        <f t="shared" si="118"/>
        <v>1</v>
      </c>
      <c r="AK139" s="1497">
        <f t="shared" si="119"/>
        <v>49464.514373430582</v>
      </c>
      <c r="AL139" s="1498">
        <f t="shared" si="120"/>
        <v>11288.121529300306</v>
      </c>
      <c r="AM139" s="1498">
        <f t="shared" si="121"/>
        <v>764.46255074226679</v>
      </c>
      <c r="AN139" s="1498">
        <f t="shared" si="122"/>
        <v>61517.098453473154</v>
      </c>
      <c r="AO139" s="1563">
        <f t="shared" si="123"/>
        <v>0</v>
      </c>
    </row>
    <row r="140" spans="1:91">
      <c r="A140" s="127">
        <f>'Input data'!A120</f>
        <v>2020</v>
      </c>
      <c r="B140" s="662">
        <f>'Input data'!B120</f>
        <v>59.308690000000006</v>
      </c>
      <c r="C140" s="236">
        <f>'Input data'!C120</f>
        <v>2966.4312031486884</v>
      </c>
      <c r="D140" s="236">
        <f>'Input data'!D120</f>
        <v>50522212.337504238</v>
      </c>
      <c r="E140" s="527">
        <f>'Input data'!J120*C140</f>
        <v>35689.269153884321</v>
      </c>
      <c r="F140" s="528">
        <f>'Input data'!L120</f>
        <v>86211.481491388549</v>
      </c>
      <c r="G140" s="528">
        <f t="shared" si="124"/>
        <v>58322.977791126912</v>
      </c>
      <c r="H140" s="528">
        <f t="shared" si="125"/>
        <v>9568.4633669764662</v>
      </c>
      <c r="I140" s="530">
        <f t="shared" si="99"/>
        <v>50522.212337504236</v>
      </c>
      <c r="J140" s="417">
        <f t="shared" si="100"/>
        <v>8.0783733850016193E-2</v>
      </c>
      <c r="K140" s="1512">
        <f t="shared" si="126"/>
        <v>971.84503678875808</v>
      </c>
      <c r="L140" s="1512">
        <f t="shared" si="101"/>
        <v>0</v>
      </c>
      <c r="M140" s="1509">
        <f t="shared" si="127"/>
        <v>971.84503678875808</v>
      </c>
      <c r="N140" s="1454">
        <f>($N$142-$N$137)/($A$102-$A$97)+N139</f>
        <v>0.15000000000000002</v>
      </c>
      <c r="O140" s="1511">
        <f t="shared" si="102"/>
        <v>225.57510000000011</v>
      </c>
      <c r="P140" s="1692">
        <f t="shared" ref="P140:P170" si="130">O140+M140</f>
        <v>1197.4201367887581</v>
      </c>
      <c r="Q140" s="1364">
        <f t="shared" si="103"/>
        <v>66694.02102131462</v>
      </c>
      <c r="R140" s="1364">
        <f t="shared" si="128"/>
        <v>8371.0432301877081</v>
      </c>
      <c r="S140" s="1091">
        <f t="shared" si="104"/>
        <v>0.41331991089004994</v>
      </c>
      <c r="T140" s="135" t="str">
        <f t="shared" si="105"/>
        <v>Yes</v>
      </c>
      <c r="U140" s="1091">
        <f t="shared" si="106"/>
        <v>0.41331991089004994</v>
      </c>
      <c r="V140" s="1494">
        <f t="shared" si="97"/>
        <v>77840.438261200849</v>
      </c>
      <c r="W140" s="1491">
        <f t="shared" si="98"/>
        <v>9.7098937234060489E-2</v>
      </c>
      <c r="X140" s="527">
        <f t="shared" si="107"/>
        <v>58322.977791126905</v>
      </c>
      <c r="Y140" s="1509">
        <f t="shared" si="108"/>
        <v>6939.30328983458</v>
      </c>
      <c r="Z140" s="528">
        <f t="shared" si="109"/>
        <v>1838.3552196790363</v>
      </c>
      <c r="AA140" s="528">
        <f t="shared" si="110"/>
        <v>0</v>
      </c>
      <c r="AB140" s="528">
        <f t="shared" si="111"/>
        <v>10739.801960560329</v>
      </c>
      <c r="AC140" s="528">
        <f t="shared" si="112"/>
        <v>77840.438261200849</v>
      </c>
      <c r="AD140" s="1487">
        <f t="shared" si="113"/>
        <v>0</v>
      </c>
      <c r="AE140" s="417">
        <f t="shared" si="114"/>
        <v>0.7492632247960721</v>
      </c>
      <c r="AF140" s="417">
        <f t="shared" si="115"/>
        <v>8.9147793163099884E-2</v>
      </c>
      <c r="AG140" s="417">
        <f t="shared" si="116"/>
        <v>2.3616969029776835E-2</v>
      </c>
      <c r="AH140" s="417">
        <f t="shared" si="129"/>
        <v>0</v>
      </c>
      <c r="AI140" s="417">
        <f t="shared" si="117"/>
        <v>0.13797201301105119</v>
      </c>
      <c r="AJ140" s="525">
        <f t="shared" si="118"/>
        <v>1</v>
      </c>
      <c r="AK140" s="1497">
        <f t="shared" si="119"/>
        <v>46440.83938251729</v>
      </c>
      <c r="AL140" s="1498">
        <f t="shared" si="120"/>
        <v>11174.965758104454</v>
      </c>
      <c r="AM140" s="1498">
        <f t="shared" si="121"/>
        <v>707.17265050516494</v>
      </c>
      <c r="AN140" s="1498">
        <f t="shared" si="122"/>
        <v>58322.977791126905</v>
      </c>
      <c r="AO140" s="1563">
        <f t="shared" si="123"/>
        <v>0</v>
      </c>
    </row>
    <row r="141" spans="1:91">
      <c r="A141" s="127">
        <f>'Input data'!A121</f>
        <v>2021</v>
      </c>
      <c r="B141" s="662">
        <f>'Input data'!B121</f>
        <v>60.097873988486953</v>
      </c>
      <c r="C141" s="236">
        <f>'Input data'!C121</f>
        <v>3038.4599250524875</v>
      </c>
      <c r="D141" s="1550">
        <f>'Input data'!D121</f>
        <v>50478759.434739612</v>
      </c>
      <c r="E141" s="1508">
        <f>'Input data'!J121*C141</f>
        <v>36555.849993549964</v>
      </c>
      <c r="F141" s="1509">
        <f>'Input data'!L121</f>
        <v>87034.609428289579</v>
      </c>
      <c r="G141" s="1509">
        <f t="shared" si="124"/>
        <v>55294.7038130703</v>
      </c>
      <c r="H141" s="1509">
        <f t="shared" si="125"/>
        <v>13053.209125798967</v>
      </c>
      <c r="I141" s="1511">
        <f t="shared" si="99"/>
        <v>50478.759434739615</v>
      </c>
      <c r="J141" s="417">
        <f t="shared" si="100"/>
        <v>8.8449326404511766E-2</v>
      </c>
      <c r="K141" s="1512">
        <f t="shared" si="126"/>
        <v>1357.9587794404815</v>
      </c>
      <c r="L141" s="1512">
        <f t="shared" si="101"/>
        <v>0</v>
      </c>
      <c r="M141" s="1509">
        <f t="shared" si="127"/>
        <v>1357.9587794404815</v>
      </c>
      <c r="N141" s="1454">
        <f>($N$142-$N$137)/($A$102-$A$97)+N140</f>
        <v>0.2</v>
      </c>
      <c r="O141" s="1511">
        <f t="shared" si="102"/>
        <v>300.7668000000001</v>
      </c>
      <c r="P141" s="1692">
        <f t="shared" si="130"/>
        <v>1658.7255794404816</v>
      </c>
      <c r="Q141" s="1364">
        <f t="shared" si="103"/>
        <v>66689.18735942879</v>
      </c>
      <c r="R141" s="1364">
        <f t="shared" si="128"/>
        <v>11394.48354635849</v>
      </c>
      <c r="S141" s="1091">
        <f t="shared" si="104"/>
        <v>0.55111734805526991</v>
      </c>
      <c r="T141" s="135" t="str">
        <f t="shared" si="105"/>
        <v>Yes</v>
      </c>
      <c r="U141" s="1091">
        <f t="shared" si="106"/>
        <v>0.55111734805526991</v>
      </c>
      <c r="V141" s="1494">
        <f t="shared" si="97"/>
        <v>75640.125881931104</v>
      </c>
      <c r="W141" s="1491">
        <f t="shared" si="98"/>
        <v>0.13091899442309474</v>
      </c>
      <c r="X141" s="527">
        <f t="shared" si="107"/>
        <v>55294.7038130703</v>
      </c>
      <c r="Y141" s="1509">
        <f t="shared" si="108"/>
        <v>7392.1367874310008</v>
      </c>
      <c r="Z141" s="528">
        <f t="shared" si="109"/>
        <v>1952.7072718925085</v>
      </c>
      <c r="AA141" s="528">
        <f t="shared" si="110"/>
        <v>0</v>
      </c>
      <c r="AB141" s="528">
        <f t="shared" si="111"/>
        <v>11000.578009537285</v>
      </c>
      <c r="AC141" s="528">
        <f t="shared" si="112"/>
        <v>75640.125881931104</v>
      </c>
      <c r="AD141" s="1487">
        <f t="shared" si="113"/>
        <v>0</v>
      </c>
      <c r="AE141" s="417">
        <f t="shared" si="114"/>
        <v>0.73102342398770503</v>
      </c>
      <c r="AF141" s="417">
        <f t="shared" si="115"/>
        <v>9.7727716621857613E-2</v>
      </c>
      <c r="AG141" s="417">
        <f t="shared" si="116"/>
        <v>2.5815759150646399E-2</v>
      </c>
      <c r="AH141" s="417">
        <f t="shared" si="129"/>
        <v>0</v>
      </c>
      <c r="AI141" s="417">
        <f t="shared" si="117"/>
        <v>0.14543310023979086</v>
      </c>
      <c r="AJ141" s="525">
        <f t="shared" si="118"/>
        <v>0.99999999999999989</v>
      </c>
      <c r="AK141" s="1497">
        <f t="shared" si="119"/>
        <v>46013.947165001504</v>
      </c>
      <c r="AL141" s="1498">
        <f t="shared" si="120"/>
        <v>8757.8379547825407</v>
      </c>
      <c r="AM141" s="1498">
        <f t="shared" si="121"/>
        <v>522.91869328625455</v>
      </c>
      <c r="AN141" s="1498">
        <f t="shared" si="122"/>
        <v>55294.7038130703</v>
      </c>
      <c r="AO141" s="1563">
        <f t="shared" si="123"/>
        <v>0</v>
      </c>
    </row>
    <row r="142" spans="1:91">
      <c r="A142" s="873">
        <f>'Input data'!A122</f>
        <v>2022</v>
      </c>
      <c r="B142" s="1551">
        <f>'Input data'!B122</f>
        <v>60.841582286809363</v>
      </c>
      <c r="C142" s="1550">
        <f>'Input data'!C122</f>
        <v>3105.6495314991057</v>
      </c>
      <c r="D142" s="1550">
        <f>'Input data'!D122</f>
        <v>50359792.847133152</v>
      </c>
      <c r="E142" s="1508">
        <f>'Input data'!J122*C142</f>
        <v>37364.211214356852</v>
      </c>
      <c r="F142" s="1509">
        <f>'Input data'!L122</f>
        <v>87724.004061490006</v>
      </c>
      <c r="G142" s="1509">
        <f t="shared" si="124"/>
        <v>52423.665347216396</v>
      </c>
      <c r="H142" s="1509">
        <f t="shared" si="125"/>
        <v>16276.446552302259</v>
      </c>
      <c r="I142" s="1511">
        <f t="shared" si="99"/>
        <v>50359.792847133154</v>
      </c>
      <c r="J142" s="417">
        <f t="shared" si="100"/>
        <v>9.6842309318564565E-2</v>
      </c>
      <c r="K142" s="1512">
        <f t="shared" si="126"/>
        <v>1777.4272702588346</v>
      </c>
      <c r="L142" s="1512">
        <f t="shared" si="101"/>
        <v>0</v>
      </c>
      <c r="M142" s="1509">
        <f t="shared" si="127"/>
        <v>1777.4272702588346</v>
      </c>
      <c r="N142" s="1454">
        <f>$C$26</f>
        <v>0.25</v>
      </c>
      <c r="O142" s="1511">
        <f t="shared" si="102"/>
        <v>375.95850000000013</v>
      </c>
      <c r="P142" s="1692">
        <f t="shared" si="130"/>
        <v>2153.3857702588348</v>
      </c>
      <c r="Q142" s="1364">
        <f t="shared" si="103"/>
        <v>66546.726129259827</v>
      </c>
      <c r="R142" s="1364">
        <f t="shared" si="128"/>
        <v>14123.060782043431</v>
      </c>
      <c r="S142" s="1091">
        <f t="shared" si="104"/>
        <v>0.67048676649392958</v>
      </c>
      <c r="T142" s="135" t="str">
        <f t="shared" si="105"/>
        <v>Yes</v>
      </c>
      <c r="U142" s="1091">
        <f t="shared" si="106"/>
        <v>0.67048676649392958</v>
      </c>
      <c r="V142" s="1494">
        <f t="shared" si="97"/>
        <v>73600.943279446583</v>
      </c>
      <c r="W142" s="1491">
        <f t="shared" si="98"/>
        <v>0.16099425616897156</v>
      </c>
      <c r="X142" s="527">
        <f t="shared" si="107"/>
        <v>52423.665347216396</v>
      </c>
      <c r="Y142" s="1509">
        <f t="shared" si="108"/>
        <v>7869.0152177991104</v>
      </c>
      <c r="Z142" s="528">
        <f t="shared" si="109"/>
        <v>2064.4284088169666</v>
      </c>
      <c r="AA142" s="528">
        <f t="shared" si="110"/>
        <v>0</v>
      </c>
      <c r="AB142" s="528">
        <f t="shared" si="111"/>
        <v>11243.834305614109</v>
      </c>
      <c r="AC142" s="528">
        <f t="shared" si="112"/>
        <v>73600.943279446583</v>
      </c>
      <c r="AD142" s="1487">
        <f t="shared" si="113"/>
        <v>0</v>
      </c>
      <c r="AE142" s="417">
        <f t="shared" si="114"/>
        <v>0.71226893313276263</v>
      </c>
      <c r="AF142" s="417">
        <f t="shared" si="115"/>
        <v>0.10691459738392471</v>
      </c>
      <c r="AG142" s="417">
        <f t="shared" si="116"/>
        <v>2.8048939549304229E-2</v>
      </c>
      <c r="AH142" s="417">
        <f t="shared" si="129"/>
        <v>0</v>
      </c>
      <c r="AI142" s="417">
        <f t="shared" si="117"/>
        <v>0.15276752993400838</v>
      </c>
      <c r="AJ142" s="525">
        <f t="shared" si="118"/>
        <v>1</v>
      </c>
      <c r="AK142" s="1497">
        <f t="shared" si="119"/>
        <v>45482.834211012247</v>
      </c>
      <c r="AL142" s="1498">
        <f t="shared" si="120"/>
        <v>6571.0667149418578</v>
      </c>
      <c r="AM142" s="1498">
        <f t="shared" si="121"/>
        <v>369.76442126228255</v>
      </c>
      <c r="AN142" s="1498">
        <f t="shared" si="122"/>
        <v>52423.665347216389</v>
      </c>
      <c r="AO142" s="1563">
        <f t="shared" si="123"/>
        <v>0</v>
      </c>
    </row>
    <row r="143" spans="1:91">
      <c r="A143" s="873">
        <f>'Input data'!A123</f>
        <v>2023</v>
      </c>
      <c r="B143" s="1551">
        <f>'Input data'!B123</f>
        <v>61.537824355929828</v>
      </c>
      <c r="C143" s="1550">
        <f>'Input data'!C123</f>
        <v>3166.2503551240475</v>
      </c>
      <c r="D143" s="1550">
        <f>'Input data'!D123</f>
        <v>49907933.066043317</v>
      </c>
      <c r="E143" s="1508">
        <f>'Input data'!J123*C143</f>
        <v>38093.302488410991</v>
      </c>
      <c r="F143" s="1509">
        <f>'Input data'!L123</f>
        <v>88001.23555445431</v>
      </c>
      <c r="G143" s="1509">
        <f t="shared" si="124"/>
        <v>49701.698334937471</v>
      </c>
      <c r="H143" s="1509">
        <f t="shared" si="125"/>
        <v>18992.722495171729</v>
      </c>
      <c r="I143" s="1511">
        <f t="shared" si="99"/>
        <v>49907.933066043319</v>
      </c>
      <c r="J143" s="417">
        <f t="shared" si="100"/>
        <v>0.10603170487993842</v>
      </c>
      <c r="K143" s="1512">
        <f t="shared" si="126"/>
        <v>2220.1028118525419</v>
      </c>
      <c r="L143" s="1512">
        <f t="shared" si="101"/>
        <v>0</v>
      </c>
      <c r="M143" s="1509">
        <f t="shared" si="127"/>
        <v>2220.1028118525419</v>
      </c>
      <c r="N143" s="1454">
        <f>($N$147-$N$142)/($A$107-$A$102)+N142</f>
        <v>0.3</v>
      </c>
      <c r="O143" s="1511">
        <f t="shared" si="102"/>
        <v>451.15020000000015</v>
      </c>
      <c r="P143" s="1692">
        <f t="shared" si="130"/>
        <v>2671.2530118525419</v>
      </c>
      <c r="Q143" s="1364">
        <f t="shared" si="103"/>
        <v>66023.167818256654</v>
      </c>
      <c r="R143" s="1364">
        <f t="shared" si="128"/>
        <v>16321.469483319182</v>
      </c>
      <c r="S143" s="1091">
        <f t="shared" si="104"/>
        <v>0.76243402978868891</v>
      </c>
      <c r="T143" s="135" t="str">
        <f t="shared" si="105"/>
        <v>Yes</v>
      </c>
      <c r="U143" s="1091">
        <f t="shared" si="106"/>
        <v>0.76243402978868891</v>
      </c>
      <c r="V143" s="1494">
        <f t="shared" si="97"/>
        <v>71679.76607113512</v>
      </c>
      <c r="W143" s="1491">
        <f t="shared" si="98"/>
        <v>0.18546864007630459</v>
      </c>
      <c r="X143" s="527">
        <f t="shared" si="107"/>
        <v>49701.698334937471</v>
      </c>
      <c r="Y143" s="1509">
        <f t="shared" si="108"/>
        <v>8342.2640857004826</v>
      </c>
      <c r="Z143" s="528">
        <f t="shared" si="109"/>
        <v>2172.5673767241883</v>
      </c>
      <c r="AA143" s="528">
        <f t="shared" si="110"/>
        <v>0</v>
      </c>
      <c r="AB143" s="528">
        <f t="shared" si="111"/>
        <v>11463.236273772985</v>
      </c>
      <c r="AC143" s="528">
        <f t="shared" si="112"/>
        <v>71679.76607113512</v>
      </c>
      <c r="AD143" s="1487">
        <f t="shared" si="113"/>
        <v>0</v>
      </c>
      <c r="AE143" s="417">
        <f t="shared" si="114"/>
        <v>0.69338533116323819</v>
      </c>
      <c r="AF143" s="417">
        <f t="shared" si="115"/>
        <v>0.11638241226152449</v>
      </c>
      <c r="AG143" s="417">
        <f t="shared" si="116"/>
        <v>3.0309353612679606E-2</v>
      </c>
      <c r="AH143" s="417">
        <f t="shared" si="129"/>
        <v>0</v>
      </c>
      <c r="AI143" s="417">
        <f t="shared" si="117"/>
        <v>0.15992290296255782</v>
      </c>
      <c r="AJ143" s="525">
        <f t="shared" si="118"/>
        <v>1</v>
      </c>
      <c r="AK143" s="1497">
        <f t="shared" si="119"/>
        <v>44616.109836016891</v>
      </c>
      <c r="AL143" s="1498">
        <f t="shared" si="120"/>
        <v>4829.921290596475</v>
      </c>
      <c r="AM143" s="1498">
        <f t="shared" si="121"/>
        <v>255.66720832410556</v>
      </c>
      <c r="AN143" s="1498">
        <f t="shared" si="122"/>
        <v>49701.698334937471</v>
      </c>
      <c r="AO143" s="1563">
        <f t="shared" si="123"/>
        <v>0</v>
      </c>
    </row>
    <row r="144" spans="1:91">
      <c r="A144" s="873">
        <f>'Input data'!A124</f>
        <v>2024</v>
      </c>
      <c r="B144" s="1551">
        <f>'Input data'!B124</f>
        <v>62.221509701386374</v>
      </c>
      <c r="C144" s="1550">
        <f>'Input data'!C124</f>
        <v>3234.5964359714103</v>
      </c>
      <c r="D144" s="1550">
        <f>'Input data'!D124</f>
        <v>50177221.869345397</v>
      </c>
      <c r="E144" s="1508">
        <f>'Input data'!J124*C144</f>
        <v>38915.577305499479</v>
      </c>
      <c r="F144" s="1509">
        <f>'Input data'!L124</f>
        <v>89092.799174844869</v>
      </c>
      <c r="G144" s="1509">
        <f t="shared" si="124"/>
        <v>47121.062615822855</v>
      </c>
      <c r="H144" s="1509">
        <f t="shared" si="125"/>
        <v>22297.900045144037</v>
      </c>
      <c r="I144" s="1511">
        <f t="shared" si="99"/>
        <v>50177.221869345398</v>
      </c>
      <c r="J144" s="417">
        <f t="shared" si="100"/>
        <v>0.11609308492183117</v>
      </c>
      <c r="K144" s="1512">
        <f t="shared" si="126"/>
        <v>2736.9339445733544</v>
      </c>
      <c r="L144" s="1512">
        <f t="shared" si="101"/>
        <v>0</v>
      </c>
      <c r="M144" s="1509">
        <f t="shared" si="127"/>
        <v>2736.9339445733544</v>
      </c>
      <c r="N144" s="1454">
        <f>($N$147-$N$142)/($A$107-$A$102)+N143</f>
        <v>0.35</v>
      </c>
      <c r="O144" s="1511">
        <f t="shared" si="102"/>
        <v>526.34190000000012</v>
      </c>
      <c r="P144" s="1692">
        <f t="shared" si="130"/>
        <v>3263.2758445733543</v>
      </c>
      <c r="Q144" s="1364">
        <f t="shared" si="103"/>
        <v>66155.686816393543</v>
      </c>
      <c r="R144" s="1364">
        <f t="shared" si="128"/>
        <v>19034.624200570688</v>
      </c>
      <c r="S144" s="1091">
        <f t="shared" si="104"/>
        <v>0.8729999926200509</v>
      </c>
      <c r="T144" s="135" t="str">
        <f t="shared" si="105"/>
        <v>Yes</v>
      </c>
      <c r="U144" s="1091">
        <f t="shared" si="106"/>
        <v>0.8729999926200509</v>
      </c>
      <c r="V144" s="1494">
        <f t="shared" si="97"/>
        <v>70058.17497427421</v>
      </c>
      <c r="W144" s="1491">
        <f t="shared" si="98"/>
        <v>0.21364941248748015</v>
      </c>
      <c r="X144" s="527">
        <f t="shared" si="107"/>
        <v>47121.062615822855</v>
      </c>
      <c r="Y144" s="1509">
        <f t="shared" si="108"/>
        <v>8941.5155742065763</v>
      </c>
      <c r="Z144" s="528">
        <f t="shared" si="109"/>
        <v>2284.9172620654172</v>
      </c>
      <c r="AA144" s="528">
        <f t="shared" si="110"/>
        <v>0</v>
      </c>
      <c r="AB144" s="528">
        <f t="shared" si="111"/>
        <v>11710.679522179353</v>
      </c>
      <c r="AC144" s="528">
        <f t="shared" si="112"/>
        <v>70058.17497427421</v>
      </c>
      <c r="AD144" s="1487">
        <f t="shared" si="113"/>
        <v>0</v>
      </c>
      <c r="AE144" s="417">
        <f t="shared" si="114"/>
        <v>0.67259905975463963</v>
      </c>
      <c r="AF144" s="417">
        <f t="shared" si="115"/>
        <v>0.12762986728515202</v>
      </c>
      <c r="AG144" s="417">
        <f t="shared" si="116"/>
        <v>3.2614570146945063E-2</v>
      </c>
      <c r="AH144" s="417">
        <f t="shared" si="129"/>
        <v>0</v>
      </c>
      <c r="AI144" s="417">
        <f t="shared" si="117"/>
        <v>0.16715650281326319</v>
      </c>
      <c r="AJ144" s="525">
        <f t="shared" si="118"/>
        <v>0.99999999999999989</v>
      </c>
      <c r="AK144" s="1497">
        <f t="shared" si="119"/>
        <v>44351.993389725918</v>
      </c>
      <c r="AL144" s="1498">
        <f t="shared" si="120"/>
        <v>2637.7547935012863</v>
      </c>
      <c r="AM144" s="1498">
        <f t="shared" si="121"/>
        <v>131.31443259564816</v>
      </c>
      <c r="AN144" s="1498">
        <f t="shared" si="122"/>
        <v>47121.062615822848</v>
      </c>
      <c r="AO144" s="1563">
        <f t="shared" si="123"/>
        <v>0</v>
      </c>
    </row>
    <row r="145" spans="1:41">
      <c r="A145" s="873">
        <f>'Input data'!A125</f>
        <v>2025</v>
      </c>
      <c r="B145" s="1551">
        <f>'Input data'!B125</f>
        <v>62.892038582526091</v>
      </c>
      <c r="C145" s="1550">
        <f>'Input data'!C125</f>
        <v>3296.2240257379749</v>
      </c>
      <c r="D145" s="1550">
        <f>'Input data'!D125</f>
        <v>50605741.387768611</v>
      </c>
      <c r="E145" s="1508">
        <f>'Input data'!J125*C145</f>
        <v>39657.021649851544</v>
      </c>
      <c r="F145" s="1509">
        <f>'Input data'!L125</f>
        <v>90262.763037620156</v>
      </c>
      <c r="G145" s="1509">
        <f t="shared" si="124"/>
        <v>44674.419917829786</v>
      </c>
      <c r="H145" s="1509">
        <f t="shared" si="125"/>
        <v>25572.133897937267</v>
      </c>
      <c r="I145" s="1511">
        <f t="shared" si="99"/>
        <v>50605.741387768612</v>
      </c>
      <c r="J145" s="417">
        <f t="shared" si="100"/>
        <v>0.12710919231119061</v>
      </c>
      <c r="K145" s="1512">
        <f t="shared" si="126"/>
        <v>3317.7859717592955</v>
      </c>
      <c r="L145" s="1512">
        <f t="shared" si="101"/>
        <v>0</v>
      </c>
      <c r="M145" s="1509">
        <f t="shared" si="127"/>
        <v>3317.7859717592955</v>
      </c>
      <c r="N145" s="1454">
        <f>($N$147-$N$142)/($A$107-$A$102)+N144</f>
        <v>0.39999999999999997</v>
      </c>
      <c r="O145" s="1511">
        <f t="shared" si="102"/>
        <v>601.53360000000009</v>
      </c>
      <c r="P145" s="1692">
        <f t="shared" si="130"/>
        <v>3919.3195717592957</v>
      </c>
      <c r="Q145" s="1364">
        <f t="shared" si="103"/>
        <v>66327.234244007763</v>
      </c>
      <c r="R145" s="1364">
        <f t="shared" si="128"/>
        <v>21652.814326177977</v>
      </c>
      <c r="S145" s="1091">
        <f t="shared" si="104"/>
        <v>0.97737949690211912</v>
      </c>
      <c r="T145" s="135" t="str">
        <f t="shared" si="105"/>
        <v>Yes</v>
      </c>
      <c r="U145" s="1091">
        <f t="shared" si="106"/>
        <v>0.97737949690211912</v>
      </c>
      <c r="V145" s="1494">
        <f t="shared" si="97"/>
        <v>68609.948711442194</v>
      </c>
      <c r="W145" s="1491">
        <f t="shared" si="98"/>
        <v>0.2398864559148649</v>
      </c>
      <c r="X145" s="527">
        <f t="shared" si="107"/>
        <v>44674.419917829786</v>
      </c>
      <c r="Y145" s="1509">
        <f t="shared" si="108"/>
        <v>9608.1154935988525</v>
      </c>
      <c r="Z145" s="528">
        <f t="shared" si="109"/>
        <v>2393.6144590052254</v>
      </c>
      <c r="AA145" s="528">
        <f t="shared" si="110"/>
        <v>0</v>
      </c>
      <c r="AB145" s="528">
        <f t="shared" si="111"/>
        <v>11933.798841008331</v>
      </c>
      <c r="AC145" s="528">
        <f t="shared" si="112"/>
        <v>68609.948711442194</v>
      </c>
      <c r="AD145" s="1487">
        <f t="shared" si="113"/>
        <v>0</v>
      </c>
      <c r="AE145" s="417">
        <f t="shared" si="114"/>
        <v>0.65113618005633866</v>
      </c>
      <c r="AF145" s="417">
        <f t="shared" si="115"/>
        <v>0.1400396833702412</v>
      </c>
      <c r="AG145" s="417">
        <f t="shared" si="116"/>
        <v>3.4887279526650314E-2</v>
      </c>
      <c r="AH145" s="417">
        <f t="shared" si="129"/>
        <v>0</v>
      </c>
      <c r="AI145" s="417">
        <f t="shared" si="117"/>
        <v>0.17393685704676984</v>
      </c>
      <c r="AJ145" s="525">
        <f t="shared" si="118"/>
        <v>1</v>
      </c>
      <c r="AK145" s="1497">
        <f t="shared" si="119"/>
        <v>44173.286473660351</v>
      </c>
      <c r="AL145" s="1498">
        <f t="shared" si="120"/>
        <v>478.77289044941557</v>
      </c>
      <c r="AM145" s="1498">
        <f t="shared" si="121"/>
        <v>22.360553720018977</v>
      </c>
      <c r="AN145" s="1498">
        <f t="shared" si="122"/>
        <v>44674.419917829786</v>
      </c>
      <c r="AO145" s="1563">
        <f t="shared" si="123"/>
        <v>0</v>
      </c>
    </row>
    <row r="146" spans="1:41">
      <c r="A146" s="873">
        <f>'Input data'!A126</f>
        <v>2026</v>
      </c>
      <c r="B146" s="1551">
        <f>'Input data'!B126</f>
        <v>63.548817559440096</v>
      </c>
      <c r="C146" s="1550">
        <f>'Input data'!C126</f>
        <v>3366.4633271478065</v>
      </c>
      <c r="D146" s="1550">
        <f>'Input data'!D126</f>
        <v>48876629.54391963</v>
      </c>
      <c r="E146" s="1508">
        <f>'Input data'!J126*C146</f>
        <v>40502.073889908716</v>
      </c>
      <c r="F146" s="1509">
        <f>'Input data'!L126</f>
        <v>89378.703433828341</v>
      </c>
      <c r="G146" s="1509">
        <f t="shared" si="124"/>
        <v>42354.812990240433</v>
      </c>
      <c r="H146" s="1509">
        <f t="shared" si="125"/>
        <v>26753.948897341252</v>
      </c>
      <c r="I146" s="1511">
        <f t="shared" si="99"/>
        <v>48876.629543919633</v>
      </c>
      <c r="J146" s="417">
        <f t="shared" si="100"/>
        <v>0.13917062141024203</v>
      </c>
      <c r="K146" s="1512">
        <f t="shared" si="126"/>
        <v>3793.9448874835493</v>
      </c>
      <c r="L146" s="1512">
        <f t="shared" si="101"/>
        <v>0</v>
      </c>
      <c r="M146" s="1509">
        <f t="shared" si="127"/>
        <v>3793.9448874835493</v>
      </c>
      <c r="N146" s="1454">
        <f>($N$147-$N$142)/($A$107-$A$102)+N145</f>
        <v>0.44999999999999996</v>
      </c>
      <c r="O146" s="1511">
        <f t="shared" si="102"/>
        <v>676.72530000000006</v>
      </c>
      <c r="P146" s="1692">
        <f t="shared" si="130"/>
        <v>4470.6701874835489</v>
      </c>
      <c r="Q146" s="1364">
        <f t="shared" si="103"/>
        <v>64638.091700098135</v>
      </c>
      <c r="R146" s="1364">
        <f t="shared" si="128"/>
        <v>22283.278709857703</v>
      </c>
      <c r="S146" s="1091">
        <f t="shared" si="104"/>
        <v>0.98757407093555039</v>
      </c>
      <c r="T146" s="135" t="str">
        <f t="shared" si="105"/>
        <v>Yes</v>
      </c>
      <c r="U146" s="1091">
        <f t="shared" si="106"/>
        <v>0.98757407093555039</v>
      </c>
      <c r="V146" s="1494">
        <f t="shared" si="97"/>
        <v>67095.424723970646</v>
      </c>
      <c r="W146" s="1491">
        <f t="shared" si="98"/>
        <v>0.24931306736123282</v>
      </c>
      <c r="X146" s="527">
        <f t="shared" si="107"/>
        <v>42354.812990240433</v>
      </c>
      <c r="Y146" s="1509">
        <f t="shared" si="108"/>
        <v>10045.521698161923</v>
      </c>
      <c r="Z146" s="528">
        <f t="shared" si="109"/>
        <v>2506.9936446322913</v>
      </c>
      <c r="AA146" s="528">
        <f t="shared" si="110"/>
        <v>0</v>
      </c>
      <c r="AB146" s="528">
        <f t="shared" si="111"/>
        <v>12188.096390936</v>
      </c>
      <c r="AC146" s="528">
        <f t="shared" si="112"/>
        <v>67095.424723970646</v>
      </c>
      <c r="AD146" s="1487">
        <f t="shared" si="113"/>
        <v>0</v>
      </c>
      <c r="AE146" s="417">
        <f t="shared" si="114"/>
        <v>0.63126231281026035</v>
      </c>
      <c r="AF146" s="417">
        <f t="shared" si="115"/>
        <v>0.14971992113454854</v>
      </c>
      <c r="AG146" s="417">
        <f t="shared" si="116"/>
        <v>3.736459907580908E-2</v>
      </c>
      <c r="AH146" s="417">
        <f t="shared" si="129"/>
        <v>0</v>
      </c>
      <c r="AI146" s="417">
        <f t="shared" si="117"/>
        <v>0.18165316697938208</v>
      </c>
      <c r="AJ146" s="525">
        <f t="shared" si="118"/>
        <v>1.0000000000000002</v>
      </c>
      <c r="AK146" s="1497">
        <f t="shared" si="119"/>
        <v>42074.438637854139</v>
      </c>
      <c r="AL146" s="1498">
        <f t="shared" si="120"/>
        <v>268.60452762382101</v>
      </c>
      <c r="AM146" s="1498">
        <f t="shared" si="121"/>
        <v>11.769824762474174</v>
      </c>
      <c r="AN146" s="1498">
        <f t="shared" si="122"/>
        <v>42354.812990240433</v>
      </c>
      <c r="AO146" s="1563">
        <f t="shared" si="123"/>
        <v>0</v>
      </c>
    </row>
    <row r="147" spans="1:41">
      <c r="A147" s="873">
        <f>'Input data'!A127</f>
        <v>2027</v>
      </c>
      <c r="B147" s="1551">
        <f>'Input data'!B127</f>
        <v>64.191260356766122</v>
      </c>
      <c r="C147" s="1550">
        <f>'Input data'!C127</f>
        <v>3436.4344789089987</v>
      </c>
      <c r="D147" s="1550">
        <f>'Input data'!D127</f>
        <v>48564316.261510797</v>
      </c>
      <c r="E147" s="1508">
        <f>'Input data'!J127*C147</f>
        <v>41343.900009308287</v>
      </c>
      <c r="F147" s="1509">
        <f>'Input data'!L127</f>
        <v>89908.216270819074</v>
      </c>
      <c r="G147" s="1509">
        <f t="shared" si="124"/>
        <v>40155.6458200876</v>
      </c>
      <c r="H147" s="1509">
        <f t="shared" si="125"/>
        <v>29143.070782244882</v>
      </c>
      <c r="I147" s="1511">
        <f t="shared" si="99"/>
        <v>48564.316261510794</v>
      </c>
      <c r="J147" s="417">
        <f t="shared" si="100"/>
        <v>0.15237656310721223</v>
      </c>
      <c r="K147" s="1512">
        <f t="shared" si="126"/>
        <v>4411.0397592642703</v>
      </c>
      <c r="L147" s="1512">
        <f t="shared" si="101"/>
        <v>0</v>
      </c>
      <c r="M147" s="1509">
        <f t="shared" si="127"/>
        <v>4411.0397592642703</v>
      </c>
      <c r="N147" s="1454">
        <f>$C$27</f>
        <v>0.5</v>
      </c>
      <c r="O147" s="1511">
        <f t="shared" si="102"/>
        <v>751.91700000000026</v>
      </c>
      <c r="P147" s="1692">
        <f t="shared" si="130"/>
        <v>5162.9567592642707</v>
      </c>
      <c r="Q147" s="1364">
        <f t="shared" si="103"/>
        <v>64135.759843068212</v>
      </c>
      <c r="R147" s="1364">
        <f t="shared" si="128"/>
        <v>23980.114022980611</v>
      </c>
      <c r="S147" s="1091">
        <f t="shared" si="104"/>
        <v>1.0439068639163054</v>
      </c>
      <c r="T147" s="135" t="str">
        <f t="shared" si="105"/>
        <v>No</v>
      </c>
      <c r="U147" s="1091">
        <f t="shared" si="106"/>
        <v>1</v>
      </c>
      <c r="V147" s="1494">
        <f t="shared" si="97"/>
        <v>66936.709087680953</v>
      </c>
      <c r="W147" s="1491">
        <f t="shared" si="98"/>
        <v>0.25549953203324571</v>
      </c>
      <c r="X147" s="527">
        <f t="shared" si="107"/>
        <v>41164.252659930076</v>
      </c>
      <c r="Y147" s="1509">
        <f t="shared" si="108"/>
        <v>10710.806264537416</v>
      </c>
      <c r="Z147" s="528">
        <f t="shared" si="109"/>
        <v>2620.2270434897314</v>
      </c>
      <c r="AA147" s="528">
        <f t="shared" si="110"/>
        <v>0</v>
      </c>
      <c r="AB147" s="528">
        <f t="shared" si="111"/>
        <v>12441.423119723731</v>
      </c>
      <c r="AC147" s="528">
        <f t="shared" si="112"/>
        <v>66936.709087680953</v>
      </c>
      <c r="AD147" s="1487">
        <f t="shared" si="113"/>
        <v>1008.6068398424759</v>
      </c>
      <c r="AE147" s="417">
        <f t="shared" si="114"/>
        <v>0.61497275890884739</v>
      </c>
      <c r="AF147" s="417">
        <f t="shared" si="115"/>
        <v>0.16001393570913744</v>
      </c>
      <c r="AG147" s="417">
        <f t="shared" si="116"/>
        <v>3.9144844125179115E-2</v>
      </c>
      <c r="AH147" s="417">
        <f t="shared" si="129"/>
        <v>0</v>
      </c>
      <c r="AI147" s="417">
        <f t="shared" si="117"/>
        <v>0.18586846125683604</v>
      </c>
      <c r="AJ147" s="525">
        <f t="shared" si="118"/>
        <v>1</v>
      </c>
      <c r="AK147" s="1497">
        <f t="shared" si="119"/>
        <v>41164.252659930084</v>
      </c>
      <c r="AL147" s="1498">
        <f t="shared" si="120"/>
        <v>0</v>
      </c>
      <c r="AM147" s="1498">
        <f t="shared" si="121"/>
        <v>0</v>
      </c>
      <c r="AN147" s="1498">
        <f t="shared" si="122"/>
        <v>41164.252659930084</v>
      </c>
      <c r="AO147" s="1563">
        <f t="shared" si="123"/>
        <v>0</v>
      </c>
    </row>
    <row r="148" spans="1:41">
      <c r="A148" s="873">
        <f>'Input data'!A128</f>
        <v>2028</v>
      </c>
      <c r="B148" s="1551">
        <f>'Input data'!B128</f>
        <v>64.818788725428234</v>
      </c>
      <c r="C148" s="1550">
        <f>'Input data'!C128</f>
        <v>3485.2345926420976</v>
      </c>
      <c r="D148" s="1550">
        <f>'Input data'!D128</f>
        <v>48196370.991930716</v>
      </c>
      <c r="E148" s="1508">
        <f>'Input data'!J128*C148</f>
        <v>41931.01640422488</v>
      </c>
      <c r="F148" s="1509">
        <f>'Input data'!L128</f>
        <v>90127.387396155595</v>
      </c>
      <c r="G148" s="1509">
        <f t="shared" si="124"/>
        <v>38070.664875792791</v>
      </c>
      <c r="H148" s="1509">
        <f t="shared" si="125"/>
        <v>31219.644223747964</v>
      </c>
      <c r="I148" s="1511">
        <f t="shared" si="99"/>
        <v>48196.370991930715</v>
      </c>
      <c r="J148" s="417">
        <f t="shared" si="100"/>
        <v>0.16683562054324133</v>
      </c>
      <c r="K148" s="1512">
        <f t="shared" si="126"/>
        <v>5074.4938193240359</v>
      </c>
      <c r="L148" s="1512">
        <f t="shared" si="101"/>
        <v>0</v>
      </c>
      <c r="M148" s="1509">
        <f t="shared" si="127"/>
        <v>5074.4938193240359</v>
      </c>
      <c r="N148" s="1454">
        <f>N147</f>
        <v>0.5</v>
      </c>
      <c r="O148" s="1511">
        <f t="shared" si="102"/>
        <v>751.91700000000026</v>
      </c>
      <c r="P148" s="1692">
        <f t="shared" si="130"/>
        <v>5826.4108193240363</v>
      </c>
      <c r="Q148" s="1364">
        <f t="shared" si="103"/>
        <v>63463.898280216716</v>
      </c>
      <c r="R148" s="1364">
        <f t="shared" si="128"/>
        <v>25393.233404423925</v>
      </c>
      <c r="S148" s="1091">
        <f t="shared" si="104"/>
        <v>1.0894456404350008</v>
      </c>
      <c r="T148" s="135" t="str">
        <f t="shared" si="105"/>
        <v>No</v>
      </c>
      <c r="U148" s="1091">
        <f t="shared" si="106"/>
        <v>1</v>
      </c>
      <c r="V148" s="1494">
        <f t="shared" si="97"/>
        <v>66818.988645498568</v>
      </c>
      <c r="W148" s="1491">
        <f t="shared" si="98"/>
        <v>0.25861615901728952</v>
      </c>
      <c r="X148" s="527">
        <f t="shared" si="107"/>
        <v>40155.499529559682</v>
      </c>
      <c r="Y148" s="1509">
        <f t="shared" si="108"/>
        <v>11398.629314904294</v>
      </c>
      <c r="Z148" s="528">
        <f t="shared" si="109"/>
        <v>2646.7585380287851</v>
      </c>
      <c r="AA148" s="528">
        <f t="shared" si="110"/>
        <v>0</v>
      </c>
      <c r="AB148" s="528">
        <f t="shared" si="111"/>
        <v>12618.101263005801</v>
      </c>
      <c r="AC148" s="528">
        <f t="shared" si="112"/>
        <v>66818.988645498568</v>
      </c>
      <c r="AD148" s="1487">
        <f t="shared" si="113"/>
        <v>2084.8346537668913</v>
      </c>
      <c r="AE148" s="1504">
        <f t="shared" si="114"/>
        <v>0.60095940306131612</v>
      </c>
      <c r="AF148" s="1504">
        <f t="shared" si="115"/>
        <v>0.17058967137887371</v>
      </c>
      <c r="AG148" s="1504">
        <f t="shared" si="116"/>
        <v>3.9610873969836577E-2</v>
      </c>
      <c r="AH148" s="1504">
        <f t="shared" si="129"/>
        <v>0</v>
      </c>
      <c r="AI148" s="1504">
        <f t="shared" si="117"/>
        <v>0.18884005158997347</v>
      </c>
      <c r="AJ148" s="1541">
        <f t="shared" si="118"/>
        <v>0.99999999999999978</v>
      </c>
      <c r="AK148" s="1555">
        <f t="shared" si="119"/>
        <v>40155.499529559675</v>
      </c>
      <c r="AL148" s="1498">
        <f t="shared" si="120"/>
        <v>0</v>
      </c>
      <c r="AM148" s="1498">
        <f t="shared" si="121"/>
        <v>0</v>
      </c>
      <c r="AN148" s="1498">
        <f t="shared" si="122"/>
        <v>40155.499529559675</v>
      </c>
      <c r="AO148" s="1563">
        <f t="shared" si="123"/>
        <v>0</v>
      </c>
    </row>
    <row r="149" spans="1:41">
      <c r="A149" s="873">
        <f>'Input data'!A129</f>
        <v>2029</v>
      </c>
      <c r="B149" s="1551">
        <f>'Input data'!B129</f>
        <v>65.435442210930105</v>
      </c>
      <c r="C149" s="1550">
        <f>'Input data'!C129</f>
        <v>3537.8042151577115</v>
      </c>
      <c r="D149" s="1550">
        <f>'Input data'!D129</f>
        <v>46504880.945737489</v>
      </c>
      <c r="E149" s="1508">
        <f>'Input data'!J129*C149</f>
        <v>42563.483931294577</v>
      </c>
      <c r="F149" s="1509">
        <f>'Input data'!L129</f>
        <v>89068.364877032058</v>
      </c>
      <c r="G149" s="1509">
        <f t="shared" si="124"/>
        <v>36093.941324681233</v>
      </c>
      <c r="H149" s="1509">
        <f t="shared" si="125"/>
        <v>31971.899485902337</v>
      </c>
      <c r="I149" s="1511">
        <f t="shared" si="99"/>
        <v>46504.880945737488</v>
      </c>
      <c r="J149" s="1504">
        <f>$J$137*(1+((($J$150/$J$137)^(1/($A$150-$A$137)))-1))^(A149-$A$137)</f>
        <v>0.18266670224386344</v>
      </c>
      <c r="K149" s="1512">
        <f t="shared" si="126"/>
        <v>5632.6229847537743</v>
      </c>
      <c r="L149" s="1512">
        <f t="shared" si="101"/>
        <v>0</v>
      </c>
      <c r="M149" s="1509">
        <f t="shared" si="127"/>
        <v>5632.6229847537743</v>
      </c>
      <c r="N149" s="1454">
        <f t="shared" ref="N149:N170" si="131">N148</f>
        <v>0.5</v>
      </c>
      <c r="O149" s="1511">
        <f t="shared" si="102"/>
        <v>751.91700000000026</v>
      </c>
      <c r="P149" s="1692">
        <f t="shared" si="130"/>
        <v>6384.5399847537747</v>
      </c>
      <c r="Q149" s="1364">
        <f t="shared" si="103"/>
        <v>61681.300825829792</v>
      </c>
      <c r="R149" s="1364">
        <f t="shared" si="128"/>
        <v>25587.35950114856</v>
      </c>
      <c r="S149" s="1091">
        <f t="shared" si="104"/>
        <v>1.0809438145947166</v>
      </c>
      <c r="T149" s="135" t="str">
        <f t="shared" si="105"/>
        <v>No</v>
      </c>
      <c r="U149" s="1091">
        <f t="shared" si="106"/>
        <v>1</v>
      </c>
      <c r="V149" s="1494">
        <f t="shared" si="97"/>
        <v>65397.05175633842</v>
      </c>
      <c r="W149" s="1491">
        <f t="shared" si="98"/>
        <v>0.26576566386252065</v>
      </c>
      <c r="X149" s="527">
        <f t="shared" si="107"/>
        <v>38009.98770513614</v>
      </c>
      <c r="Y149" s="1509">
        <f t="shared" si="108"/>
        <v>11903.297917075572</v>
      </c>
      <c r="Z149" s="528">
        <f t="shared" si="109"/>
        <v>2675.3394274160801</v>
      </c>
      <c r="AA149" s="528">
        <f t="shared" si="110"/>
        <v>0</v>
      </c>
      <c r="AB149" s="528">
        <f t="shared" si="111"/>
        <v>12808.426706710623</v>
      </c>
      <c r="AC149" s="528">
        <f t="shared" si="112"/>
        <v>65397.05175633842</v>
      </c>
      <c r="AD149" s="1487">
        <f t="shared" si="113"/>
        <v>1916.0463804549072</v>
      </c>
      <c r="AE149" s="1504">
        <f t="shared" si="114"/>
        <v>0.58121867399706029</v>
      </c>
      <c r="AF149" s="1504">
        <f t="shared" si="115"/>
        <v>0.18201581871650474</v>
      </c>
      <c r="AG149" s="1504">
        <f t="shared" si="116"/>
        <v>4.0909174887333977E-2</v>
      </c>
      <c r="AH149" s="1504">
        <f t="shared" si="129"/>
        <v>0</v>
      </c>
      <c r="AI149" s="1504">
        <f t="shared" si="117"/>
        <v>0.19585633239910091</v>
      </c>
      <c r="AJ149" s="1541">
        <f t="shared" si="118"/>
        <v>1</v>
      </c>
      <c r="AK149" s="1555">
        <f t="shared" si="119"/>
        <v>38009.98770513614</v>
      </c>
      <c r="AL149" s="1498">
        <f t="shared" si="120"/>
        <v>0</v>
      </c>
      <c r="AM149" s="1498">
        <f t="shared" si="121"/>
        <v>0</v>
      </c>
      <c r="AN149" s="1498">
        <f t="shared" si="122"/>
        <v>38009.98770513614</v>
      </c>
      <c r="AO149" s="1563">
        <f t="shared" si="123"/>
        <v>0</v>
      </c>
    </row>
    <row r="150" spans="1:41" s="1151" customFormat="1">
      <c r="A150" s="1565">
        <f>'Input data'!A130</f>
        <v>2030</v>
      </c>
      <c r="B150" s="1551">
        <f>'Input data'!B130</f>
        <v>66.040790860694059</v>
      </c>
      <c r="C150" s="1550">
        <f>'Input data'!C130</f>
        <v>3601.1809165553482</v>
      </c>
      <c r="D150" s="1550">
        <f>'Input data'!D130</f>
        <v>44627656.242225982</v>
      </c>
      <c r="E150" s="1508">
        <f>'Input data'!J130*C150</f>
        <v>43325.971917486459</v>
      </c>
      <c r="F150" s="1509">
        <f>'Input data'!L130</f>
        <v>87953.628159712447</v>
      </c>
      <c r="G150" s="1509">
        <f>G137*(1-$C$4)</f>
        <v>34219.854173807704</v>
      </c>
      <c r="H150" s="1509">
        <f t="shared" si="125"/>
        <v>32521.821903793185</v>
      </c>
      <c r="I150" s="1511">
        <f t="shared" si="99"/>
        <v>44627.656242225981</v>
      </c>
      <c r="J150" s="1504">
        <v>0.2</v>
      </c>
      <c r="K150" s="1512">
        <f t="shared" si="126"/>
        <v>6178.7999279337373</v>
      </c>
      <c r="L150" s="1512">
        <f t="shared" si="101"/>
        <v>0</v>
      </c>
      <c r="M150" s="1509">
        <f t="shared" si="127"/>
        <v>6178.7999279337373</v>
      </c>
      <c r="N150" s="1454">
        <f t="shared" si="131"/>
        <v>0.5</v>
      </c>
      <c r="O150" s="1511">
        <f t="shared" si="102"/>
        <v>751.91700000000026</v>
      </c>
      <c r="P150" s="1692">
        <f t="shared" si="130"/>
        <v>6930.7169279337377</v>
      </c>
      <c r="Q150" s="1364">
        <f t="shared" si="103"/>
        <v>59810.959149667149</v>
      </c>
      <c r="R150" s="1364">
        <f t="shared" si="128"/>
        <v>25591.104975859445</v>
      </c>
      <c r="S150" s="1091">
        <f t="shared" si="104"/>
        <v>1.0614824761076709</v>
      </c>
      <c r="T150" s="135" t="str">
        <f t="shared" si="105"/>
        <v>No</v>
      </c>
      <c r="U150" s="1091">
        <f t="shared" si="106"/>
        <v>1</v>
      </c>
      <c r="V150" s="1494">
        <f t="shared" si="97"/>
        <v>63844.794003826071</v>
      </c>
      <c r="W150" s="1491">
        <f t="shared" si="98"/>
        <v>0.27410846670370259</v>
      </c>
      <c r="X150" s="527">
        <f t="shared" si="107"/>
        <v>35702.124993780788</v>
      </c>
      <c r="Y150" s="1509">
        <f t="shared" si="108"/>
        <v>12394.994545545656</v>
      </c>
      <c r="Z150" s="528">
        <f t="shared" si="109"/>
        <v>2709.795875944686</v>
      </c>
      <c r="AA150" s="528">
        <f t="shared" si="110"/>
        <v>0</v>
      </c>
      <c r="AB150" s="528">
        <f t="shared" si="111"/>
        <v>13037.878588554946</v>
      </c>
      <c r="AC150" s="528">
        <f t="shared" si="112"/>
        <v>63844.794003826071</v>
      </c>
      <c r="AD150" s="1487">
        <f t="shared" si="113"/>
        <v>1482.2708199730841</v>
      </c>
      <c r="AE150" s="1504">
        <f t="shared" si="114"/>
        <v>0.55920181983265926</v>
      </c>
      <c r="AF150" s="1504">
        <f t="shared" si="115"/>
        <v>0.19414260377757431</v>
      </c>
      <c r="AG150" s="1504">
        <f t="shared" si="116"/>
        <v>4.2443490001429003E-2</v>
      </c>
      <c r="AH150" s="1504">
        <f t="shared" si="129"/>
        <v>0</v>
      </c>
      <c r="AI150" s="1504">
        <f t="shared" si="117"/>
        <v>0.20421208638833757</v>
      </c>
      <c r="AJ150" s="1541">
        <f t="shared" si="118"/>
        <v>1.0000000000000002</v>
      </c>
      <c r="AK150" s="1555">
        <f t="shared" si="119"/>
        <v>35702.124993780781</v>
      </c>
      <c r="AL150" s="1498">
        <f t="shared" si="120"/>
        <v>0</v>
      </c>
      <c r="AM150" s="1498">
        <f t="shared" si="121"/>
        <v>0</v>
      </c>
      <c r="AN150" s="1498">
        <f t="shared" si="122"/>
        <v>35702.124993780781</v>
      </c>
      <c r="AO150" s="1563">
        <f t="shared" si="123"/>
        <v>0</v>
      </c>
    </row>
    <row r="151" spans="1:41">
      <c r="A151" s="873">
        <f>'Input data'!A131</f>
        <v>2031</v>
      </c>
      <c r="B151" s="1551">
        <f>'Input data'!B131</f>
        <v>66.6344094187031</v>
      </c>
      <c r="C151" s="1550">
        <f>'Input data'!C131</f>
        <v>3689.3743282354972</v>
      </c>
      <c r="D151" s="1550">
        <f>'Input data'!D131</f>
        <v>43830165.240535274</v>
      </c>
      <c r="E151" s="1508">
        <f>'Input data'!J131*C151</f>
        <v>44387.030877394653</v>
      </c>
      <c r="F151" s="1509">
        <f>'Input data'!L131</f>
        <v>88217.196117929925</v>
      </c>
      <c r="G151" s="1509">
        <f>$G$150*(1+((($G$160/$G$150)^(1/($A$160-$A$150)))-1))^(A151-$A$150)</f>
        <v>33020.827958397946</v>
      </c>
      <c r="H151" s="1509">
        <f t="shared" si="125"/>
        <v>33581.284070874986</v>
      </c>
      <c r="I151" s="1511">
        <f t="shared" si="99"/>
        <v>43830.165240535272</v>
      </c>
      <c r="J151" s="1504">
        <f t="shared" ref="J151:J170" si="132">J150</f>
        <v>0.2</v>
      </c>
      <c r="K151" s="1512">
        <f t="shared" si="126"/>
        <v>6068.3854952996517</v>
      </c>
      <c r="L151" s="1512">
        <f t="shared" si="101"/>
        <v>0</v>
      </c>
      <c r="M151" s="1509">
        <f t="shared" si="127"/>
        <v>6068.3854952996517</v>
      </c>
      <c r="N151" s="1454">
        <f t="shared" si="131"/>
        <v>0.5</v>
      </c>
      <c r="O151" s="1511">
        <f t="shared" si="102"/>
        <v>751.91700000000026</v>
      </c>
      <c r="P151" s="1692">
        <f t="shared" si="130"/>
        <v>6820.302495299652</v>
      </c>
      <c r="Q151" s="1364">
        <f t="shared" si="103"/>
        <v>59781.809533973283</v>
      </c>
      <c r="R151" s="1364">
        <f t="shared" si="128"/>
        <v>26760.981575575337</v>
      </c>
      <c r="S151" s="1091">
        <f t="shared" si="104"/>
        <v>1.0826657054300131</v>
      </c>
      <c r="T151" s="135" t="str">
        <f t="shared" si="105"/>
        <v>No</v>
      </c>
      <c r="U151" s="1091">
        <f t="shared" si="106"/>
        <v>1</v>
      </c>
      <c r="V151" s="1494">
        <f t="shared" si="97"/>
        <v>63499.518776384873</v>
      </c>
      <c r="W151" s="1491">
        <f t="shared" si="98"/>
        <v>0.28019114672951217</v>
      </c>
      <c r="X151" s="527">
        <f t="shared" si="107"/>
        <v>35064.132192428217</v>
      </c>
      <c r="Y151" s="1509">
        <f t="shared" si="108"/>
        <v>12320.463974427052</v>
      </c>
      <c r="Z151" s="528">
        <f t="shared" si="109"/>
        <v>2757.7445965802553</v>
      </c>
      <c r="AA151" s="528">
        <f t="shared" si="110"/>
        <v>0</v>
      </c>
      <c r="AB151" s="528">
        <f t="shared" si="111"/>
        <v>13357.178012949347</v>
      </c>
      <c r="AC151" s="528">
        <f t="shared" si="112"/>
        <v>63499.518776384873</v>
      </c>
      <c r="AD151" s="1487">
        <f t="shared" si="113"/>
        <v>2043.3042340302709</v>
      </c>
      <c r="AE151" s="1504">
        <f t="shared" si="114"/>
        <v>0.55219524286329513</v>
      </c>
      <c r="AF151" s="1504">
        <f t="shared" si="115"/>
        <v>0.19402452509622742</v>
      </c>
      <c r="AG151" s="1504">
        <f t="shared" si="116"/>
        <v>4.3429377886968268E-2</v>
      </c>
      <c r="AH151" s="1504">
        <f t="shared" si="129"/>
        <v>0</v>
      </c>
      <c r="AI151" s="1504">
        <f t="shared" si="117"/>
        <v>0.2103508541535091</v>
      </c>
      <c r="AJ151" s="1541">
        <f t="shared" si="118"/>
        <v>1</v>
      </c>
      <c r="AK151" s="1555">
        <f t="shared" si="119"/>
        <v>35064.132192428224</v>
      </c>
      <c r="AL151" s="1498">
        <f t="shared" si="120"/>
        <v>0</v>
      </c>
      <c r="AM151" s="1498">
        <f t="shared" si="121"/>
        <v>0</v>
      </c>
      <c r="AN151" s="1498">
        <f t="shared" si="122"/>
        <v>35064.132192428224</v>
      </c>
      <c r="AO151" s="1563">
        <f t="shared" si="123"/>
        <v>0</v>
      </c>
    </row>
    <row r="152" spans="1:41">
      <c r="A152" s="873">
        <f>'Input data'!A132</f>
        <v>2032</v>
      </c>
      <c r="B152" s="1551">
        <f>'Input data'!B132</f>
        <v>67.215877817791679</v>
      </c>
      <c r="C152" s="1550">
        <f>'Input data'!C132</f>
        <v>3770.9504220066083</v>
      </c>
      <c r="D152" s="1550">
        <f>'Input data'!D132</f>
        <v>42600148.259036541</v>
      </c>
      <c r="E152" s="1508">
        <f>'Input data'!J132*C152</f>
        <v>45368.476583612086</v>
      </c>
      <c r="F152" s="1509">
        <f>'Input data'!L132</f>
        <v>87968.624842648627</v>
      </c>
      <c r="G152" s="1509">
        <f t="shared" ref="G152:G159" si="133">$G$150*(1+((($G$160/$G$150)^(1/($A$160-$A$150)))-1))^(A152-$A$150)</f>
        <v>31863.814308498775</v>
      </c>
      <c r="H152" s="1509">
        <f t="shared" si="125"/>
        <v>34147.146036785627</v>
      </c>
      <c r="I152" s="1511">
        <f t="shared" si="99"/>
        <v>42600.148259036541</v>
      </c>
      <c r="J152" s="1504">
        <f t="shared" si="132"/>
        <v>0.2</v>
      </c>
      <c r="K152" s="1512">
        <f t="shared" si="126"/>
        <v>5898.0868626448046</v>
      </c>
      <c r="L152" s="1512">
        <f t="shared" si="101"/>
        <v>0</v>
      </c>
      <c r="M152" s="1509">
        <f t="shared" si="127"/>
        <v>5898.0868626448046</v>
      </c>
      <c r="N152" s="1454">
        <f t="shared" si="131"/>
        <v>0.5</v>
      </c>
      <c r="O152" s="1511">
        <f t="shared" si="102"/>
        <v>751.91700000000026</v>
      </c>
      <c r="P152" s="1692">
        <f t="shared" si="130"/>
        <v>6650.0038626448049</v>
      </c>
      <c r="Q152" s="1364">
        <f t="shared" si="103"/>
        <v>59360.956482639594</v>
      </c>
      <c r="R152" s="1364">
        <f t="shared" si="128"/>
        <v>27497.142174140819</v>
      </c>
      <c r="S152" s="1091">
        <f t="shared" si="104"/>
        <v>1.0876673593514938</v>
      </c>
      <c r="T152" s="135" t="str">
        <f t="shared" si="105"/>
        <v>No</v>
      </c>
      <c r="U152" s="1091">
        <f t="shared" si="106"/>
        <v>1</v>
      </c>
      <c r="V152" s="1494">
        <f t="shared" si="97"/>
        <v>62687.78696723828</v>
      </c>
      <c r="W152" s="1491">
        <f t="shared" si="98"/>
        <v>0.28738471154494827</v>
      </c>
      <c r="X152" s="527">
        <f t="shared" si="107"/>
        <v>34080.118607229233</v>
      </c>
      <c r="Y152" s="1509">
        <f t="shared" si="108"/>
        <v>12153.052925975917</v>
      </c>
      <c r="Z152" s="528">
        <f t="shared" si="109"/>
        <v>2802.0956343307598</v>
      </c>
      <c r="AA152" s="528">
        <f t="shared" si="110"/>
        <v>0</v>
      </c>
      <c r="AB152" s="528">
        <f t="shared" si="111"/>
        <v>13652.519799702362</v>
      </c>
      <c r="AC152" s="528">
        <f t="shared" si="112"/>
        <v>62687.78696723828</v>
      </c>
      <c r="AD152" s="1487">
        <f t="shared" si="113"/>
        <v>2216.304298730458</v>
      </c>
      <c r="AE152" s="1504">
        <f t="shared" si="114"/>
        <v>0.54364845619833557</v>
      </c>
      <c r="AF152" s="1504">
        <f t="shared" si="115"/>
        <v>0.19386635761009258</v>
      </c>
      <c r="AG152" s="1504">
        <f t="shared" si="116"/>
        <v>4.4699227232174961E-2</v>
      </c>
      <c r="AH152" s="1504">
        <f t="shared" si="129"/>
        <v>0</v>
      </c>
      <c r="AI152" s="1504">
        <f t="shared" si="117"/>
        <v>0.21778595895939676</v>
      </c>
      <c r="AJ152" s="1541">
        <f t="shared" si="118"/>
        <v>1</v>
      </c>
      <c r="AK152" s="1555">
        <f t="shared" si="119"/>
        <v>34080.118607229233</v>
      </c>
      <c r="AL152" s="1498">
        <f t="shared" si="120"/>
        <v>0</v>
      </c>
      <c r="AM152" s="1498">
        <f t="shared" si="121"/>
        <v>0</v>
      </c>
      <c r="AN152" s="1498">
        <f t="shared" si="122"/>
        <v>34080.118607229233</v>
      </c>
      <c r="AO152" s="1563">
        <f t="shared" si="123"/>
        <v>0</v>
      </c>
    </row>
    <row r="153" spans="1:41">
      <c r="A153" s="873">
        <f>'Input data'!A133</f>
        <v>2033</v>
      </c>
      <c r="B153" s="1551">
        <f>'Input data'!B133</f>
        <v>67.784781669940756</v>
      </c>
      <c r="C153" s="1550">
        <f>'Input data'!C133</f>
        <v>3867.5085984126213</v>
      </c>
      <c r="D153" s="1550">
        <f>'Input data'!D133</f>
        <v>41720520.537816472</v>
      </c>
      <c r="E153" s="1508">
        <f>'Input data'!J133*C153</f>
        <v>46530.172409594707</v>
      </c>
      <c r="F153" s="1509">
        <f>'Input data'!L133</f>
        <v>88250.692947411182</v>
      </c>
      <c r="G153" s="1509">
        <f t="shared" si="133"/>
        <v>30747.341149823493</v>
      </c>
      <c r="H153" s="1509">
        <f t="shared" si="125"/>
        <v>35104.719907208011</v>
      </c>
      <c r="I153" s="1511">
        <f t="shared" si="99"/>
        <v>41720.520537816476</v>
      </c>
      <c r="J153" s="1504">
        <f t="shared" si="132"/>
        <v>0.2</v>
      </c>
      <c r="K153" s="1512">
        <f t="shared" si="126"/>
        <v>5776.3004154475057</v>
      </c>
      <c r="L153" s="1512">
        <f t="shared" si="101"/>
        <v>0</v>
      </c>
      <c r="M153" s="1509">
        <f t="shared" si="127"/>
        <v>5776.3004154475057</v>
      </c>
      <c r="N153" s="1454">
        <f t="shared" si="131"/>
        <v>0.5</v>
      </c>
      <c r="O153" s="1511">
        <f t="shared" si="102"/>
        <v>751.91700000000026</v>
      </c>
      <c r="P153" s="1692">
        <f t="shared" si="130"/>
        <v>6528.217415447506</v>
      </c>
      <c r="Q153" s="1364">
        <f t="shared" si="103"/>
        <v>59323.843641583997</v>
      </c>
      <c r="R153" s="1364">
        <f t="shared" si="128"/>
        <v>28576.502491760504</v>
      </c>
      <c r="S153" s="1091">
        <f t="shared" si="104"/>
        <v>1.1013231585165257</v>
      </c>
      <c r="T153" s="135" t="str">
        <f t="shared" si="105"/>
        <v>No</v>
      </c>
      <c r="U153" s="1091">
        <f t="shared" si="106"/>
        <v>1</v>
      </c>
      <c r="V153" s="1494">
        <f t="shared" si="97"/>
        <v>62303.265736080364</v>
      </c>
      <c r="W153" s="1491">
        <f t="shared" si="98"/>
        <v>0.29401952941936627</v>
      </c>
      <c r="X153" s="527">
        <f t="shared" si="107"/>
        <v>33376.416430253179</v>
      </c>
      <c r="Y153" s="1509">
        <f t="shared" si="108"/>
        <v>12070.153824123488</v>
      </c>
      <c r="Z153" s="528">
        <f t="shared" si="109"/>
        <v>2854.5920843191443</v>
      </c>
      <c r="AA153" s="528">
        <f t="shared" si="110"/>
        <v>0</v>
      </c>
      <c r="AB153" s="528">
        <f t="shared" si="111"/>
        <v>14002.103397384553</v>
      </c>
      <c r="AC153" s="528">
        <f t="shared" si="112"/>
        <v>62303.265736080364</v>
      </c>
      <c r="AD153" s="1487">
        <f t="shared" si="113"/>
        <v>2629.0752804296862</v>
      </c>
      <c r="AE153" s="1504">
        <f t="shared" si="114"/>
        <v>0.53570893974703171</v>
      </c>
      <c r="AF153" s="1504">
        <f t="shared" si="115"/>
        <v>0.19373228163116266</v>
      </c>
      <c r="AG153" s="1504">
        <f t="shared" si="116"/>
        <v>4.5817695920007367E-2</v>
      </c>
      <c r="AH153" s="1504">
        <f t="shared" si="129"/>
        <v>0</v>
      </c>
      <c r="AI153" s="1504">
        <f t="shared" si="117"/>
        <v>0.22474108270179829</v>
      </c>
      <c r="AJ153" s="1541">
        <f t="shared" si="118"/>
        <v>1</v>
      </c>
      <c r="AK153" s="1555">
        <f t="shared" si="119"/>
        <v>33376.416430253179</v>
      </c>
      <c r="AL153" s="1498">
        <f t="shared" si="120"/>
        <v>0</v>
      </c>
      <c r="AM153" s="1498">
        <f t="shared" si="121"/>
        <v>0</v>
      </c>
      <c r="AN153" s="1498">
        <f t="shared" si="122"/>
        <v>33376.416430253179</v>
      </c>
      <c r="AO153" s="1563">
        <f t="shared" si="123"/>
        <v>0</v>
      </c>
    </row>
    <row r="154" spans="1:41">
      <c r="A154" s="873">
        <f>'Input data'!A134</f>
        <v>2034</v>
      </c>
      <c r="B154" s="1551">
        <f>'Input data'!B134</f>
        <v>68.342055626742408</v>
      </c>
      <c r="C154" s="1550">
        <f>'Input data'!C134</f>
        <v>3988.7128287659275</v>
      </c>
      <c r="D154" s="1550">
        <f>'Input data'!D134</f>
        <v>41169489.630995624</v>
      </c>
      <c r="E154" s="1508">
        <f>'Input data'!J134*C154</f>
        <v>47988.386035138115</v>
      </c>
      <c r="F154" s="1509">
        <f>'Input data'!L134</f>
        <v>89157.875666133739</v>
      </c>
      <c r="G154" s="1509">
        <f t="shared" si="133"/>
        <v>29669.987987956312</v>
      </c>
      <c r="H154" s="1509">
        <f t="shared" si="125"/>
        <v>36501.690228903142</v>
      </c>
      <c r="I154" s="1511">
        <f t="shared" si="99"/>
        <v>41169.489630995624</v>
      </c>
      <c r="J154" s="1504">
        <f t="shared" si="132"/>
        <v>0.2</v>
      </c>
      <c r="K154" s="1512">
        <f t="shared" si="126"/>
        <v>5700.0089402942031</v>
      </c>
      <c r="L154" s="1512">
        <f t="shared" si="101"/>
        <v>0</v>
      </c>
      <c r="M154" s="1509">
        <f t="shared" si="127"/>
        <v>5700.0089402942031</v>
      </c>
      <c r="N154" s="1454">
        <f t="shared" si="131"/>
        <v>0.5</v>
      </c>
      <c r="O154" s="1511">
        <f t="shared" si="102"/>
        <v>751.91700000000026</v>
      </c>
      <c r="P154" s="1692">
        <f t="shared" si="130"/>
        <v>6451.9259402942034</v>
      </c>
      <c r="Q154" s="1364">
        <f t="shared" si="103"/>
        <v>59719.752276565247</v>
      </c>
      <c r="R154" s="1364">
        <f t="shared" si="128"/>
        <v>30049.764288608934</v>
      </c>
      <c r="S154" s="1091">
        <f t="shared" si="104"/>
        <v>1.1219229442748422</v>
      </c>
      <c r="T154" s="135" t="str">
        <f t="shared" si="105"/>
        <v>No</v>
      </c>
      <c r="U154" s="1091">
        <f t="shared" si="106"/>
        <v>1</v>
      </c>
      <c r="V154" s="1494">
        <f t="shared" si="97"/>
        <v>62373.715094365005</v>
      </c>
      <c r="W154" s="1491">
        <f t="shared" si="98"/>
        <v>0.3004127271051904</v>
      </c>
      <c r="X154" s="527">
        <f t="shared" si="107"/>
        <v>32935.591704796498</v>
      </c>
      <c r="Y154" s="1509">
        <f t="shared" si="108"/>
        <v>12076.718679374257</v>
      </c>
      <c r="Z154" s="528">
        <f t="shared" si="109"/>
        <v>2920.4880245072482</v>
      </c>
      <c r="AA154" s="528">
        <f t="shared" si="110"/>
        <v>0</v>
      </c>
      <c r="AB154" s="528">
        <f t="shared" si="111"/>
        <v>14440.916685686996</v>
      </c>
      <c r="AC154" s="528">
        <f t="shared" si="112"/>
        <v>62373.715094365005</v>
      </c>
      <c r="AD154" s="1487">
        <f t="shared" si="113"/>
        <v>3265.6037168401854</v>
      </c>
      <c r="AE154" s="1504">
        <f t="shared" si="114"/>
        <v>0.52803639569918737</v>
      </c>
      <c r="AF154" s="1504">
        <f t="shared" si="115"/>
        <v>0.19361871681209666</v>
      </c>
      <c r="AG154" s="1504">
        <f t="shared" si="116"/>
        <v>4.6822415821934776E-2</v>
      </c>
      <c r="AH154" s="1504">
        <f t="shared" si="129"/>
        <v>0</v>
      </c>
      <c r="AI154" s="1504">
        <f t="shared" si="117"/>
        <v>0.23152247166678105</v>
      </c>
      <c r="AJ154" s="1541">
        <f t="shared" si="118"/>
        <v>0.99999999999999989</v>
      </c>
      <c r="AK154" s="1555">
        <f t="shared" si="119"/>
        <v>32935.591704796498</v>
      </c>
      <c r="AL154" s="1498">
        <f t="shared" si="120"/>
        <v>0</v>
      </c>
      <c r="AM154" s="1498">
        <f t="shared" si="121"/>
        <v>0</v>
      </c>
      <c r="AN154" s="1498">
        <f t="shared" si="122"/>
        <v>32935.591704796498</v>
      </c>
      <c r="AO154" s="1563">
        <f t="shared" si="123"/>
        <v>0</v>
      </c>
    </row>
    <row r="155" spans="1:41">
      <c r="A155" s="873">
        <f>'Input data'!A135</f>
        <v>2035</v>
      </c>
      <c r="B155" s="1551">
        <f>'Input data'!B135</f>
        <v>68.88733085860035</v>
      </c>
      <c r="C155" s="1550">
        <f>'Input data'!C135</f>
        <v>4088.0370257470286</v>
      </c>
      <c r="D155" s="1550">
        <f>'Input data'!D135</f>
        <v>33008995.481321324</v>
      </c>
      <c r="E155" s="1508">
        <f>'Input data'!J135*C155</f>
        <v>49183.359980864327</v>
      </c>
      <c r="F155" s="1509">
        <f>'Input data'!L135</f>
        <v>82192.35546218566</v>
      </c>
      <c r="G155" s="1509">
        <f t="shared" si="133"/>
        <v>28630.384101050156</v>
      </c>
      <c r="H155" s="1509">
        <f t="shared" si="125"/>
        <v>30568.74448482741</v>
      </c>
      <c r="I155" s="1511">
        <f t="shared" si="99"/>
        <v>33008.995481321326</v>
      </c>
      <c r="J155" s="1504">
        <f t="shared" si="132"/>
        <v>0.2</v>
      </c>
      <c r="K155" s="1512">
        <f t="shared" si="126"/>
        <v>4570.1700710908799</v>
      </c>
      <c r="L155" s="1512">
        <f t="shared" si="101"/>
        <v>0</v>
      </c>
      <c r="M155" s="1509">
        <f t="shared" si="127"/>
        <v>4570.1700710908799</v>
      </c>
      <c r="N155" s="1454">
        <f t="shared" si="131"/>
        <v>0.5</v>
      </c>
      <c r="O155" s="1511">
        <f t="shared" si="102"/>
        <v>751.91700000000026</v>
      </c>
      <c r="P155" s="1692">
        <f t="shared" si="130"/>
        <v>5322.0870710908803</v>
      </c>
      <c r="Q155" s="1364">
        <f t="shared" si="103"/>
        <v>53877.041514786688</v>
      </c>
      <c r="R155" s="1364">
        <f t="shared" si="128"/>
        <v>25246.657413736531</v>
      </c>
      <c r="S155" s="1091">
        <f t="shared" si="104"/>
        <v>0.91906806516404349</v>
      </c>
      <c r="T155" s="135" t="str">
        <f t="shared" si="105"/>
        <v>Yes</v>
      </c>
      <c r="U155" s="1091">
        <f t="shared" si="106"/>
        <v>0.91906806516404349</v>
      </c>
      <c r="V155" s="1494">
        <f t="shared" si="97"/>
        <v>56945.698048449136</v>
      </c>
      <c r="W155" s="1491">
        <f t="shared" si="98"/>
        <v>0.30716551766607769</v>
      </c>
      <c r="X155" s="527">
        <f t="shared" si="107"/>
        <v>28630.384101050156</v>
      </c>
      <c r="Y155" s="1509">
        <f t="shared" si="108"/>
        <v>10540.311141802884</v>
      </c>
      <c r="Z155" s="528">
        <f t="shared" si="109"/>
        <v>2974.4882959863826</v>
      </c>
      <c r="AA155" s="528">
        <f t="shared" si="110"/>
        <v>0</v>
      </c>
      <c r="AB155" s="528">
        <f t="shared" si="111"/>
        <v>14800.514509609711</v>
      </c>
      <c r="AC155" s="528">
        <f t="shared" si="112"/>
        <v>56945.698048449136</v>
      </c>
      <c r="AD155" s="1487">
        <f t="shared" si="113"/>
        <v>0</v>
      </c>
      <c r="AE155" s="1504">
        <f t="shared" si="114"/>
        <v>0.50276640874068412</v>
      </c>
      <c r="AF155" s="1504">
        <f t="shared" si="115"/>
        <v>0.18509407212525933</v>
      </c>
      <c r="AG155" s="1504">
        <f t="shared" si="116"/>
        <v>5.2233766516580439E-2</v>
      </c>
      <c r="AH155" s="1504">
        <f t="shared" si="129"/>
        <v>0</v>
      </c>
      <c r="AI155" s="1504">
        <f t="shared" si="117"/>
        <v>0.25990575261747606</v>
      </c>
      <c r="AJ155" s="1541">
        <f t="shared" si="118"/>
        <v>0.99999999999999989</v>
      </c>
      <c r="AK155" s="1555">
        <f t="shared" si="119"/>
        <v>26407.196385057061</v>
      </c>
      <c r="AL155" s="1498">
        <f t="shared" si="120"/>
        <v>2124.4441329579317</v>
      </c>
      <c r="AM155" s="1498">
        <f t="shared" si="121"/>
        <v>98.743583035162899</v>
      </c>
      <c r="AN155" s="1498">
        <f t="shared" si="122"/>
        <v>28630.384101050156</v>
      </c>
      <c r="AO155" s="1563">
        <f t="shared" si="123"/>
        <v>0</v>
      </c>
    </row>
    <row r="156" spans="1:41">
      <c r="A156" s="873">
        <f>'Input data'!A136</f>
        <v>2036</v>
      </c>
      <c r="B156" s="1551">
        <f>'Input data'!B136</f>
        <v>69.420244147098416</v>
      </c>
      <c r="C156" s="1550">
        <f>'Input data'!C136</f>
        <v>4188.173572206083</v>
      </c>
      <c r="D156" s="1550">
        <f>'Input data'!D136</f>
        <v>23988684.664399058</v>
      </c>
      <c r="E156" s="1508">
        <f>'Input data'!J136*C156</f>
        <v>50388.107340224713</v>
      </c>
      <c r="F156" s="1509">
        <f>'Input data'!L136</f>
        <v>74376.79200462377</v>
      </c>
      <c r="G156" s="1509">
        <f t="shared" si="133"/>
        <v>27627.206795850379</v>
      </c>
      <c r="H156" s="1509">
        <f t="shared" si="125"/>
        <v>23798.083317600318</v>
      </c>
      <c r="I156" s="1511">
        <f t="shared" si="99"/>
        <v>23988.684664399058</v>
      </c>
      <c r="J156" s="1504">
        <f t="shared" si="132"/>
        <v>0.2</v>
      </c>
      <c r="K156" s="1512">
        <f t="shared" si="126"/>
        <v>3321.2876399135071</v>
      </c>
      <c r="L156" s="1512">
        <f t="shared" si="101"/>
        <v>0</v>
      </c>
      <c r="M156" s="1509">
        <f t="shared" si="127"/>
        <v>3321.2876399135071</v>
      </c>
      <c r="N156" s="1454">
        <f t="shared" si="131"/>
        <v>0.5</v>
      </c>
      <c r="O156" s="1511">
        <f t="shared" si="102"/>
        <v>751.91700000000026</v>
      </c>
      <c r="P156" s="1692">
        <f t="shared" si="130"/>
        <v>4073.2046399135074</v>
      </c>
      <c r="Q156" s="1364">
        <f t="shared" si="103"/>
        <v>47352.08547353719</v>
      </c>
      <c r="R156" s="1364">
        <f t="shared" si="128"/>
        <v>19724.878677686811</v>
      </c>
      <c r="S156" s="1091">
        <f t="shared" si="104"/>
        <v>0.70042904013271534</v>
      </c>
      <c r="T156" s="135" t="str">
        <f t="shared" si="105"/>
        <v>Yes</v>
      </c>
      <c r="U156" s="1091">
        <f t="shared" si="106"/>
        <v>0.70042904013271534</v>
      </c>
      <c r="V156" s="1494">
        <f t="shared" si="97"/>
        <v>54651.913326936963</v>
      </c>
      <c r="W156" s="1491">
        <f t="shared" si="98"/>
        <v>0.2652020629830415</v>
      </c>
      <c r="X156" s="527">
        <f t="shared" si="107"/>
        <v>27627.206795850376</v>
      </c>
      <c r="Y156" s="1509">
        <f t="shared" si="108"/>
        <v>8832.7229075789801</v>
      </c>
      <c r="Z156" s="528">
        <f t="shared" si="109"/>
        <v>3028.9302231111574</v>
      </c>
      <c r="AA156" s="528">
        <f t="shared" si="110"/>
        <v>0</v>
      </c>
      <c r="AB156" s="528">
        <f t="shared" si="111"/>
        <v>15163.053400396448</v>
      </c>
      <c r="AC156" s="528">
        <f t="shared" si="112"/>
        <v>54651.913326936963</v>
      </c>
      <c r="AD156" s="1487">
        <f t="shared" si="113"/>
        <v>0</v>
      </c>
      <c r="AE156" s="1504">
        <f t="shared" si="114"/>
        <v>0.50551216076516414</v>
      </c>
      <c r="AF156" s="1504">
        <f t="shared" si="115"/>
        <v>0.16161781664879951</v>
      </c>
      <c r="AG156" s="1504">
        <f t="shared" si="116"/>
        <v>5.5422217425245224E-2</v>
      </c>
      <c r="AH156" s="1504">
        <f t="shared" si="129"/>
        <v>0</v>
      </c>
      <c r="AI156" s="1504">
        <f t="shared" si="117"/>
        <v>0.27744780516079109</v>
      </c>
      <c r="AJ156" s="1541">
        <f t="shared" si="118"/>
        <v>1</v>
      </c>
      <c r="AK156" s="1555">
        <f t="shared" si="119"/>
        <v>19190.947731519249</v>
      </c>
      <c r="AL156" s="1498">
        <f t="shared" si="120"/>
        <v>8056.2874593849374</v>
      </c>
      <c r="AM156" s="1498">
        <f t="shared" si="121"/>
        <v>379.97160494619413</v>
      </c>
      <c r="AN156" s="1498">
        <f t="shared" si="122"/>
        <v>27627.206795850379</v>
      </c>
      <c r="AO156" s="1563">
        <f t="shared" si="123"/>
        <v>0</v>
      </c>
    </row>
    <row r="157" spans="1:41">
      <c r="A157" s="873">
        <f>'Input data'!A137</f>
        <v>2037</v>
      </c>
      <c r="B157" s="1551">
        <f>'Input data'!B137</f>
        <v>69.940438284968707</v>
      </c>
      <c r="C157" s="1550">
        <f>'Input data'!C137</f>
        <v>4308.5353934667492</v>
      </c>
      <c r="D157" s="1550">
        <f>'Input data'!D137</f>
        <v>19936802.299321227</v>
      </c>
      <c r="E157" s="1508">
        <f>'Input data'!J137*C157</f>
        <v>51836.185903538128</v>
      </c>
      <c r="F157" s="1509">
        <f>'Input data'!L137</f>
        <v>71772.988202859357</v>
      </c>
      <c r="G157" s="1509">
        <f t="shared" si="133"/>
        <v>26659.179724825448</v>
      </c>
      <c r="H157" s="1509">
        <f t="shared" si="125"/>
        <v>21794.530009742939</v>
      </c>
      <c r="I157" s="1511">
        <f t="shared" si="99"/>
        <v>19936.802299321225</v>
      </c>
      <c r="J157" s="1504">
        <f t="shared" si="132"/>
        <v>0.2</v>
      </c>
      <c r="K157" s="1512">
        <f t="shared" si="126"/>
        <v>2760.2953635221147</v>
      </c>
      <c r="L157" s="1512">
        <f t="shared" si="101"/>
        <v>0</v>
      </c>
      <c r="M157" s="1509">
        <f t="shared" si="127"/>
        <v>2760.2953635221147</v>
      </c>
      <c r="N157" s="1454">
        <f t="shared" si="131"/>
        <v>0.5</v>
      </c>
      <c r="O157" s="1511">
        <f t="shared" si="102"/>
        <v>751.91700000000026</v>
      </c>
      <c r="P157" s="1692">
        <f t="shared" si="130"/>
        <v>3512.2123635221151</v>
      </c>
      <c r="Q157" s="1364">
        <f t="shared" si="103"/>
        <v>44941.497371046273</v>
      </c>
      <c r="R157" s="1364">
        <f t="shared" si="128"/>
        <v>18282.317646220825</v>
      </c>
      <c r="S157" s="1091">
        <f t="shared" si="104"/>
        <v>0.63059749683152666</v>
      </c>
      <c r="T157" s="135" t="str">
        <f t="shared" si="105"/>
        <v>Yes</v>
      </c>
      <c r="U157" s="1091">
        <f t="shared" si="106"/>
        <v>0.63059749683152666</v>
      </c>
      <c r="V157" s="1494">
        <f t="shared" si="97"/>
        <v>53490.670556638535</v>
      </c>
      <c r="W157" s="1491">
        <f t="shared" si="98"/>
        <v>0.25472420898162451</v>
      </c>
      <c r="X157" s="527">
        <f t="shared" si="107"/>
        <v>26659.179724825452</v>
      </c>
      <c r="Y157" s="1509">
        <f t="shared" si="108"/>
        <v>8138.3058742339672</v>
      </c>
      <c r="Z157" s="528">
        <f t="shared" si="109"/>
        <v>3094.3681649355021</v>
      </c>
      <c r="AA157" s="528">
        <f t="shared" si="110"/>
        <v>0</v>
      </c>
      <c r="AB157" s="528">
        <f t="shared" si="111"/>
        <v>15598.816792643614</v>
      </c>
      <c r="AC157" s="528">
        <f t="shared" si="112"/>
        <v>53490.670556638535</v>
      </c>
      <c r="AD157" s="1487">
        <f t="shared" si="113"/>
        <v>0</v>
      </c>
      <c r="AE157" s="1504">
        <f t="shared" si="114"/>
        <v>0.49838933495136145</v>
      </c>
      <c r="AF157" s="1504">
        <f t="shared" si="115"/>
        <v>0.15214439807062674</v>
      </c>
      <c r="AG157" s="1504">
        <f t="shared" si="116"/>
        <v>5.7848745075256329E-2</v>
      </c>
      <c r="AH157" s="1504">
        <f t="shared" si="129"/>
        <v>0</v>
      </c>
      <c r="AI157" s="1504">
        <f t="shared" si="117"/>
        <v>0.29161752190275547</v>
      </c>
      <c r="AJ157" s="1541">
        <f t="shared" si="118"/>
        <v>1</v>
      </c>
      <c r="AK157" s="1555">
        <f t="shared" si="119"/>
        <v>15949.441839456978</v>
      </c>
      <c r="AL157" s="1498">
        <f t="shared" si="120"/>
        <v>10219.745245360513</v>
      </c>
      <c r="AM157" s="1498">
        <f t="shared" si="121"/>
        <v>489.99264000795392</v>
      </c>
      <c r="AN157" s="1498">
        <f t="shared" si="122"/>
        <v>26659.179724825444</v>
      </c>
      <c r="AO157" s="1563">
        <f t="shared" si="123"/>
        <v>0</v>
      </c>
    </row>
    <row r="158" spans="1:41">
      <c r="A158" s="873">
        <f>'Input data'!A138</f>
        <v>2038</v>
      </c>
      <c r="B158" s="1551">
        <f>'Input data'!B138</f>
        <v>70.447562472153166</v>
      </c>
      <c r="C158" s="1550">
        <f>'Input data'!C138</f>
        <v>4436.6736831338776</v>
      </c>
      <c r="D158" s="1550">
        <f>'Input data'!D138</f>
        <v>16174143.168204505</v>
      </c>
      <c r="E158" s="1508">
        <f>'Input data'!J138*C158</f>
        <v>53377.823513065159</v>
      </c>
      <c r="F158" s="1509">
        <f>'Input data'!L138</f>
        <v>69551.966681269667</v>
      </c>
      <c r="G158" s="1509">
        <f t="shared" si="133"/>
        <v>25725.071262263602</v>
      </c>
      <c r="H158" s="1509">
        <f t="shared" si="125"/>
        <v>20082.165138217515</v>
      </c>
      <c r="I158" s="1511">
        <f t="shared" si="99"/>
        <v>16174.143168204506</v>
      </c>
      <c r="J158" s="1504">
        <f t="shared" si="132"/>
        <v>0.2</v>
      </c>
      <c r="K158" s="1512">
        <f t="shared" si="126"/>
        <v>2239.3466979234581</v>
      </c>
      <c r="L158" s="1512">
        <f t="shared" si="101"/>
        <v>0</v>
      </c>
      <c r="M158" s="1509">
        <f t="shared" si="127"/>
        <v>2239.3466979234581</v>
      </c>
      <c r="N158" s="1454">
        <f t="shared" si="131"/>
        <v>0.5</v>
      </c>
      <c r="O158" s="1511">
        <f t="shared" si="102"/>
        <v>751.91700000000026</v>
      </c>
      <c r="P158" s="1692">
        <f t="shared" si="130"/>
        <v>2991.2636979234585</v>
      </c>
      <c r="Q158" s="1364">
        <f t="shared" si="103"/>
        <v>42815.972702557658</v>
      </c>
      <c r="R158" s="1364">
        <f t="shared" si="128"/>
        <v>17090.901440294056</v>
      </c>
      <c r="S158" s="1091">
        <f t="shared" si="104"/>
        <v>0.57204863221961733</v>
      </c>
      <c r="T158" s="135" t="str">
        <f t="shared" si="105"/>
        <v>Yes</v>
      </c>
      <c r="U158" s="1091">
        <f t="shared" si="106"/>
        <v>0.57204863221961733</v>
      </c>
      <c r="V158" s="1494">
        <f t="shared" si="97"/>
        <v>52461.065240975622</v>
      </c>
      <c r="W158" s="1491">
        <f t="shared" si="98"/>
        <v>0.24572851431527698</v>
      </c>
      <c r="X158" s="527">
        <f t="shared" si="107"/>
        <v>25725.071262263606</v>
      </c>
      <c r="Y158" s="1509">
        <f t="shared" si="108"/>
        <v>7509.2255221949799</v>
      </c>
      <c r="Z158" s="528">
        <f t="shared" si="109"/>
        <v>3164.033992993629</v>
      </c>
      <c r="AA158" s="528">
        <f t="shared" si="110"/>
        <v>0</v>
      </c>
      <c r="AB158" s="528">
        <f t="shared" si="111"/>
        <v>16062.734463523406</v>
      </c>
      <c r="AC158" s="528">
        <f t="shared" si="112"/>
        <v>52461.065240975622</v>
      </c>
      <c r="AD158" s="1487">
        <f t="shared" si="113"/>
        <v>0</v>
      </c>
      <c r="AE158" s="1504">
        <f t="shared" si="114"/>
        <v>0.49036501916416658</v>
      </c>
      <c r="AF158" s="1504">
        <f t="shared" si="115"/>
        <v>0.14313902105689172</v>
      </c>
      <c r="AG158" s="1504">
        <f t="shared" si="116"/>
        <v>6.0312042434897135E-2</v>
      </c>
      <c r="AH158" s="1504">
        <f t="shared" si="129"/>
        <v>0</v>
      </c>
      <c r="AI158" s="1504">
        <f t="shared" si="117"/>
        <v>0.30618391734404449</v>
      </c>
      <c r="AJ158" s="1541">
        <f t="shared" si="118"/>
        <v>1</v>
      </c>
      <c r="AK158" s="1555">
        <f t="shared" si="119"/>
        <v>12939.314534563604</v>
      </c>
      <c r="AL158" s="1498">
        <f t="shared" si="120"/>
        <v>12191.649748278296</v>
      </c>
      <c r="AM158" s="1498">
        <f t="shared" si="121"/>
        <v>594.10697942169895</v>
      </c>
      <c r="AN158" s="1498">
        <f t="shared" si="122"/>
        <v>25725.071262263602</v>
      </c>
      <c r="AO158" s="1563">
        <f t="shared" si="123"/>
        <v>0</v>
      </c>
    </row>
    <row r="159" spans="1:41">
      <c r="A159" s="873">
        <f>'Input data'!A139</f>
        <v>2039</v>
      </c>
      <c r="B159" s="1551">
        <f>'Input data'!B139</f>
        <v>70.942722252264574</v>
      </c>
      <c r="C159" s="1550">
        <f>'Input data'!C139</f>
        <v>4572.7379558768307</v>
      </c>
      <c r="D159" s="1550">
        <f>'Input data'!D139</f>
        <v>12411484.037087778</v>
      </c>
      <c r="E159" s="1508">
        <f>'Input data'!J139*C159</f>
        <v>55014.818986614788</v>
      </c>
      <c r="F159" s="1509">
        <f>'Input data'!L139</f>
        <v>67426.303023702567</v>
      </c>
      <c r="G159" s="1509">
        <f t="shared" si="133"/>
        <v>24823.692937269236</v>
      </c>
      <c r="H159" s="1509">
        <f t="shared" si="125"/>
        <v>18391.787150423912</v>
      </c>
      <c r="I159" s="1511">
        <f t="shared" si="99"/>
        <v>12411.484037087777</v>
      </c>
      <c r="J159" s="1504">
        <f t="shared" si="132"/>
        <v>0.2</v>
      </c>
      <c r="K159" s="1512">
        <f t="shared" si="126"/>
        <v>1718.3980323247997</v>
      </c>
      <c r="L159" s="1512">
        <f t="shared" si="101"/>
        <v>0</v>
      </c>
      <c r="M159" s="1509">
        <f t="shared" si="127"/>
        <v>1718.3980323247997</v>
      </c>
      <c r="N159" s="1454">
        <f t="shared" si="131"/>
        <v>0.5</v>
      </c>
      <c r="O159" s="1511">
        <f t="shared" si="102"/>
        <v>751.91700000000026</v>
      </c>
      <c r="P159" s="1692">
        <f t="shared" si="130"/>
        <v>2470.3150323248001</v>
      </c>
      <c r="Q159" s="1364">
        <f t="shared" si="103"/>
        <v>40745.16505536835</v>
      </c>
      <c r="R159" s="1364">
        <f t="shared" si="128"/>
        <v>15921.472118099115</v>
      </c>
      <c r="S159" s="1091">
        <f t="shared" si="104"/>
        <v>0.51666288858832976</v>
      </c>
      <c r="T159" s="135" t="str">
        <f t="shared" si="105"/>
        <v>Yes</v>
      </c>
      <c r="U159" s="1091">
        <f t="shared" si="106"/>
        <v>0.51666288858832976</v>
      </c>
      <c r="V159" s="1494">
        <f t="shared" si="97"/>
        <v>51504.830905603463</v>
      </c>
      <c r="W159" s="1491">
        <f t="shared" si="98"/>
        <v>0.23613147101513454</v>
      </c>
      <c r="X159" s="527">
        <f t="shared" si="107"/>
        <v>24823.692937269239</v>
      </c>
      <c r="Y159" s="1509">
        <f t="shared" si="108"/>
        <v>6887.7812506563059</v>
      </c>
      <c r="Z159" s="528">
        <f t="shared" si="109"/>
        <v>3238.0089949574353</v>
      </c>
      <c r="AA159" s="528">
        <f t="shared" si="110"/>
        <v>0</v>
      </c>
      <c r="AB159" s="528">
        <f t="shared" si="111"/>
        <v>16555.347722720482</v>
      </c>
      <c r="AC159" s="528">
        <f t="shared" si="112"/>
        <v>51504.830905603463</v>
      </c>
      <c r="AD159" s="1487">
        <f t="shared" si="113"/>
        <v>0</v>
      </c>
      <c r="AE159" s="1504">
        <f t="shared" si="114"/>
        <v>0.48196824454710613</v>
      </c>
      <c r="AF159" s="1504">
        <f t="shared" si="115"/>
        <v>0.13373078077433218</v>
      </c>
      <c r="AG159" s="1504">
        <f t="shared" si="116"/>
        <v>6.286806379176281E-2</v>
      </c>
      <c r="AH159" s="1504">
        <f t="shared" si="129"/>
        <v>0</v>
      </c>
      <c r="AI159" s="1504">
        <f t="shared" si="117"/>
        <v>0.32143291088679887</v>
      </c>
      <c r="AJ159" s="1541">
        <f t="shared" si="118"/>
        <v>1</v>
      </c>
      <c r="AK159" s="1555">
        <f t="shared" si="119"/>
        <v>9929.1872296702222</v>
      </c>
      <c r="AL159" s="1498">
        <f t="shared" si="120"/>
        <v>14191.78515353166</v>
      </c>
      <c r="AM159" s="1498">
        <f t="shared" si="121"/>
        <v>702.72055406735319</v>
      </c>
      <c r="AN159" s="1498">
        <f t="shared" si="122"/>
        <v>24823.692937269236</v>
      </c>
      <c r="AO159" s="1563">
        <f t="shared" si="123"/>
        <v>0</v>
      </c>
    </row>
    <row r="160" spans="1:41" s="1" customFormat="1">
      <c r="A160" s="873">
        <f>'Input data'!A140</f>
        <v>2040</v>
      </c>
      <c r="B160" s="1551">
        <f>'Input data'!B140</f>
        <v>71.425610993241406</v>
      </c>
      <c r="C160" s="1550">
        <f>'Input data'!C140</f>
        <v>4714.8820680263625</v>
      </c>
      <c r="D160" s="1550">
        <f>'Input data'!D140</f>
        <v>8648824.905971054</v>
      </c>
      <c r="E160" s="1508">
        <f>'Input data'!J140*C160</f>
        <v>56724.961285468657</v>
      </c>
      <c r="F160" s="1509">
        <f>'Input data'!L140</f>
        <v>65373.786191439707</v>
      </c>
      <c r="G160" s="1509">
        <f>G137*(1-$C$5)</f>
        <v>23953.89792166539</v>
      </c>
      <c r="H160" s="1509">
        <f t="shared" si="125"/>
        <v>16711.798022385708</v>
      </c>
      <c r="I160" s="1511">
        <f t="shared" si="99"/>
        <v>8648.8249059710542</v>
      </c>
      <c r="J160" s="1504">
        <f t="shared" si="132"/>
        <v>0.2</v>
      </c>
      <c r="K160" s="1512">
        <f t="shared" si="126"/>
        <v>1197.4493667261422</v>
      </c>
      <c r="L160" s="1512">
        <f t="shared" si="101"/>
        <v>0</v>
      </c>
      <c r="M160" s="1509">
        <f t="shared" si="127"/>
        <v>1197.4493667261422</v>
      </c>
      <c r="N160" s="1454">
        <f t="shared" si="131"/>
        <v>0.5</v>
      </c>
      <c r="O160" s="1511">
        <f t="shared" si="102"/>
        <v>751.91700000000026</v>
      </c>
      <c r="P160" s="1692">
        <f t="shared" si="130"/>
        <v>1949.3663667261426</v>
      </c>
      <c r="Q160" s="1364">
        <f t="shared" si="103"/>
        <v>38716.329577324956</v>
      </c>
      <c r="R160" s="1364">
        <f t="shared" si="128"/>
        <v>14762.431655659566</v>
      </c>
      <c r="S160" s="1091">
        <f t="shared" si="104"/>
        <v>0.46426727253534994</v>
      </c>
      <c r="T160" s="135" t="str">
        <f t="shared" si="105"/>
        <v>Yes</v>
      </c>
      <c r="U160" s="1091">
        <f t="shared" si="106"/>
        <v>0.46426727253534994</v>
      </c>
      <c r="V160" s="1494">
        <f t="shared" si="97"/>
        <v>50611.354535780149</v>
      </c>
      <c r="W160" s="1491">
        <f t="shared" si="98"/>
        <v>0.22581576677277726</v>
      </c>
      <c r="X160" s="527">
        <f t="shared" si="107"/>
        <v>23953.89792166539</v>
      </c>
      <c r="Y160" s="1509">
        <f t="shared" si="108"/>
        <v>6272.1944409231228</v>
      </c>
      <c r="Z160" s="528">
        <f t="shared" si="109"/>
        <v>3315.2894651604388</v>
      </c>
      <c r="AA160" s="528">
        <f t="shared" si="110"/>
        <v>0</v>
      </c>
      <c r="AB160" s="528">
        <f t="shared" si="111"/>
        <v>17069.9727080312</v>
      </c>
      <c r="AC160" s="528">
        <f t="shared" si="112"/>
        <v>50611.354535780149</v>
      </c>
      <c r="AD160" s="1487">
        <f t="shared" si="113"/>
        <v>0</v>
      </c>
      <c r="AE160" s="1504">
        <f t="shared" si="114"/>
        <v>0.47329098660520869</v>
      </c>
      <c r="AF160" s="1504">
        <f t="shared" si="115"/>
        <v>0.12392860255279156</v>
      </c>
      <c r="AG160" s="1504">
        <f t="shared" si="116"/>
        <v>6.5504855492786021E-2</v>
      </c>
      <c r="AH160" s="1504">
        <f t="shared" si="129"/>
        <v>0</v>
      </c>
      <c r="AI160" s="1504">
        <f t="shared" si="117"/>
        <v>0.33727555534921377</v>
      </c>
      <c r="AJ160" s="1541">
        <f t="shared" si="118"/>
        <v>1</v>
      </c>
      <c r="AK160" s="1555">
        <f t="shared" si="119"/>
        <v>6919.0599247768432</v>
      </c>
      <c r="AL160" s="1498">
        <f t="shared" si="120"/>
        <v>16219.205755249834</v>
      </c>
      <c r="AM160" s="1498">
        <f t="shared" si="121"/>
        <v>815.63224163870962</v>
      </c>
      <c r="AN160" s="1498">
        <f t="shared" si="122"/>
        <v>23953.897921665386</v>
      </c>
      <c r="AO160" s="1563">
        <f t="shared" si="123"/>
        <v>0</v>
      </c>
    </row>
    <row r="161" spans="1:41">
      <c r="A161" s="873">
        <f>'Input data'!A141</f>
        <v>2041</v>
      </c>
      <c r="B161" s="1551">
        <f>'Input data'!B141</f>
        <v>71.895928013305991</v>
      </c>
      <c r="C161" s="1550">
        <f>'Input data'!C141</f>
        <v>4861.7822977789338</v>
      </c>
      <c r="D161" s="1550">
        <f>'Input data'!D141</f>
        <v>7702881.2953237193</v>
      </c>
      <c r="E161" s="1508">
        <f>'Input data'!J141*C161</f>
        <v>58492.324652211188</v>
      </c>
      <c r="F161" s="1509">
        <f>'Input data'!L141</f>
        <v>66195.205947534909</v>
      </c>
      <c r="G161" s="1509">
        <f>$G$160*(1+((($G$170/$G$160)^(1/($A$170-$A$160)))-1))^(A161-$A$160)</f>
        <v>22650.218174049241</v>
      </c>
      <c r="H161" s="1509">
        <f t="shared" si="125"/>
        <v>18141.880532432009</v>
      </c>
      <c r="I161" s="1511">
        <f t="shared" si="99"/>
        <v>7702.8812953237193</v>
      </c>
      <c r="J161" s="1504">
        <f t="shared" si="132"/>
        <v>0.2</v>
      </c>
      <c r="K161" s="1512">
        <f t="shared" si="126"/>
        <v>1066.4813346705648</v>
      </c>
      <c r="L161" s="1512">
        <f t="shared" si="101"/>
        <v>0</v>
      </c>
      <c r="M161" s="1509">
        <f t="shared" si="127"/>
        <v>1066.4813346705648</v>
      </c>
      <c r="N161" s="1454">
        <f t="shared" si="131"/>
        <v>0.5</v>
      </c>
      <c r="O161" s="1511">
        <f t="shared" si="102"/>
        <v>751.91700000000026</v>
      </c>
      <c r="P161" s="1692">
        <f t="shared" si="130"/>
        <v>1818.398334670565</v>
      </c>
      <c r="Q161" s="1364">
        <f t="shared" si="103"/>
        <v>38973.700371810686</v>
      </c>
      <c r="R161" s="1364">
        <f t="shared" si="128"/>
        <v>16323.482197761445</v>
      </c>
      <c r="S161" s="1091">
        <f t="shared" si="104"/>
        <v>0.49749430131898942</v>
      </c>
      <c r="T161" s="135" t="str">
        <f t="shared" si="105"/>
        <v>Yes</v>
      </c>
      <c r="U161" s="1091">
        <f t="shared" si="106"/>
        <v>0.49749430131898942</v>
      </c>
      <c r="V161" s="1494">
        <f t="shared" si="97"/>
        <v>49871.723749773468</v>
      </c>
      <c r="W161" s="1491">
        <f t="shared" si="98"/>
        <v>0.2465961388608584</v>
      </c>
      <c r="X161" s="527">
        <f t="shared" si="107"/>
        <v>22650.218174049238</v>
      </c>
      <c r="Y161" s="1509">
        <f t="shared" si="108"/>
        <v>6224.5328920381708</v>
      </c>
      <c r="Z161" s="528">
        <f t="shared" si="109"/>
        <v>3395.1557266364357</v>
      </c>
      <c r="AA161" s="528">
        <f t="shared" si="110"/>
        <v>0</v>
      </c>
      <c r="AB161" s="528">
        <f t="shared" si="111"/>
        <v>17601.816957049621</v>
      </c>
      <c r="AC161" s="528">
        <f t="shared" si="112"/>
        <v>49871.723749773468</v>
      </c>
      <c r="AD161" s="1487">
        <f t="shared" si="113"/>
        <v>0</v>
      </c>
      <c r="AE161" s="1504">
        <f t="shared" si="114"/>
        <v>0.45416954680962118</v>
      </c>
      <c r="AF161" s="1504">
        <f t="shared" si="115"/>
        <v>0.12481086323122016</v>
      </c>
      <c r="AG161" s="1504">
        <f t="shared" si="116"/>
        <v>6.8077769753283446E-2</v>
      </c>
      <c r="AH161" s="1504">
        <f t="shared" si="129"/>
        <v>0</v>
      </c>
      <c r="AI161" s="1504">
        <f t="shared" si="117"/>
        <v>0.35294182020587517</v>
      </c>
      <c r="AJ161" s="1541">
        <f t="shared" si="118"/>
        <v>1</v>
      </c>
      <c r="AK161" s="1555">
        <f t="shared" si="119"/>
        <v>6162.3050362589747</v>
      </c>
      <c r="AL161" s="1498">
        <f t="shared" si="120"/>
        <v>15687.259122469441</v>
      </c>
      <c r="AM161" s="1498">
        <f t="shared" si="121"/>
        <v>800.65401532081978</v>
      </c>
      <c r="AN161" s="1498">
        <f t="shared" si="122"/>
        <v>22650.218174049234</v>
      </c>
      <c r="AO161" s="1563">
        <f t="shared" si="123"/>
        <v>0</v>
      </c>
    </row>
    <row r="162" spans="1:41">
      <c r="A162" s="873">
        <f>'Input data'!A142</f>
        <v>2042</v>
      </c>
      <c r="B162" s="1551">
        <f>'Input data'!B142</f>
        <v>72.353378891150228</v>
      </c>
      <c r="C162" s="1550">
        <f>'Input data'!C142</f>
        <v>4999.630924015547</v>
      </c>
      <c r="D162" s="1550">
        <f>'Input data'!D142</f>
        <v>6756937.6846763855</v>
      </c>
      <c r="E162" s="1508">
        <f>'Input data'!J142*C162</f>
        <v>60150.787764057408</v>
      </c>
      <c r="F162" s="1509">
        <f>'Input data'!L142</f>
        <v>66907.725448733792</v>
      </c>
      <c r="G162" s="1509">
        <f t="shared" ref="G162:G169" si="134">$G$160*(1+((($G$170/$G$160)^(1/($A$170-$A$160)))-1))^(A162-$A$160)</f>
        <v>21417.490590039302</v>
      </c>
      <c r="H162" s="1509">
        <f t="shared" si="125"/>
        <v>19438.523137271153</v>
      </c>
      <c r="I162" s="1511">
        <f t="shared" si="99"/>
        <v>6756.9376846763853</v>
      </c>
      <c r="J162" s="1504">
        <f t="shared" si="132"/>
        <v>0.2</v>
      </c>
      <c r="K162" s="1512">
        <f t="shared" si="126"/>
        <v>935.51330261498788</v>
      </c>
      <c r="L162" s="1512">
        <f t="shared" si="101"/>
        <v>0</v>
      </c>
      <c r="M162" s="1509">
        <f t="shared" si="127"/>
        <v>935.51330261498788</v>
      </c>
      <c r="N162" s="1454">
        <f t="shared" si="131"/>
        <v>0.5</v>
      </c>
      <c r="O162" s="1511">
        <f t="shared" si="102"/>
        <v>751.91700000000026</v>
      </c>
      <c r="P162" s="1692">
        <f t="shared" si="130"/>
        <v>1687.4303026149882</v>
      </c>
      <c r="Q162" s="1364">
        <f t="shared" si="103"/>
        <v>39168.583424695469</v>
      </c>
      <c r="R162" s="1364">
        <f t="shared" si="128"/>
        <v>17751.092834656167</v>
      </c>
      <c r="S162" s="1091">
        <f t="shared" si="104"/>
        <v>0.52575527468299277</v>
      </c>
      <c r="T162" s="135" t="str">
        <f t="shared" si="105"/>
        <v>Yes</v>
      </c>
      <c r="U162" s="1091">
        <f t="shared" si="106"/>
        <v>0.52575527468299277</v>
      </c>
      <c r="V162" s="1494">
        <f t="shared" si="97"/>
        <v>49156.632614077636</v>
      </c>
      <c r="W162" s="1491">
        <f t="shared" si="98"/>
        <v>0.26530707351959593</v>
      </c>
      <c r="X162" s="527">
        <f t="shared" si="107"/>
        <v>21417.490590039306</v>
      </c>
      <c r="Y162" s="1509">
        <f t="shared" si="108"/>
        <v>6168.1508131642513</v>
      </c>
      <c r="Z162" s="528">
        <f t="shared" si="109"/>
        <v>3470.1008403756309</v>
      </c>
      <c r="AA162" s="528">
        <f t="shared" si="110"/>
        <v>0</v>
      </c>
      <c r="AB162" s="528">
        <f t="shared" si="111"/>
        <v>18100.890370498448</v>
      </c>
      <c r="AC162" s="528">
        <f t="shared" si="112"/>
        <v>49156.632614077636</v>
      </c>
      <c r="AD162" s="1487">
        <f t="shared" si="113"/>
        <v>0</v>
      </c>
      <c r="AE162" s="1504">
        <f t="shared" si="114"/>
        <v>0.4356988965901154</v>
      </c>
      <c r="AF162" s="1504">
        <f t="shared" si="115"/>
        <v>0.12547952300942999</v>
      </c>
      <c r="AG162" s="1504">
        <f t="shared" si="116"/>
        <v>7.0592728912473396E-2</v>
      </c>
      <c r="AH162" s="1504">
        <f t="shared" si="129"/>
        <v>0</v>
      </c>
      <c r="AI162" s="1504">
        <f t="shared" si="117"/>
        <v>0.36822885148798123</v>
      </c>
      <c r="AJ162" s="1541">
        <f t="shared" si="118"/>
        <v>1</v>
      </c>
      <c r="AK162" s="1555">
        <f t="shared" si="119"/>
        <v>5405.550147741108</v>
      </c>
      <c r="AL162" s="1498">
        <f t="shared" si="120"/>
        <v>15224.780006341874</v>
      </c>
      <c r="AM162" s="1498">
        <f t="shared" si="121"/>
        <v>787.16043595631709</v>
      </c>
      <c r="AN162" s="1498">
        <f t="shared" si="122"/>
        <v>21417.490590039299</v>
      </c>
      <c r="AO162" s="1563">
        <f t="shared" si="123"/>
        <v>0</v>
      </c>
    </row>
    <row r="163" spans="1:41">
      <c r="A163" s="873">
        <f>'Input data'!A143</f>
        <v>2043</v>
      </c>
      <c r="B163" s="1551">
        <f>'Input data'!B143</f>
        <v>72.797675771420302</v>
      </c>
      <c r="C163" s="1550">
        <f>'Input data'!C143</f>
        <v>5140.3990299017887</v>
      </c>
      <c r="D163" s="1550">
        <f>'Input data'!D143</f>
        <v>5810994.0740290517</v>
      </c>
      <c r="E163" s="1508">
        <f>'Input data'!J143*C163</f>
        <v>61844.375268774857</v>
      </c>
      <c r="F163" s="1509">
        <f>'Input data'!L143</f>
        <v>67655.369342803911</v>
      </c>
      <c r="G163" s="1509">
        <f t="shared" si="134"/>
        <v>20251.853631148377</v>
      </c>
      <c r="H163" s="1509">
        <f t="shared" si="125"/>
        <v>20688.229743697324</v>
      </c>
      <c r="I163" s="1511">
        <f t="shared" si="99"/>
        <v>5810.9940740290513</v>
      </c>
      <c r="J163" s="1504">
        <f t="shared" si="132"/>
        <v>0.2</v>
      </c>
      <c r="K163" s="1512">
        <f t="shared" si="126"/>
        <v>804.54527055941071</v>
      </c>
      <c r="L163" s="1512">
        <f t="shared" si="101"/>
        <v>0</v>
      </c>
      <c r="M163" s="1509">
        <f t="shared" si="127"/>
        <v>804.54527055941071</v>
      </c>
      <c r="N163" s="1454">
        <f t="shared" si="131"/>
        <v>0.5</v>
      </c>
      <c r="O163" s="1511">
        <f t="shared" si="102"/>
        <v>751.91700000000026</v>
      </c>
      <c r="P163" s="1692">
        <f t="shared" si="130"/>
        <v>1556.4622705594111</v>
      </c>
      <c r="Q163" s="1364">
        <f t="shared" si="103"/>
        <v>39383.621104286292</v>
      </c>
      <c r="R163" s="1364">
        <f t="shared" si="128"/>
        <v>19131.767473137916</v>
      </c>
      <c r="S163" s="1091">
        <f t="shared" si="104"/>
        <v>0.55079497327772442</v>
      </c>
      <c r="T163" s="135" t="str">
        <f t="shared" si="105"/>
        <v>Yes</v>
      </c>
      <c r="U163" s="1091">
        <f t="shared" si="106"/>
        <v>0.55079497327772442</v>
      </c>
      <c r="V163" s="1494">
        <f t="shared" si="97"/>
        <v>48523.601869666003</v>
      </c>
      <c r="W163" s="1491">
        <f t="shared" si="98"/>
        <v>0.28278269203141726</v>
      </c>
      <c r="X163" s="527">
        <f t="shared" si="107"/>
        <v>20251.853631148377</v>
      </c>
      <c r="Y163" s="1509">
        <f t="shared" si="108"/>
        <v>6114.5814303824536</v>
      </c>
      <c r="Z163" s="528">
        <f t="shared" si="109"/>
        <v>3546.6332077594516</v>
      </c>
      <c r="AA163" s="528">
        <f t="shared" si="110"/>
        <v>0</v>
      </c>
      <c r="AB163" s="528">
        <f t="shared" si="111"/>
        <v>18610.533600375722</v>
      </c>
      <c r="AC163" s="528">
        <f t="shared" si="112"/>
        <v>48523.601869666003</v>
      </c>
      <c r="AD163" s="1487">
        <f t="shared" si="113"/>
        <v>0</v>
      </c>
      <c r="AE163" s="1504">
        <f t="shared" si="114"/>
        <v>0.41736088935740362</v>
      </c>
      <c r="AF163" s="1504">
        <f t="shared" si="115"/>
        <v>0.1260125216344444</v>
      </c>
      <c r="AG163" s="1504">
        <f t="shared" si="116"/>
        <v>7.3090889198326195E-2</v>
      </c>
      <c r="AH163" s="1504">
        <f t="shared" si="129"/>
        <v>0</v>
      </c>
      <c r="AI163" s="1504">
        <f t="shared" si="117"/>
        <v>0.38353569980982583</v>
      </c>
      <c r="AJ163" s="1541">
        <f t="shared" si="118"/>
        <v>1</v>
      </c>
      <c r="AK163" s="1555">
        <f t="shared" si="119"/>
        <v>4648.7952592232405</v>
      </c>
      <c r="AL163" s="1498">
        <f t="shared" si="120"/>
        <v>14826.956434860967</v>
      </c>
      <c r="AM163" s="1498">
        <f t="shared" si="121"/>
        <v>776.10193706416601</v>
      </c>
      <c r="AN163" s="1498">
        <f t="shared" si="122"/>
        <v>20251.853631148373</v>
      </c>
      <c r="AO163" s="1563">
        <f t="shared" si="123"/>
        <v>0</v>
      </c>
    </row>
    <row r="164" spans="1:41">
      <c r="A164" s="873">
        <f>'Input data'!A144</f>
        <v>2044</v>
      </c>
      <c r="B164" s="1551">
        <f>'Input data'!B144</f>
        <v>73.228597899236789</v>
      </c>
      <c r="C164" s="1550">
        <f>'Input data'!C144</f>
        <v>5284.2396924773611</v>
      </c>
      <c r="D164" s="1550">
        <f>'Input data'!D144</f>
        <v>4865050.463381717</v>
      </c>
      <c r="E164" s="1508">
        <f>'Input data'!J144*C164</f>
        <v>63574.928843212612</v>
      </c>
      <c r="F164" s="1509">
        <f>'Input data'!L144</f>
        <v>68439.979306594323</v>
      </c>
      <c r="G164" s="1509">
        <f t="shared" si="134"/>
        <v>19149.655921324487</v>
      </c>
      <c r="H164" s="1509">
        <f t="shared" si="125"/>
        <v>21895.708495050752</v>
      </c>
      <c r="I164" s="1511">
        <f t="shared" si="99"/>
        <v>4865.0504633817172</v>
      </c>
      <c r="J164" s="1504">
        <f t="shared" si="132"/>
        <v>0.2</v>
      </c>
      <c r="K164" s="1512">
        <f t="shared" si="126"/>
        <v>673.57723850383354</v>
      </c>
      <c r="L164" s="1512">
        <f t="shared" si="101"/>
        <v>0</v>
      </c>
      <c r="M164" s="1509">
        <f t="shared" si="127"/>
        <v>673.57723850383354</v>
      </c>
      <c r="N164" s="1454">
        <f t="shared" si="131"/>
        <v>0.5</v>
      </c>
      <c r="O164" s="1511">
        <f t="shared" si="102"/>
        <v>751.91700000000026</v>
      </c>
      <c r="P164" s="1692">
        <f t="shared" si="130"/>
        <v>1425.4942385038339</v>
      </c>
      <c r="Q164" s="1364">
        <f t="shared" si="103"/>
        <v>39619.870177871402</v>
      </c>
      <c r="R164" s="1364">
        <f t="shared" si="128"/>
        <v>20470.214256546915</v>
      </c>
      <c r="S164" s="1091">
        <f t="shared" si="104"/>
        <v>0.57294871720535201</v>
      </c>
      <c r="T164" s="135" t="str">
        <f t="shared" si="105"/>
        <v>Yes</v>
      </c>
      <c r="U164" s="1091">
        <f t="shared" si="106"/>
        <v>0.57294871720535201</v>
      </c>
      <c r="V164" s="1494">
        <f>AC164</f>
        <v>47969.765050047426</v>
      </c>
      <c r="W164" s="1491">
        <f t="shared" si="98"/>
        <v>0.29909731802877026</v>
      </c>
      <c r="X164" s="527">
        <f t="shared" si="107"/>
        <v>19149.655921324491</v>
      </c>
      <c r="Y164" s="1509">
        <f t="shared" si="108"/>
        <v>6063.9722217515518</v>
      </c>
      <c r="Z164" s="528">
        <f t="shared" si="109"/>
        <v>3624.8360532382567</v>
      </c>
      <c r="AA164" s="528">
        <f t="shared" si="110"/>
        <v>0</v>
      </c>
      <c r="AB164" s="528">
        <f t="shared" si="111"/>
        <v>19131.300853733122</v>
      </c>
      <c r="AC164" s="528">
        <f t="shared" si="112"/>
        <v>47969.765050047426</v>
      </c>
      <c r="AD164" s="1487">
        <f t="shared" si="113"/>
        <v>0</v>
      </c>
      <c r="AE164" s="1504">
        <f t="shared" si="114"/>
        <v>0.39920262067878437</v>
      </c>
      <c r="AF164" s="1504">
        <f t="shared" si="115"/>
        <v>0.12641238112016887</v>
      </c>
      <c r="AG164" s="1504">
        <f t="shared" si="116"/>
        <v>7.5565015785597905E-2</v>
      </c>
      <c r="AH164" s="1504">
        <f t="shared" si="129"/>
        <v>0</v>
      </c>
      <c r="AI164" s="1504">
        <f t="shared" si="117"/>
        <v>0.39881998241544875</v>
      </c>
      <c r="AJ164" s="1541">
        <f t="shared" si="118"/>
        <v>1</v>
      </c>
      <c r="AK164" s="1555">
        <f t="shared" si="119"/>
        <v>3892.0403707053738</v>
      </c>
      <c r="AL164" s="1498">
        <f t="shared" si="120"/>
        <v>14490.157657219035</v>
      </c>
      <c r="AM164" s="1498">
        <f t="shared" si="121"/>
        <v>767.45789340007877</v>
      </c>
      <c r="AN164" s="1498">
        <f t="shared" si="122"/>
        <v>19149.655921324487</v>
      </c>
      <c r="AO164" s="1563">
        <f t="shared" si="123"/>
        <v>0</v>
      </c>
    </row>
    <row r="165" spans="1:41">
      <c r="A165" s="873">
        <f>'Input data'!A145</f>
        <v>2045</v>
      </c>
      <c r="B165" s="1551">
        <f>'Input data'!B145</f>
        <v>73.645872502840064</v>
      </c>
      <c r="C165" s="1550">
        <f>'Input data'!C145</f>
        <v>5434.6458323535726</v>
      </c>
      <c r="D165" s="1550">
        <f>'Input data'!D145</f>
        <v>3919106.8527343827</v>
      </c>
      <c r="E165" s="1508">
        <f>'Input data'!J145*C165</f>
        <v>65384.471974616165</v>
      </c>
      <c r="F165" s="1509">
        <f>'Input data'!L145</f>
        <v>69303.578827350546</v>
      </c>
      <c r="G165" s="1509">
        <f t="shared" si="134"/>
        <v>18107.444808958157</v>
      </c>
      <c r="H165" s="1509">
        <f t="shared" si="125"/>
        <v>23088.525419118669</v>
      </c>
      <c r="I165" s="1511">
        <f t="shared" si="99"/>
        <v>3919.1068527343828</v>
      </c>
      <c r="J165" s="1504">
        <f t="shared" si="132"/>
        <v>0.2</v>
      </c>
      <c r="K165" s="1512">
        <f t="shared" si="126"/>
        <v>542.60920644825637</v>
      </c>
      <c r="L165" s="1512">
        <f t="shared" si="101"/>
        <v>0</v>
      </c>
      <c r="M165" s="1509">
        <f t="shared" si="127"/>
        <v>542.60920644825637</v>
      </c>
      <c r="N165" s="1454">
        <f t="shared" si="131"/>
        <v>0.5</v>
      </c>
      <c r="O165" s="1511">
        <f t="shared" si="102"/>
        <v>751.91700000000026</v>
      </c>
      <c r="P165" s="1692">
        <f t="shared" si="130"/>
        <v>1294.5262064482567</v>
      </c>
      <c r="Q165" s="1364">
        <f t="shared" si="103"/>
        <v>39901.444021628566</v>
      </c>
      <c r="R165" s="1364">
        <f t="shared" si="128"/>
        <v>21793.999212670409</v>
      </c>
      <c r="S165" s="1091">
        <f t="shared" si="104"/>
        <v>0.59277335676205611</v>
      </c>
      <c r="T165" s="135" t="str">
        <f t="shared" si="105"/>
        <v>Yes</v>
      </c>
      <c r="U165" s="1091">
        <f t="shared" si="106"/>
        <v>0.59277335676205611</v>
      </c>
      <c r="V165" s="1494">
        <f t="shared" si="97"/>
        <v>47509.579614680144</v>
      </c>
      <c r="W165" s="1491">
        <f t="shared" si="98"/>
        <v>0.31447148302346306</v>
      </c>
      <c r="X165" s="527">
        <f t="shared" si="107"/>
        <v>18107.444808958157</v>
      </c>
      <c r="Y165" s="1509">
        <f t="shared" si="108"/>
        <v>6019.6883500171662</v>
      </c>
      <c r="Z165" s="528">
        <f t="shared" si="109"/>
        <v>3706.6083970608752</v>
      </c>
      <c r="AA165" s="528">
        <f t="shared" si="110"/>
        <v>0</v>
      </c>
      <c r="AB165" s="528">
        <f t="shared" si="111"/>
        <v>19675.838058643949</v>
      </c>
      <c r="AC165" s="528">
        <f t="shared" si="112"/>
        <v>47509.579614680144</v>
      </c>
      <c r="AD165" s="1487">
        <f t="shared" si="113"/>
        <v>0</v>
      </c>
      <c r="AE165" s="1504">
        <f t="shared" si="114"/>
        <v>0.38113249908368113</v>
      </c>
      <c r="AF165" s="1504">
        <f t="shared" si="115"/>
        <v>0.12670472773783759</v>
      </c>
      <c r="AG165" s="1504">
        <f t="shared" si="116"/>
        <v>7.8018126599368132E-2</v>
      </c>
      <c r="AH165" s="1504">
        <f t="shared" si="129"/>
        <v>0</v>
      </c>
      <c r="AI165" s="1504">
        <f t="shared" si="117"/>
        <v>0.41414464657911321</v>
      </c>
      <c r="AJ165" s="1541">
        <f t="shared" si="118"/>
        <v>1</v>
      </c>
      <c r="AK165" s="1555">
        <f t="shared" si="119"/>
        <v>3135.2854821875062</v>
      </c>
      <c r="AL165" s="1498">
        <f t="shared" si="120"/>
        <v>14210.782828098705</v>
      </c>
      <c r="AM165" s="1498">
        <f t="shared" si="121"/>
        <v>761.37649867194079</v>
      </c>
      <c r="AN165" s="1498">
        <f t="shared" si="122"/>
        <v>18107.444808958149</v>
      </c>
      <c r="AO165" s="1563">
        <f t="shared" si="123"/>
        <v>0</v>
      </c>
    </row>
    <row r="166" spans="1:41">
      <c r="A166" s="873">
        <f>'Input data'!A146</f>
        <v>2046</v>
      </c>
      <c r="B166" s="1551">
        <f>'Input data'!B146</f>
        <v>74.049234192071822</v>
      </c>
      <c r="C166" s="1550">
        <f>'Input data'!C146</f>
        <v>5588.9785645796028</v>
      </c>
      <c r="D166" s="1550">
        <f>'Input data'!D146</f>
        <v>3263474.9196310313</v>
      </c>
      <c r="E166" s="1508">
        <f>'Input data'!J146*C166</f>
        <v>67241.256117738274</v>
      </c>
      <c r="F166" s="1509">
        <f>'Input data'!L146</f>
        <v>70504.731037369304</v>
      </c>
      <c r="G166" s="1509">
        <f t="shared" si="134"/>
        <v>17121.955551397077</v>
      </c>
      <c r="H166" s="1509">
        <f t="shared" si="125"/>
        <v>24524.17136755251</v>
      </c>
      <c r="I166" s="1511">
        <f t="shared" si="99"/>
        <v>3263.4749196310313</v>
      </c>
      <c r="J166" s="1504">
        <f t="shared" si="132"/>
        <v>0.2</v>
      </c>
      <c r="K166" s="1512">
        <f t="shared" si="126"/>
        <v>451.83548266087473</v>
      </c>
      <c r="L166" s="1512">
        <f t="shared" si="101"/>
        <v>0</v>
      </c>
      <c r="M166" s="1509">
        <f t="shared" si="127"/>
        <v>451.83548266087473</v>
      </c>
      <c r="N166" s="1454">
        <f t="shared" si="131"/>
        <v>0.5</v>
      </c>
      <c r="O166" s="1511">
        <f t="shared" si="102"/>
        <v>751.91700000000026</v>
      </c>
      <c r="P166" s="1692">
        <f t="shared" si="130"/>
        <v>1203.7524826608751</v>
      </c>
      <c r="Q166" s="1364">
        <f t="shared" si="103"/>
        <v>40442.374436288708</v>
      </c>
      <c r="R166" s="1364">
        <f t="shared" si="128"/>
        <v>23320.418884891631</v>
      </c>
      <c r="S166" s="1091">
        <f t="shared" si="104"/>
        <v>0.61642706824137983</v>
      </c>
      <c r="T166" s="135" t="str">
        <f t="shared" si="105"/>
        <v>Yes</v>
      </c>
      <c r="U166" s="1091">
        <f t="shared" si="106"/>
        <v>0.61642706824137983</v>
      </c>
      <c r="V166" s="1494">
        <f t="shared" si="97"/>
        <v>47184.31215247768</v>
      </c>
      <c r="W166" s="1491">
        <f t="shared" si="98"/>
        <v>0.33076388693024317</v>
      </c>
      <c r="X166" s="527">
        <f t="shared" si="107"/>
        <v>17121.955551397077</v>
      </c>
      <c r="Y166" s="1509">
        <f t="shared" si="108"/>
        <v>6037.2497861986949</v>
      </c>
      <c r="Z166" s="528">
        <f t="shared" si="109"/>
        <v>3790.5155384385994</v>
      </c>
      <c r="AA166" s="528">
        <f t="shared" si="110"/>
        <v>0</v>
      </c>
      <c r="AB166" s="528">
        <f t="shared" si="111"/>
        <v>20234.591276443305</v>
      </c>
      <c r="AC166" s="528">
        <f t="shared" si="112"/>
        <v>47184.31215247768</v>
      </c>
      <c r="AD166" s="1487">
        <f t="shared" si="113"/>
        <v>0</v>
      </c>
      <c r="AE166" s="1504">
        <f t="shared" si="114"/>
        <v>0.36287390385318974</v>
      </c>
      <c r="AF166" s="1504">
        <f t="shared" si="115"/>
        <v>0.12795036127026968</v>
      </c>
      <c r="AG166" s="1504">
        <f t="shared" si="116"/>
        <v>8.0334233255100168E-2</v>
      </c>
      <c r="AH166" s="1504">
        <f t="shared" si="129"/>
        <v>0</v>
      </c>
      <c r="AI166" s="1504">
        <f t="shared" si="117"/>
        <v>0.42884150162144036</v>
      </c>
      <c r="AJ166" s="1541">
        <f t="shared" si="118"/>
        <v>1</v>
      </c>
      <c r="AK166" s="1555">
        <f t="shared" si="119"/>
        <v>2610.7799357048248</v>
      </c>
      <c r="AL166" s="1498">
        <f t="shared" si="120"/>
        <v>13765.467551078713</v>
      </c>
      <c r="AM166" s="1498">
        <f t="shared" si="121"/>
        <v>745.70806461354016</v>
      </c>
      <c r="AN166" s="1498">
        <f t="shared" si="122"/>
        <v>17121.955551397077</v>
      </c>
      <c r="AO166" s="1563">
        <f t="shared" si="123"/>
        <v>0</v>
      </c>
    </row>
    <row r="167" spans="1:41">
      <c r="A167" s="873">
        <f>'Input data'!A147</f>
        <v>2047</v>
      </c>
      <c r="B167" s="1551">
        <f>'Input data'!B147</f>
        <v>74.438425238522782</v>
      </c>
      <c r="C167" s="1550">
        <f>'Input data'!C147</f>
        <v>5683.8226319462565</v>
      </c>
      <c r="D167" s="1550">
        <f>'Input data'!D147</f>
        <v>2607842.98652768</v>
      </c>
      <c r="E167" s="1508">
        <f>'Input data'!J147*C167</f>
        <v>68382.329419659043</v>
      </c>
      <c r="F167" s="1509">
        <f>'Input data'!L147</f>
        <v>70990.172406186728</v>
      </c>
      <c r="G167" s="1509">
        <f t="shared" si="134"/>
        <v>16190.101088088571</v>
      </c>
      <c r="H167" s="1509">
        <f t="shared" si="125"/>
        <v>25495.502545377727</v>
      </c>
      <c r="I167" s="1511">
        <f t="shared" si="99"/>
        <v>2607.8429865276798</v>
      </c>
      <c r="J167" s="1504">
        <f t="shared" si="132"/>
        <v>0.2</v>
      </c>
      <c r="K167" s="1512">
        <f t="shared" si="126"/>
        <v>361.06175887349292</v>
      </c>
      <c r="L167" s="1512">
        <f t="shared" si="101"/>
        <v>0</v>
      </c>
      <c r="M167" s="1509">
        <f t="shared" si="127"/>
        <v>361.06175887349292</v>
      </c>
      <c r="N167" s="1454">
        <f t="shared" si="131"/>
        <v>0.5</v>
      </c>
      <c r="O167" s="1511">
        <f t="shared" si="102"/>
        <v>751.91700000000026</v>
      </c>
      <c r="P167" s="1692">
        <f t="shared" si="130"/>
        <v>1112.9787588734932</v>
      </c>
      <c r="Q167" s="1364">
        <f t="shared" si="103"/>
        <v>40572.62487459281</v>
      </c>
      <c r="R167" s="1364">
        <f t="shared" si="128"/>
        <v>24382.523786504236</v>
      </c>
      <c r="S167" s="1091">
        <f t="shared" si="104"/>
        <v>0.63353691578972804</v>
      </c>
      <c r="T167" s="135" t="str">
        <f t="shared" si="105"/>
        <v>Yes</v>
      </c>
      <c r="U167" s="1091">
        <f t="shared" si="106"/>
        <v>0.63353691578972804</v>
      </c>
      <c r="V167" s="1494">
        <f t="shared" si="97"/>
        <v>46607.648619682499</v>
      </c>
      <c r="W167" s="1491">
        <f t="shared" si="98"/>
        <v>0.34346336908430042</v>
      </c>
      <c r="X167" s="527">
        <f t="shared" si="107"/>
        <v>16190.101088088575</v>
      </c>
      <c r="Y167" s="1509">
        <f t="shared" si="108"/>
        <v>5997.4984285757591</v>
      </c>
      <c r="Z167" s="528">
        <f t="shared" si="109"/>
        <v>3842.0800669387309</v>
      </c>
      <c r="AA167" s="528">
        <f t="shared" si="110"/>
        <v>0</v>
      </c>
      <c r="AB167" s="528">
        <f t="shared" si="111"/>
        <v>20577.969036079438</v>
      </c>
      <c r="AC167" s="528">
        <f t="shared" si="112"/>
        <v>46607.648619682499</v>
      </c>
      <c r="AD167" s="1487">
        <f t="shared" si="113"/>
        <v>0</v>
      </c>
      <c r="AE167" s="1504">
        <f t="shared" si="114"/>
        <v>0.34737004692511919</v>
      </c>
      <c r="AF167" s="1504">
        <f t="shared" si="115"/>
        <v>0.12868056222950075</v>
      </c>
      <c r="AG167" s="1504">
        <f t="shared" si="116"/>
        <v>8.2434539838944221E-2</v>
      </c>
      <c r="AH167" s="1504">
        <f t="shared" si="129"/>
        <v>0</v>
      </c>
      <c r="AI167" s="1504">
        <f t="shared" si="117"/>
        <v>0.44151485100643595</v>
      </c>
      <c r="AJ167" s="1541">
        <f t="shared" si="118"/>
        <v>1</v>
      </c>
      <c r="AK167" s="1555">
        <f t="shared" si="119"/>
        <v>2086.2743892221438</v>
      </c>
      <c r="AL167" s="1498">
        <f t="shared" si="120"/>
        <v>13374.615957037418</v>
      </c>
      <c r="AM167" s="1498">
        <f t="shared" si="121"/>
        <v>729.21074182900941</v>
      </c>
      <c r="AN167" s="1498">
        <f t="shared" si="122"/>
        <v>16190.101088088571</v>
      </c>
      <c r="AO167" s="1563">
        <f t="shared" si="123"/>
        <v>0</v>
      </c>
    </row>
    <row r="168" spans="1:41">
      <c r="A168" s="873">
        <f>'Input data'!A148</f>
        <v>2048</v>
      </c>
      <c r="B168" s="1551">
        <f>'Input data'!B148</f>
        <v>74.813195848926668</v>
      </c>
      <c r="C168" s="1550">
        <f>'Input data'!C148</f>
        <v>5769.8658364340272</v>
      </c>
      <c r="D168" s="1550">
        <f>'Input data'!D148</f>
        <v>1952211.0534243288</v>
      </c>
      <c r="E168" s="1508">
        <f>'Input data'!J148*C168</f>
        <v>69417.519138728632</v>
      </c>
      <c r="F168" s="1509">
        <f>'Input data'!L148</f>
        <v>71369.730192152958</v>
      </c>
      <c r="G168" s="1509">
        <f t="shared" si="134"/>
        <v>15308.962370313993</v>
      </c>
      <c r="H168" s="1509">
        <f t="shared" si="125"/>
        <v>26355.361223965483</v>
      </c>
      <c r="I168" s="1511">
        <f t="shared" si="99"/>
        <v>1952.2110534243288</v>
      </c>
      <c r="J168" s="417">
        <f t="shared" si="132"/>
        <v>0.2</v>
      </c>
      <c r="K168" s="1512">
        <f t="shared" si="126"/>
        <v>270.28803508611128</v>
      </c>
      <c r="L168" s="1512">
        <f t="shared" si="101"/>
        <v>0</v>
      </c>
      <c r="M168" s="1509">
        <f t="shared" si="127"/>
        <v>270.28803508611128</v>
      </c>
      <c r="N168" s="1454">
        <f t="shared" si="131"/>
        <v>0.5</v>
      </c>
      <c r="O168" s="1511">
        <f t="shared" si="102"/>
        <v>751.91700000000026</v>
      </c>
      <c r="P168" s="1692">
        <f t="shared" si="130"/>
        <v>1022.2050350861116</v>
      </c>
      <c r="Q168" s="1364">
        <f t="shared" si="103"/>
        <v>40642.118559193368</v>
      </c>
      <c r="R168" s="1364">
        <f t="shared" si="128"/>
        <v>25333.156188879373</v>
      </c>
      <c r="S168" s="1091">
        <f t="shared" si="104"/>
        <v>0.64823258677783568</v>
      </c>
      <c r="T168" s="135" t="str">
        <f t="shared" si="105"/>
        <v>Yes</v>
      </c>
      <c r="U168" s="1091">
        <f t="shared" si="106"/>
        <v>0.64823258677783568</v>
      </c>
      <c r="V168" s="1494">
        <f t="shared" si="97"/>
        <v>46036.574003273599</v>
      </c>
      <c r="W168" s="1491">
        <f t="shared" si="98"/>
        <v>0.35495659183064587</v>
      </c>
      <c r="X168" s="527">
        <f t="shared" si="107"/>
        <v>15308.962370313995</v>
      </c>
      <c r="Y168" s="1509">
        <f t="shared" si="108"/>
        <v>5949.2681104538569</v>
      </c>
      <c r="Z168" s="528">
        <f t="shared" si="109"/>
        <v>3888.8597695942517</v>
      </c>
      <c r="AA168" s="528">
        <f t="shared" si="110"/>
        <v>0</v>
      </c>
      <c r="AB168" s="528">
        <f t="shared" si="111"/>
        <v>20889.483752911496</v>
      </c>
      <c r="AC168" s="528">
        <f t="shared" si="112"/>
        <v>46036.574003273599</v>
      </c>
      <c r="AD168" s="1487">
        <f t="shared" si="113"/>
        <v>0</v>
      </c>
      <c r="AE168" s="1504">
        <f t="shared" si="114"/>
        <v>0.33253913223919301</v>
      </c>
      <c r="AF168" s="1504">
        <f t="shared" si="115"/>
        <v>0.12922916701036033</v>
      </c>
      <c r="AG168" s="1504">
        <f t="shared" si="116"/>
        <v>8.447326617566546E-2</v>
      </c>
      <c r="AH168" s="1504">
        <f t="shared" si="129"/>
        <v>0</v>
      </c>
      <c r="AI168" s="1504">
        <f t="shared" si="117"/>
        <v>0.45375843457478116</v>
      </c>
      <c r="AJ168" s="1541">
        <f t="shared" si="118"/>
        <v>0.99999999999999989</v>
      </c>
      <c r="AK168" s="1555">
        <f t="shared" si="119"/>
        <v>1561.768842739463</v>
      </c>
      <c r="AL168" s="1498">
        <f t="shared" si="120"/>
        <v>13032.624758931597</v>
      </c>
      <c r="AM168" s="1498">
        <f t="shared" si="121"/>
        <v>714.56876864293201</v>
      </c>
      <c r="AN168" s="1498">
        <f t="shared" si="122"/>
        <v>15308.962370313991</v>
      </c>
      <c r="AO168" s="1563">
        <f t="shared" si="123"/>
        <v>0</v>
      </c>
    </row>
    <row r="169" spans="1:41">
      <c r="A169" s="873">
        <f>'Input data'!A149</f>
        <v>2049</v>
      </c>
      <c r="B169" s="1551">
        <f>'Input data'!B149</f>
        <v>75.173102421925719</v>
      </c>
      <c r="C169" s="1550">
        <f>'Input data'!C149</f>
        <v>5861.5540552090788</v>
      </c>
      <c r="D169" s="1550">
        <f>'Input data'!D149</f>
        <v>1296579.1203209779</v>
      </c>
      <c r="E169" s="1508">
        <f>'Input data'!J149*C169</f>
        <v>70520.624282252509</v>
      </c>
      <c r="F169" s="1509">
        <f>'Input data'!L149</f>
        <v>71817.20340257349</v>
      </c>
      <c r="G169" s="1509">
        <f t="shared" si="134"/>
        <v>14475.779217222871</v>
      </c>
      <c r="H169" s="1509">
        <f t="shared" si="125"/>
        <v>27206.234691961778</v>
      </c>
      <c r="I169" s="1511">
        <f t="shared" si="99"/>
        <v>1296.5791203209778</v>
      </c>
      <c r="J169" s="417">
        <f t="shared" si="132"/>
        <v>0.2</v>
      </c>
      <c r="K169" s="1512">
        <f t="shared" si="126"/>
        <v>179.51431129872952</v>
      </c>
      <c r="L169" s="1512">
        <f t="shared" si="101"/>
        <v>0</v>
      </c>
      <c r="M169" s="1509">
        <f t="shared" si="127"/>
        <v>179.51431129872952</v>
      </c>
      <c r="N169" s="1454">
        <f t="shared" si="131"/>
        <v>0.5</v>
      </c>
      <c r="O169" s="1511">
        <f t="shared" si="102"/>
        <v>751.91700000000026</v>
      </c>
      <c r="P169" s="1692">
        <f t="shared" si="130"/>
        <v>931.43131129872972</v>
      </c>
      <c r="Q169" s="1364">
        <f t="shared" si="103"/>
        <v>40750.582597885921</v>
      </c>
      <c r="R169" s="1364">
        <f t="shared" si="128"/>
        <v>26274.803380663048</v>
      </c>
      <c r="S169" s="1091">
        <f t="shared" si="104"/>
        <v>0.66161186832814523</v>
      </c>
      <c r="T169" s="135" t="str">
        <f t="shared" si="105"/>
        <v>Yes</v>
      </c>
      <c r="U169" s="1091">
        <f t="shared" si="106"/>
        <v>0.66161186832814523</v>
      </c>
      <c r="V169" s="1494">
        <f t="shared" si="97"/>
        <v>45542.400021910449</v>
      </c>
      <c r="W169" s="1491">
        <f t="shared" si="98"/>
        <v>0.36585667689368018</v>
      </c>
      <c r="X169" s="527">
        <f t="shared" si="107"/>
        <v>14475.779217222876</v>
      </c>
      <c r="Y169" s="1509">
        <f t="shared" si="108"/>
        <v>5906.4763332814782</v>
      </c>
      <c r="Z169" s="528">
        <f t="shared" si="109"/>
        <v>3938.7085361162012</v>
      </c>
      <c r="AA169" s="528">
        <f t="shared" si="110"/>
        <v>0</v>
      </c>
      <c r="AB169" s="528">
        <f t="shared" si="111"/>
        <v>21221.435935289894</v>
      </c>
      <c r="AC169" s="528">
        <f t="shared" si="112"/>
        <v>45542.400021910449</v>
      </c>
      <c r="AD169" s="1487">
        <f t="shared" si="113"/>
        <v>0</v>
      </c>
      <c r="AE169" s="417">
        <f t="shared" si="114"/>
        <v>0.31785279674014938</v>
      </c>
      <c r="AF169" s="417">
        <f t="shared" si="115"/>
        <v>0.12969181093749721</v>
      </c>
      <c r="AG169" s="417">
        <f t="shared" si="116"/>
        <v>8.6484430645317079E-2</v>
      </c>
      <c r="AH169" s="417">
        <f t="shared" si="129"/>
        <v>0</v>
      </c>
      <c r="AI169" s="417">
        <f t="shared" si="117"/>
        <v>0.46597096167703633</v>
      </c>
      <c r="AJ169" s="525">
        <f t="shared" si="118"/>
        <v>1</v>
      </c>
      <c r="AK169" s="1497">
        <f t="shared" si="119"/>
        <v>1037.2632962567823</v>
      </c>
      <c r="AL169" s="1498">
        <f t="shared" si="120"/>
        <v>12736.158877109865</v>
      </c>
      <c r="AM169" s="1498">
        <f t="shared" si="121"/>
        <v>702.35704385622523</v>
      </c>
      <c r="AN169" s="1498">
        <f t="shared" si="122"/>
        <v>14475.779217222873</v>
      </c>
      <c r="AO169" s="1563">
        <f t="shared" si="123"/>
        <v>0</v>
      </c>
    </row>
    <row r="170" spans="1:41" ht="15.75" thickBot="1">
      <c r="A170" s="1566">
        <f>'Input data'!A150</f>
        <v>2050</v>
      </c>
      <c r="B170" s="1567">
        <f>'Input data'!B150</f>
        <v>75.517908954390194</v>
      </c>
      <c r="C170" s="1568">
        <f>'Input data'!C150</f>
        <v>5947.0928685667695</v>
      </c>
      <c r="D170" s="1568">
        <f>'Input data'!D150</f>
        <v>640947.1872176266</v>
      </c>
      <c r="E170" s="670">
        <f>'Input data'!J150*C170</f>
        <v>71549.745648622338</v>
      </c>
      <c r="F170" s="667">
        <f>'Input data'!L150</f>
        <v>72190.69283583996</v>
      </c>
      <c r="G170" s="667">
        <f>G137*(1-$C$6)</f>
        <v>13687.941669523079</v>
      </c>
      <c r="H170" s="667">
        <f t="shared" si="125"/>
        <v>27969.310136490534</v>
      </c>
      <c r="I170" s="659">
        <f t="shared" si="99"/>
        <v>640.94718721762661</v>
      </c>
      <c r="J170" s="651">
        <f t="shared" si="132"/>
        <v>0.2</v>
      </c>
      <c r="K170" s="1518">
        <f t="shared" si="126"/>
        <v>88.740587511347826</v>
      </c>
      <c r="L170" s="1518">
        <f t="shared" si="101"/>
        <v>0</v>
      </c>
      <c r="M170" s="1518">
        <f t="shared" si="127"/>
        <v>88.740587511347826</v>
      </c>
      <c r="N170" s="1522">
        <f t="shared" si="131"/>
        <v>0.5</v>
      </c>
      <c r="O170" s="1520">
        <f t="shared" si="102"/>
        <v>751.91700000000026</v>
      </c>
      <c r="P170" s="1693">
        <f t="shared" si="130"/>
        <v>840.65758751134808</v>
      </c>
      <c r="Q170" s="1485">
        <f t="shared" si="103"/>
        <v>40816.594218502265</v>
      </c>
      <c r="R170" s="1485">
        <f t="shared" si="128"/>
        <v>27128.652548979186</v>
      </c>
      <c r="S170" s="1094">
        <f t="shared" si="104"/>
        <v>0.67310347911986912</v>
      </c>
      <c r="T170" s="1105" t="str">
        <f t="shared" si="105"/>
        <v>Yes</v>
      </c>
      <c r="U170" s="1094">
        <f t="shared" si="106"/>
        <v>0.67310347911986912</v>
      </c>
      <c r="V170" s="1495">
        <f t="shared" si="97"/>
        <v>45062.040286860793</v>
      </c>
      <c r="W170" s="1492">
        <f t="shared" si="98"/>
        <v>0.3757915526682799</v>
      </c>
      <c r="X170" s="670">
        <f t="shared" si="107"/>
        <v>13687.941669523079</v>
      </c>
      <c r="Y170" s="1518">
        <f t="shared" si="108"/>
        <v>5857.7600727551971</v>
      </c>
      <c r="Z170" s="667">
        <f t="shared" si="109"/>
        <v>3985.2140129658874</v>
      </c>
      <c r="AA170" s="667">
        <f t="shared" si="110"/>
        <v>0</v>
      </c>
      <c r="AB170" s="667">
        <f t="shared" si="111"/>
        <v>21531.124531616624</v>
      </c>
      <c r="AC170" s="667">
        <f t="shared" si="112"/>
        <v>45062.040286860793</v>
      </c>
      <c r="AD170" s="1488">
        <f t="shared" si="113"/>
        <v>0</v>
      </c>
      <c r="AE170" s="651">
        <f t="shared" si="114"/>
        <v>0.30375769899425115</v>
      </c>
      <c r="AF170" s="651">
        <f t="shared" si="115"/>
        <v>0.12999322790235943</v>
      </c>
      <c r="AG170" s="651">
        <f t="shared" si="116"/>
        <v>8.8438383783698712E-2</v>
      </c>
      <c r="AH170" s="651">
        <f t="shared" si="129"/>
        <v>0</v>
      </c>
      <c r="AI170" s="651">
        <f>AB170/AC170</f>
        <v>0.47781068931969062</v>
      </c>
      <c r="AJ170" s="652">
        <f t="shared" si="118"/>
        <v>0.99999999999999989</v>
      </c>
      <c r="AK170" s="1499">
        <f t="shared" si="119"/>
        <v>512.75774977410128</v>
      </c>
      <c r="AL170" s="1500">
        <f t="shared" si="120"/>
        <v>12483.190264334644</v>
      </c>
      <c r="AM170" s="1500">
        <f t="shared" si="121"/>
        <v>691.99365541432974</v>
      </c>
      <c r="AN170" s="1500">
        <f t="shared" si="122"/>
        <v>13687.941669523074</v>
      </c>
      <c r="AO170" s="1564">
        <f t="shared" si="123"/>
        <v>0</v>
      </c>
    </row>
    <row r="172" spans="1:41" ht="23.25">
      <c r="A172" s="686" t="s">
        <v>640</v>
      </c>
    </row>
    <row r="173" spans="1:41" ht="24" thickBot="1">
      <c r="A173" s="686"/>
    </row>
    <row r="174" spans="1:41" ht="21.6" customHeight="1" thickBot="1">
      <c r="A174" s="1819" t="s">
        <v>602</v>
      </c>
      <c r="B174" s="1820"/>
      <c r="C174" s="1820"/>
      <c r="D174" s="1821"/>
      <c r="E174" s="1822" t="s">
        <v>603</v>
      </c>
      <c r="F174" s="1823"/>
      <c r="G174" s="1823"/>
      <c r="H174" s="1823"/>
      <c r="I174" s="1824"/>
      <c r="J174" s="1825" t="s">
        <v>604</v>
      </c>
      <c r="K174" s="1826"/>
      <c r="L174" s="1827"/>
      <c r="M174" s="1828" t="s">
        <v>764</v>
      </c>
      <c r="N174" s="1830" t="s">
        <v>607</v>
      </c>
      <c r="O174" s="1831"/>
      <c r="P174" s="1809" t="s">
        <v>594</v>
      </c>
      <c r="Q174" s="1811" t="s">
        <v>772</v>
      </c>
      <c r="R174" s="1811" t="s">
        <v>775</v>
      </c>
      <c r="S174" s="1811" t="s">
        <v>774</v>
      </c>
      <c r="T174" s="1843" t="s">
        <v>776</v>
      </c>
      <c r="U174" s="1876" t="s">
        <v>777</v>
      </c>
      <c r="V174" s="1813" t="s">
        <v>767</v>
      </c>
      <c r="W174" s="1815" t="s">
        <v>768</v>
      </c>
      <c r="X174" s="1104" t="s">
        <v>592</v>
      </c>
      <c r="Y174" s="1097"/>
      <c r="Z174" s="1097"/>
      <c r="AA174" s="1097"/>
      <c r="AB174" s="1097"/>
      <c r="AC174" s="1097"/>
      <c r="AD174" s="1097"/>
      <c r="AE174" s="1097"/>
      <c r="AF174" s="1097"/>
      <c r="AG174" s="1097"/>
      <c r="AH174" s="1097"/>
      <c r="AI174" s="1097"/>
      <c r="AJ174" s="1097"/>
      <c r="AK174" s="1884" t="s">
        <v>730</v>
      </c>
      <c r="AL174" s="1885"/>
      <c r="AM174" s="1885"/>
      <c r="AN174" s="1885"/>
      <c r="AO174" s="1886"/>
    </row>
    <row r="175" spans="1:41" ht="58.9" customHeight="1">
      <c r="A175" s="1817" t="s">
        <v>217</v>
      </c>
      <c r="B175" s="703" t="s">
        <v>218</v>
      </c>
      <c r="C175" s="703" t="s">
        <v>390</v>
      </c>
      <c r="D175" s="469" t="s">
        <v>630</v>
      </c>
      <c r="E175" s="704" t="s">
        <v>786</v>
      </c>
      <c r="F175" s="704" t="s">
        <v>787</v>
      </c>
      <c r="G175" s="704" t="s">
        <v>771</v>
      </c>
      <c r="H175" s="705" t="s">
        <v>597</v>
      </c>
      <c r="I175" s="705" t="s">
        <v>626</v>
      </c>
      <c r="J175" s="1461" t="s">
        <v>326</v>
      </c>
      <c r="K175" s="1461" t="s">
        <v>765</v>
      </c>
      <c r="L175" s="706" t="s">
        <v>766</v>
      </c>
      <c r="M175" s="1829"/>
      <c r="N175" s="508" t="s">
        <v>605</v>
      </c>
      <c r="O175" s="559" t="s">
        <v>606</v>
      </c>
      <c r="P175" s="1810"/>
      <c r="Q175" s="1812"/>
      <c r="R175" s="1812"/>
      <c r="S175" s="1812"/>
      <c r="T175" s="1844"/>
      <c r="U175" s="1877"/>
      <c r="V175" s="1814"/>
      <c r="W175" s="1816"/>
      <c r="X175" s="1392" t="s">
        <v>473</v>
      </c>
      <c r="Y175" s="1393" t="s">
        <v>489</v>
      </c>
      <c r="Z175" s="1393" t="s">
        <v>376</v>
      </c>
      <c r="AA175" s="1393" t="s">
        <v>377</v>
      </c>
      <c r="AB175" s="1393" t="s">
        <v>477</v>
      </c>
      <c r="AC175" s="1393" t="s">
        <v>225</v>
      </c>
      <c r="AD175" s="713" t="s">
        <v>617</v>
      </c>
      <c r="AE175" s="1092" t="s">
        <v>473</v>
      </c>
      <c r="AF175" s="710" t="s">
        <v>489</v>
      </c>
      <c r="AG175" s="710" t="s">
        <v>376</v>
      </c>
      <c r="AH175" s="710" t="s">
        <v>377</v>
      </c>
      <c r="AI175" s="710" t="s">
        <v>477</v>
      </c>
      <c r="AJ175" s="718" t="s">
        <v>225</v>
      </c>
      <c r="AK175" s="1569" t="s">
        <v>731</v>
      </c>
      <c r="AL175" s="1570" t="s">
        <v>493</v>
      </c>
      <c r="AM175" s="1570" t="s">
        <v>732</v>
      </c>
      <c r="AN175" s="1570" t="s">
        <v>225</v>
      </c>
      <c r="AO175" s="1571" t="s">
        <v>617</v>
      </c>
    </row>
    <row r="176" spans="1:41" ht="61.15" customHeight="1" thickBot="1">
      <c r="A176" s="1818"/>
      <c r="B176" s="1124" t="s">
        <v>232</v>
      </c>
      <c r="C176" s="1125" t="s">
        <v>482</v>
      </c>
      <c r="D176" s="1126" t="s">
        <v>480</v>
      </c>
      <c r="E176" s="1127" t="s">
        <v>228</v>
      </c>
      <c r="F176" s="1127" t="s">
        <v>228</v>
      </c>
      <c r="G176" s="1127" t="s">
        <v>228</v>
      </c>
      <c r="H176" s="1479" t="str">
        <f>G176</f>
        <v>Gg</v>
      </c>
      <c r="I176" s="1127" t="s">
        <v>228</v>
      </c>
      <c r="J176" s="707" t="s">
        <v>229</v>
      </c>
      <c r="K176" s="1114" t="s">
        <v>228</v>
      </c>
      <c r="L176" s="1114" t="s">
        <v>228</v>
      </c>
      <c r="M176" s="1114" t="s">
        <v>228</v>
      </c>
      <c r="N176" s="688" t="s">
        <v>229</v>
      </c>
      <c r="O176" s="690" t="s">
        <v>228</v>
      </c>
      <c r="P176" s="1115" t="s">
        <v>228</v>
      </c>
      <c r="Q176" s="1116" t="s">
        <v>228</v>
      </c>
      <c r="R176" s="1116" t="s">
        <v>228</v>
      </c>
      <c r="S176" s="1117" t="s">
        <v>28</v>
      </c>
      <c r="T176" s="1844"/>
      <c r="U176" s="1117" t="s">
        <v>28</v>
      </c>
      <c r="V176" s="1116" t="s">
        <v>228</v>
      </c>
      <c r="W176" s="1496"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6" t="s">
        <v>229</v>
      </c>
      <c r="AK176" s="191" t="s">
        <v>228</v>
      </c>
      <c r="AL176" s="1095" t="s">
        <v>228</v>
      </c>
      <c r="AM176" s="1095" t="s">
        <v>228</v>
      </c>
      <c r="AN176" s="1095" t="s">
        <v>228</v>
      </c>
      <c r="AO176" s="1096" t="s">
        <v>590</v>
      </c>
    </row>
    <row r="177" spans="1:41" ht="15" customHeight="1">
      <c r="A177" s="736">
        <f>'Input data'!A117</f>
        <v>2017</v>
      </c>
      <c r="B177" s="737">
        <f>'Input data'!B117</f>
        <v>56.521948041648095</v>
      </c>
      <c r="C177" s="738">
        <f>'Input data'!C117</f>
        <v>3117.5115237718705</v>
      </c>
      <c r="D177" s="957">
        <f>'Input data'!E117</f>
        <v>49995051</v>
      </c>
      <c r="E177" s="956">
        <f>'Input data'!J117*C177</f>
        <v>37506.923384615395</v>
      </c>
      <c r="F177" s="957">
        <f>'Input data'!L117</f>
        <v>87501.974384615402</v>
      </c>
      <c r="G177" s="957">
        <f>F137*B11</f>
        <v>68439.708347615408</v>
      </c>
      <c r="H177" s="677">
        <f t="shared" ref="H177:H210" si="135">E177*$B$12+I177*$E$80-G177</f>
        <v>0</v>
      </c>
      <c r="I177" s="1467">
        <f>D177/1000</f>
        <v>49995.050999999999</v>
      </c>
      <c r="J177" s="647">
        <f>$H$17</f>
        <v>6.154773859516615E-2</v>
      </c>
      <c r="K177" s="957">
        <f>(I177)*J177-(I177)*$J$137</f>
        <v>0</v>
      </c>
      <c r="L177" s="957">
        <f>(E177)*$C$12*$G$12-(E177)*$C$12*$G$12</f>
        <v>0</v>
      </c>
      <c r="M177" s="1467">
        <f>L177+K177</f>
        <v>0</v>
      </c>
      <c r="N177" s="708">
        <v>0</v>
      </c>
      <c r="O177" s="1467">
        <f>N177*$E$177*($C$85)*$B$12</f>
        <v>0</v>
      </c>
      <c r="P177" s="1480">
        <f>O177+M177</f>
        <v>0</v>
      </c>
      <c r="Q177" s="1484">
        <f>E177*$B$12+(1-$J$137)*I177-P177</f>
        <v>68439.708347615408</v>
      </c>
      <c r="R177" s="1484">
        <f>Q177-G177</f>
        <v>0</v>
      </c>
      <c r="S177" s="1218">
        <f>R177/(Q177-I177*(1-J177))</f>
        <v>0</v>
      </c>
      <c r="T177" s="1489" t="str">
        <f>IF(AND(S177&gt;=0,S177&lt;=1),"Yes","No")</f>
        <v>Yes</v>
      </c>
      <c r="U177" s="1119">
        <f>IF(S177&lt;=0,0,IF(S177&gt;=1,1,S177))</f>
        <v>0</v>
      </c>
      <c r="V177" s="1493">
        <f t="shared" ref="V177:V210" si="136">AC177</f>
        <v>87501.974384615402</v>
      </c>
      <c r="W177" s="1490">
        <f t="shared" ref="W177:W210" si="137">(1-V177/F177)</f>
        <v>0</v>
      </c>
      <c r="X177" s="956">
        <f>(E177*$B$12-O177-L177)*(1-U177)+I177*(1-J177)</f>
        <v>68439.708347615408</v>
      </c>
      <c r="Y177" s="1501">
        <f>I177*J177+E177*$G$12*$C$12</f>
        <v>6080.5670370000007</v>
      </c>
      <c r="Z177" s="1530">
        <f>($C$12*$H$12*E177+O177)</f>
        <v>1694.9190000000001</v>
      </c>
      <c r="AA177" s="1530">
        <f>$F$137*$D$11</f>
        <v>0</v>
      </c>
      <c r="AB177" s="1530">
        <f>E177*$E$12</f>
        <v>11286.78</v>
      </c>
      <c r="AC177" s="1530">
        <f>SUM(X177:AB177)</f>
        <v>87501.974384615402</v>
      </c>
      <c r="AD177" s="1486">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7">
        <f>I177*(1-$J$137)-K177</f>
        <v>46917.968670000002</v>
      </c>
      <c r="AL177" s="1498">
        <f>(E177*$C$86*$B$12-L177)*(1-U177)</f>
        <v>20017.905677615392</v>
      </c>
      <c r="AM177" s="1498">
        <f>(E177*($C$85)*$B$12-O177)*(1-U177)</f>
        <v>1503.8340000000005</v>
      </c>
      <c r="AN177" s="1498">
        <f>SUM(AK177:AM177)</f>
        <v>68439.708347615393</v>
      </c>
      <c r="AO177" s="1184">
        <f>AN177-X177</f>
        <v>0</v>
      </c>
    </row>
    <row r="178" spans="1:41">
      <c r="A178" s="127">
        <f>'Input data'!A118</f>
        <v>2018</v>
      </c>
      <c r="B178" s="662">
        <f>'Input data'!B118</f>
        <v>57.436000617299655</v>
      </c>
      <c r="C178" s="236">
        <f>'Input data'!C118</f>
        <v>3154.0370052724184</v>
      </c>
      <c r="D178" s="528">
        <f>'Input data'!E118</f>
        <v>50359792.847133137</v>
      </c>
      <c r="E178" s="527">
        <f>'Input data'!J118*C178</f>
        <v>37946.363119089809</v>
      </c>
      <c r="F178" s="528">
        <f>'Input data'!L118</f>
        <v>88306.155966222956</v>
      </c>
      <c r="G178" s="528">
        <f>$G$137*(1+((($G$150/$G$137)^(1/($A$150-$A$137)))-1))^(A178-$A$137)</f>
        <v>64886.148572305057</v>
      </c>
      <c r="H178" s="528">
        <f>E178*$B$12+I178*$E$80-G178</f>
        <v>4148.0062349192594</v>
      </c>
      <c r="I178" s="530">
        <f t="shared" ref="I178:I210" si="138">D178/1000</f>
        <v>50359.79284713314</v>
      </c>
      <c r="J178" s="417">
        <f t="shared" ref="J178:J188" si="139">$J$137*(1+((($J$150/$J$137)^(1/($A$150-$A$137)))-1))^(A178-$A$137)</f>
        <v>6.7388021833337503E-2</v>
      </c>
      <c r="K178" s="775">
        <f>(I178)*J178-(I178)*$J$137</f>
        <v>294.11545404289336</v>
      </c>
      <c r="L178" s="775">
        <f t="shared" ref="L178:L210" si="140">(E178)*$C$12*$G$12-(E178)*$C$12*$G$12</f>
        <v>0</v>
      </c>
      <c r="M178" s="530">
        <f>L178+K178</f>
        <v>294.11545404289336</v>
      </c>
      <c r="N178" s="649">
        <f>($N$142-$N$137)/($A$102-$A$97)+N177</f>
        <v>0.05</v>
      </c>
      <c r="O178" s="530">
        <f t="shared" ref="O178:O210" si="141">N178*$E$177*($C$85)*$B$12</f>
        <v>75.191700000000026</v>
      </c>
      <c r="P178" s="1481">
        <f>O178+M178</f>
        <v>369.30715404289339</v>
      </c>
      <c r="Q178" s="1364">
        <f t="shared" ref="Q178:Q210" si="142">E178*$B$12+(1-$J$137)*I178-P178</f>
        <v>68664.847653181423</v>
      </c>
      <c r="R178" s="1364">
        <f>Q178-G178</f>
        <v>3778.6990808763658</v>
      </c>
      <c r="S178" s="576">
        <f t="shared" ref="S178:S210" si="143">R178/(Q178-I178*(1-J178))</f>
        <v>0.1741440177396035</v>
      </c>
      <c r="T178" s="135" t="str">
        <f t="shared" ref="T178:T210" si="144">IF(AND(S178&gt;=0,S178&lt;=1),"Yes","No")</f>
        <v>Yes</v>
      </c>
      <c r="U178" s="1091">
        <f t="shared" ref="U178:U210" si="145">IF(S178&lt;=0,0,IF(S178&gt;=1,1,S178))</f>
        <v>0.1741440177396035</v>
      </c>
      <c r="V178" s="1494">
        <f t="shared" si="136"/>
        <v>84527.45688534659</v>
      </c>
      <c r="W178" s="1491">
        <f t="shared" si="137"/>
        <v>4.2790890844820795E-2</v>
      </c>
      <c r="X178" s="527">
        <f t="shared" ref="X178:X210" si="146">(E178*$B$12-O178-L178)*(1-U178)+I178*(1-J178)</f>
        <v>64886.148572305057</v>
      </c>
      <c r="Y178" s="1509">
        <f t="shared" ref="Y178:Y210" si="147">I178*J178+E178*$G$12*$C$12</f>
        <v>6432.32104401378</v>
      </c>
      <c r="Z178" s="1531">
        <f t="shared" ref="Z178:Z210" si="148">($C$12*$H$12*E178+O178)</f>
        <v>1789.9687605419947</v>
      </c>
      <c r="AA178" s="1531">
        <f t="shared" ref="AA178:AA210" si="149">$F$137*$D$11</f>
        <v>0</v>
      </c>
      <c r="AB178" s="1531">
        <f t="shared" ref="AB178:AB210" si="150">E178*$E$12</f>
        <v>11419.018508485759</v>
      </c>
      <c r="AC178" s="1531">
        <f t="shared" ref="AC178:AC210" si="151">SUM(X178:AB178)</f>
        <v>84527.45688534659</v>
      </c>
      <c r="AD178" s="1487">
        <f t="shared" ref="AD178:AD210" si="152">X178-G178</f>
        <v>0</v>
      </c>
      <c r="AE178" s="649">
        <f t="shared" ref="AE178:AE210" si="153">X178/AC178</f>
        <v>0.76763398501763647</v>
      </c>
      <c r="AF178" s="417">
        <f t="shared" ref="AF178:AF210" si="154">Y178/AC178</f>
        <v>7.6097415928869219E-2</v>
      </c>
      <c r="AG178" s="417">
        <f t="shared" ref="AG178:AG210" si="155">Z178/AC178</f>
        <v>2.117618140304299E-2</v>
      </c>
      <c r="AH178" s="417">
        <f>AA178/AC178</f>
        <v>0</v>
      </c>
      <c r="AI178" s="417">
        <f t="shared" ref="AI178:AI209" si="156">AB178/AC178</f>
        <v>0.13509241765045132</v>
      </c>
      <c r="AJ178" s="525">
        <f t="shared" ref="AJ178:AJ210" si="157">SUM(AE178:AI178)</f>
        <v>1</v>
      </c>
      <c r="AK178" s="1497">
        <f t="shared" ref="AK178:AK210" si="158">I178*(1-$J$137)-K178</f>
        <v>46966.146027228184</v>
      </c>
      <c r="AL178" s="1498">
        <f t="shared" ref="AL178:AL210" si="159">(E178*$C$86*$B$12-L178)*(1-U178)</f>
        <v>16725.598779901986</v>
      </c>
      <c r="AM178" s="1498">
        <f t="shared" ref="AM178:AM210" si="160">(E178*($C$85)*$B$12-O178)*(1-U178)</f>
        <v>1194.4037651748863</v>
      </c>
      <c r="AN178" s="1498">
        <f t="shared" ref="AN178:AN210" si="161">SUM(AK178:AM178)</f>
        <v>64886.148572305057</v>
      </c>
      <c r="AO178" s="1184">
        <f t="shared" ref="AO178:AO210" si="162">AN178-X178</f>
        <v>0</v>
      </c>
    </row>
    <row r="179" spans="1:41">
      <c r="A179" s="127">
        <f>'Input data'!A119</f>
        <v>2019</v>
      </c>
      <c r="B179" s="662">
        <f>'Input data'!B119</f>
        <v>58.364834921819444</v>
      </c>
      <c r="C179" s="236">
        <f>'Input data'!C119</f>
        <v>3164.1559328574817</v>
      </c>
      <c r="D179" s="528">
        <f>'Input data'!E119</f>
        <v>53404857.831011549</v>
      </c>
      <c r="E179" s="527">
        <f>'Input data'!J119*C179</f>
        <v>38068.104398560121</v>
      </c>
      <c r="F179" s="528">
        <f>'Input data'!L119</f>
        <v>91472.962229571669</v>
      </c>
      <c r="G179" s="528">
        <f t="shared" ref="G179:G189" si="163">$G$137*(1+((($G$150/$G$137)^(1/($A$150-$A$137)))-1))^(A179-$A$137)</f>
        <v>61517.098453473154</v>
      </c>
      <c r="H179" s="528">
        <f t="shared" si="135"/>
        <v>10444.560486922783</v>
      </c>
      <c r="I179" s="530">
        <f t="shared" si="138"/>
        <v>53404.857831011548</v>
      </c>
      <c r="J179" s="417">
        <f t="shared" si="139"/>
        <v>7.3782491286642105E-2</v>
      </c>
      <c r="K179" s="775">
        <f t="shared" ref="K179:K210" si="164">(I179)*J179-(I179)*$J$137</f>
        <v>653.39522808585889</v>
      </c>
      <c r="L179" s="1512">
        <f t="shared" si="140"/>
        <v>0</v>
      </c>
      <c r="M179" s="1511">
        <f t="shared" ref="M179:M210" si="165">L179+K179</f>
        <v>653.39522808585889</v>
      </c>
      <c r="N179" s="1454">
        <f>($N$142-$N$137)/($A$102-$A$97)+N178</f>
        <v>0.1</v>
      </c>
      <c r="O179" s="530">
        <f t="shared" si="141"/>
        <v>150.38340000000005</v>
      </c>
      <c r="P179" s="1481">
        <f>O179+M179</f>
        <v>803.77862808585894</v>
      </c>
      <c r="Q179" s="1364">
        <f t="shared" si="142"/>
        <v>71157.880312310081</v>
      </c>
      <c r="R179" s="1364">
        <f t="shared" ref="R179:R210" si="166">Q179-G179</f>
        <v>9640.7818588369264</v>
      </c>
      <c r="S179" s="576">
        <f t="shared" si="143"/>
        <v>0.44441152590149363</v>
      </c>
      <c r="T179" s="135" t="str">
        <f t="shared" si="144"/>
        <v>Yes</v>
      </c>
      <c r="U179" s="1091">
        <f t="shared" si="145"/>
        <v>0.44441152590149363</v>
      </c>
      <c r="V179" s="1494">
        <f t="shared" si="136"/>
        <v>81832.180370734743</v>
      </c>
      <c r="W179" s="1491">
        <f t="shared" si="137"/>
        <v>0.10539487979673434</v>
      </c>
      <c r="X179" s="527">
        <f t="shared" si="146"/>
        <v>61517.098453473154</v>
      </c>
      <c r="Y179" s="1509">
        <f t="shared" si="147"/>
        <v>6988.7664970578244</v>
      </c>
      <c r="Z179" s="1531">
        <f t="shared" si="148"/>
        <v>1870.6618877196547</v>
      </c>
      <c r="AA179" s="1531">
        <f t="shared" si="149"/>
        <v>0</v>
      </c>
      <c r="AB179" s="1531">
        <f t="shared" si="150"/>
        <v>11455.653532484115</v>
      </c>
      <c r="AC179" s="1531">
        <f t="shared" si="151"/>
        <v>81832.180370734743</v>
      </c>
      <c r="AD179" s="1487">
        <f t="shared" si="152"/>
        <v>0</v>
      </c>
      <c r="AE179" s="649">
        <f t="shared" si="153"/>
        <v>0.75174702879447197</v>
      </c>
      <c r="AF179" s="417">
        <f t="shared" si="154"/>
        <v>8.5403645184519414E-2</v>
      </c>
      <c r="AG179" s="417">
        <f t="shared" si="155"/>
        <v>2.2859734144254216E-2</v>
      </c>
      <c r="AH179" s="417">
        <f t="shared" ref="AH179:AH210" si="167">AA179/AC179</f>
        <v>0</v>
      </c>
      <c r="AI179" s="417">
        <f t="shared" si="156"/>
        <v>0.13998959187675447</v>
      </c>
      <c r="AJ179" s="525">
        <f t="shared" si="157"/>
        <v>1</v>
      </c>
      <c r="AK179" s="1497">
        <f t="shared" si="158"/>
        <v>49464.514373430582</v>
      </c>
      <c r="AL179" s="1498">
        <f t="shared" si="159"/>
        <v>11288.121529300306</v>
      </c>
      <c r="AM179" s="1498">
        <f t="shared" si="160"/>
        <v>764.46255074226679</v>
      </c>
      <c r="AN179" s="1498">
        <f t="shared" si="161"/>
        <v>61517.098453473154</v>
      </c>
      <c r="AO179" s="1184">
        <f t="shared" si="162"/>
        <v>0</v>
      </c>
    </row>
    <row r="180" spans="1:41">
      <c r="A180" s="127">
        <f>'Input data'!A120</f>
        <v>2020</v>
      </c>
      <c r="B180" s="662">
        <f>'Input data'!B120</f>
        <v>59.308690000000006</v>
      </c>
      <c r="C180" s="236">
        <f>'Input data'!C120</f>
        <v>2966.4312031486884</v>
      </c>
      <c r="D180" s="528">
        <f>'Input data'!E120</f>
        <v>50522212.337504238</v>
      </c>
      <c r="E180" s="527">
        <f>'Input data'!J120*C180</f>
        <v>35689.269153884321</v>
      </c>
      <c r="F180" s="528">
        <f>'Input data'!L120</f>
        <v>86211.481491388549</v>
      </c>
      <c r="G180" s="528">
        <f t="shared" si="163"/>
        <v>58322.977791126912</v>
      </c>
      <c r="H180" s="528">
        <f t="shared" si="135"/>
        <v>9568.4633669764662</v>
      </c>
      <c r="I180" s="530">
        <f t="shared" si="138"/>
        <v>50522.212337504236</v>
      </c>
      <c r="J180" s="417">
        <f t="shared" si="139"/>
        <v>8.0783733850016193E-2</v>
      </c>
      <c r="K180" s="775">
        <f t="shared" si="164"/>
        <v>971.84503678875808</v>
      </c>
      <c r="L180" s="1512">
        <f t="shared" si="140"/>
        <v>0</v>
      </c>
      <c r="M180" s="1511">
        <f t="shared" si="165"/>
        <v>971.84503678875808</v>
      </c>
      <c r="N180" s="1454">
        <f>($N$142-$N$137)/($A$102-$A$97)+N179</f>
        <v>0.15000000000000002</v>
      </c>
      <c r="O180" s="530">
        <f t="shared" si="141"/>
        <v>225.57510000000011</v>
      </c>
      <c r="P180" s="1481">
        <f t="shared" ref="P180:P210" si="168">O180+M180</f>
        <v>1197.4201367887581</v>
      </c>
      <c r="Q180" s="1364">
        <f t="shared" si="142"/>
        <v>66694.02102131462</v>
      </c>
      <c r="R180" s="1364">
        <f t="shared" si="166"/>
        <v>8371.0432301877081</v>
      </c>
      <c r="S180" s="576">
        <f t="shared" si="143"/>
        <v>0.41331991089004994</v>
      </c>
      <c r="T180" s="135" t="str">
        <f t="shared" si="144"/>
        <v>Yes</v>
      </c>
      <c r="U180" s="1091">
        <f t="shared" si="145"/>
        <v>0.41331991089004994</v>
      </c>
      <c r="V180" s="1494">
        <f t="shared" si="136"/>
        <v>77840.438261200849</v>
      </c>
      <c r="W180" s="1491">
        <f t="shared" si="137"/>
        <v>9.7098937234060489E-2</v>
      </c>
      <c r="X180" s="527">
        <f t="shared" si="146"/>
        <v>58322.977791126905</v>
      </c>
      <c r="Y180" s="1509">
        <f t="shared" si="147"/>
        <v>6939.30328983458</v>
      </c>
      <c r="Z180" s="1531">
        <f t="shared" si="148"/>
        <v>1838.3552196790363</v>
      </c>
      <c r="AA180" s="1531">
        <f t="shared" si="149"/>
        <v>0</v>
      </c>
      <c r="AB180" s="1531">
        <f t="shared" si="150"/>
        <v>10739.801960560329</v>
      </c>
      <c r="AC180" s="1531">
        <f t="shared" si="151"/>
        <v>77840.438261200849</v>
      </c>
      <c r="AD180" s="1487">
        <f t="shared" si="152"/>
        <v>0</v>
      </c>
      <c r="AE180" s="649">
        <f t="shared" si="153"/>
        <v>0.7492632247960721</v>
      </c>
      <c r="AF180" s="417">
        <f t="shared" si="154"/>
        <v>8.9147793163099884E-2</v>
      </c>
      <c r="AG180" s="417">
        <f t="shared" si="155"/>
        <v>2.3616969029776835E-2</v>
      </c>
      <c r="AH180" s="417">
        <f t="shared" si="167"/>
        <v>0</v>
      </c>
      <c r="AI180" s="417">
        <f t="shared" si="156"/>
        <v>0.13797201301105119</v>
      </c>
      <c r="AJ180" s="525">
        <f t="shared" si="157"/>
        <v>1</v>
      </c>
      <c r="AK180" s="1497">
        <f t="shared" si="158"/>
        <v>46440.83938251729</v>
      </c>
      <c r="AL180" s="1498">
        <f t="shared" si="159"/>
        <v>11174.965758104454</v>
      </c>
      <c r="AM180" s="1498">
        <f t="shared" si="160"/>
        <v>707.17265050516494</v>
      </c>
      <c r="AN180" s="1498">
        <f t="shared" si="161"/>
        <v>58322.977791126905</v>
      </c>
      <c r="AO180" s="1184">
        <f t="shared" si="162"/>
        <v>0</v>
      </c>
    </row>
    <row r="181" spans="1:41">
      <c r="A181" s="127">
        <f>'Input data'!A121</f>
        <v>2021</v>
      </c>
      <c r="B181" s="662">
        <f>'Input data'!B121</f>
        <v>60.097873988486953</v>
      </c>
      <c r="C181" s="236">
        <f>'Input data'!C121</f>
        <v>3038.4599250524875</v>
      </c>
      <c r="D181" s="528">
        <f>'Input data'!E121</f>
        <v>50478759.434739612</v>
      </c>
      <c r="E181" s="527">
        <f>'Input data'!J121*C181</f>
        <v>36555.849993549964</v>
      </c>
      <c r="F181" s="528">
        <f>'Input data'!L121</f>
        <v>87034.609428289579</v>
      </c>
      <c r="G181" s="528">
        <f t="shared" si="163"/>
        <v>55294.7038130703</v>
      </c>
      <c r="H181" s="528">
        <f t="shared" si="135"/>
        <v>13053.209125798967</v>
      </c>
      <c r="I181" s="530">
        <f t="shared" si="138"/>
        <v>50478.759434739615</v>
      </c>
      <c r="J181" s="417">
        <f t="shared" si="139"/>
        <v>8.8449326404511766E-2</v>
      </c>
      <c r="K181" s="775">
        <f t="shared" si="164"/>
        <v>1357.9587794404815</v>
      </c>
      <c r="L181" s="1512">
        <f t="shared" si="140"/>
        <v>0</v>
      </c>
      <c r="M181" s="1511">
        <f t="shared" si="165"/>
        <v>1357.9587794404815</v>
      </c>
      <c r="N181" s="1454">
        <f>($N$142-$N$137)/($A$102-$A$97)+N180</f>
        <v>0.2</v>
      </c>
      <c r="O181" s="530">
        <f t="shared" si="141"/>
        <v>300.7668000000001</v>
      </c>
      <c r="P181" s="1481">
        <f t="shared" si="168"/>
        <v>1658.7255794404816</v>
      </c>
      <c r="Q181" s="1364">
        <f t="shared" si="142"/>
        <v>66689.18735942879</v>
      </c>
      <c r="R181" s="1364">
        <f t="shared" si="166"/>
        <v>11394.48354635849</v>
      </c>
      <c r="S181" s="576">
        <f t="shared" si="143"/>
        <v>0.55111734805526991</v>
      </c>
      <c r="T181" s="135" t="str">
        <f t="shared" si="144"/>
        <v>Yes</v>
      </c>
      <c r="U181" s="1091">
        <f t="shared" si="145"/>
        <v>0.55111734805526991</v>
      </c>
      <c r="V181" s="1494">
        <f t="shared" si="136"/>
        <v>75640.125881931104</v>
      </c>
      <c r="W181" s="1491">
        <f t="shared" si="137"/>
        <v>0.13091899442309474</v>
      </c>
      <c r="X181" s="527">
        <f t="shared" si="146"/>
        <v>55294.7038130703</v>
      </c>
      <c r="Y181" s="1509">
        <f t="shared" si="147"/>
        <v>7392.1367874310008</v>
      </c>
      <c r="Z181" s="1531">
        <f t="shared" si="148"/>
        <v>1952.7072718925085</v>
      </c>
      <c r="AA181" s="1531">
        <f t="shared" si="149"/>
        <v>0</v>
      </c>
      <c r="AB181" s="1531">
        <f t="shared" si="150"/>
        <v>11000.578009537285</v>
      </c>
      <c r="AC181" s="1531">
        <f t="shared" si="151"/>
        <v>75640.125881931104</v>
      </c>
      <c r="AD181" s="1487">
        <f t="shared" si="152"/>
        <v>0</v>
      </c>
      <c r="AE181" s="649">
        <f t="shared" si="153"/>
        <v>0.73102342398770503</v>
      </c>
      <c r="AF181" s="417">
        <f t="shared" si="154"/>
        <v>9.7727716621857613E-2</v>
      </c>
      <c r="AG181" s="417">
        <f t="shared" si="155"/>
        <v>2.5815759150646399E-2</v>
      </c>
      <c r="AH181" s="417">
        <f t="shared" si="167"/>
        <v>0</v>
      </c>
      <c r="AI181" s="417">
        <f t="shared" si="156"/>
        <v>0.14543310023979086</v>
      </c>
      <c r="AJ181" s="525">
        <f t="shared" si="157"/>
        <v>0.99999999999999989</v>
      </c>
      <c r="AK181" s="1497">
        <f t="shared" si="158"/>
        <v>46013.947165001504</v>
      </c>
      <c r="AL181" s="1498">
        <f t="shared" si="159"/>
        <v>8757.8379547825407</v>
      </c>
      <c r="AM181" s="1498">
        <f t="shared" si="160"/>
        <v>522.91869328625455</v>
      </c>
      <c r="AN181" s="1498">
        <f t="shared" si="161"/>
        <v>55294.7038130703</v>
      </c>
      <c r="AO181" s="1184">
        <f t="shared" si="162"/>
        <v>0</v>
      </c>
    </row>
    <row r="182" spans="1:41">
      <c r="A182" s="127">
        <f>'Input data'!A122</f>
        <v>2022</v>
      </c>
      <c r="B182" s="1551">
        <f>'Input data'!B122</f>
        <v>60.841582286809363</v>
      </c>
      <c r="C182" s="1550">
        <f>'Input data'!C122</f>
        <v>3105.6495314991057</v>
      </c>
      <c r="D182" s="1509">
        <f>'Input data'!E122</f>
        <v>50359792.847133152</v>
      </c>
      <c r="E182" s="1508">
        <f>'Input data'!J122*C182</f>
        <v>37364.211214356852</v>
      </c>
      <c r="F182" s="1509">
        <f>'Input data'!L122</f>
        <v>87724.004061490006</v>
      </c>
      <c r="G182" s="1509">
        <f t="shared" si="163"/>
        <v>52423.665347216396</v>
      </c>
      <c r="H182" s="1509">
        <f t="shared" si="135"/>
        <v>16276.446552302259</v>
      </c>
      <c r="I182" s="1511">
        <f t="shared" si="138"/>
        <v>50359.792847133154</v>
      </c>
      <c r="J182" s="1504">
        <f t="shared" si="139"/>
        <v>9.6842309318564565E-2</v>
      </c>
      <c r="K182" s="1512">
        <f t="shared" si="164"/>
        <v>1777.4272702588346</v>
      </c>
      <c r="L182" s="1512">
        <f t="shared" si="140"/>
        <v>0</v>
      </c>
      <c r="M182" s="1511">
        <f t="shared" si="165"/>
        <v>1777.4272702588346</v>
      </c>
      <c r="N182" s="1454">
        <f>$C$26</f>
        <v>0.25</v>
      </c>
      <c r="O182" s="530">
        <f t="shared" si="141"/>
        <v>375.95850000000013</v>
      </c>
      <c r="P182" s="1481">
        <f t="shared" si="168"/>
        <v>2153.3857702588348</v>
      </c>
      <c r="Q182" s="1364">
        <f t="shared" si="142"/>
        <v>66546.726129259827</v>
      </c>
      <c r="R182" s="1364">
        <f t="shared" si="166"/>
        <v>14123.060782043431</v>
      </c>
      <c r="S182" s="576">
        <f t="shared" si="143"/>
        <v>0.67048676649392958</v>
      </c>
      <c r="T182" s="135" t="str">
        <f t="shared" si="144"/>
        <v>Yes</v>
      </c>
      <c r="U182" s="1091">
        <f t="shared" si="145"/>
        <v>0.67048676649392958</v>
      </c>
      <c r="V182" s="1494">
        <f t="shared" si="136"/>
        <v>73600.943279446583</v>
      </c>
      <c r="W182" s="1491">
        <f>(1-V182/F182)</f>
        <v>0.16099425616897156</v>
      </c>
      <c r="X182" s="527">
        <f t="shared" si="146"/>
        <v>52423.665347216396</v>
      </c>
      <c r="Y182" s="1509">
        <f t="shared" si="147"/>
        <v>7869.0152177991104</v>
      </c>
      <c r="Z182" s="1531">
        <f t="shared" si="148"/>
        <v>2064.4284088169666</v>
      </c>
      <c r="AA182" s="1531">
        <f t="shared" si="149"/>
        <v>0</v>
      </c>
      <c r="AB182" s="1531">
        <f t="shared" si="150"/>
        <v>11243.834305614109</v>
      </c>
      <c r="AC182" s="1531">
        <f t="shared" si="151"/>
        <v>73600.943279446583</v>
      </c>
      <c r="AD182" s="1487">
        <f t="shared" si="152"/>
        <v>0</v>
      </c>
      <c r="AE182" s="649">
        <f t="shared" si="153"/>
        <v>0.71226893313276263</v>
      </c>
      <c r="AF182" s="417">
        <f t="shared" si="154"/>
        <v>0.10691459738392471</v>
      </c>
      <c r="AG182" s="417">
        <f t="shared" si="155"/>
        <v>2.8048939549304229E-2</v>
      </c>
      <c r="AH182" s="417">
        <f t="shared" si="167"/>
        <v>0</v>
      </c>
      <c r="AI182" s="417">
        <f t="shared" si="156"/>
        <v>0.15276752993400838</v>
      </c>
      <c r="AJ182" s="525">
        <f t="shared" si="157"/>
        <v>1</v>
      </c>
      <c r="AK182" s="1497">
        <f t="shared" si="158"/>
        <v>45482.834211012247</v>
      </c>
      <c r="AL182" s="1498">
        <f t="shared" si="159"/>
        <v>6571.0667149418578</v>
      </c>
      <c r="AM182" s="1498">
        <f t="shared" si="160"/>
        <v>369.76442126228255</v>
      </c>
      <c r="AN182" s="1498">
        <f t="shared" si="161"/>
        <v>52423.665347216389</v>
      </c>
      <c r="AO182" s="1184">
        <f t="shared" si="162"/>
        <v>0</v>
      </c>
    </row>
    <row r="183" spans="1:41">
      <c r="A183" s="127">
        <f>'Input data'!A123</f>
        <v>2023</v>
      </c>
      <c r="B183" s="1551">
        <f>'Input data'!B123</f>
        <v>61.537824355929828</v>
      </c>
      <c r="C183" s="1550">
        <f>'Input data'!C123</f>
        <v>3166.2503551240475</v>
      </c>
      <c r="D183" s="1509">
        <f>'Input data'!E123</f>
        <v>49907933.066043317</v>
      </c>
      <c r="E183" s="1508">
        <f>'Input data'!J123*C183</f>
        <v>38093.302488410991</v>
      </c>
      <c r="F183" s="1509">
        <f>'Input data'!L123</f>
        <v>88001.23555445431</v>
      </c>
      <c r="G183" s="1509">
        <f t="shared" si="163"/>
        <v>49701.698334937471</v>
      </c>
      <c r="H183" s="1509">
        <f t="shared" si="135"/>
        <v>18992.722495171729</v>
      </c>
      <c r="I183" s="1511">
        <f t="shared" si="138"/>
        <v>49907.933066043319</v>
      </c>
      <c r="J183" s="1504">
        <f t="shared" si="139"/>
        <v>0.10603170487993842</v>
      </c>
      <c r="K183" s="1512">
        <f t="shared" si="164"/>
        <v>2220.1028118525419</v>
      </c>
      <c r="L183" s="1512">
        <f t="shared" si="140"/>
        <v>0</v>
      </c>
      <c r="M183" s="1511">
        <f t="shared" si="165"/>
        <v>2220.1028118525419</v>
      </c>
      <c r="N183" s="1454">
        <f>($N$147-$N$142)/($A$107-$A$102)+N182</f>
        <v>0.3</v>
      </c>
      <c r="O183" s="530">
        <f t="shared" si="141"/>
        <v>451.15020000000015</v>
      </c>
      <c r="P183" s="1481">
        <f t="shared" si="168"/>
        <v>2671.2530118525419</v>
      </c>
      <c r="Q183" s="1364">
        <f t="shared" si="142"/>
        <v>66023.167818256654</v>
      </c>
      <c r="R183" s="1364">
        <f t="shared" si="166"/>
        <v>16321.469483319182</v>
      </c>
      <c r="S183" s="576">
        <f t="shared" si="143"/>
        <v>0.76243402978868891</v>
      </c>
      <c r="T183" s="135" t="str">
        <f t="shared" si="144"/>
        <v>Yes</v>
      </c>
      <c r="U183" s="1091">
        <f t="shared" si="145"/>
        <v>0.76243402978868891</v>
      </c>
      <c r="V183" s="1494">
        <f t="shared" si="136"/>
        <v>71679.76607113512</v>
      </c>
      <c r="W183" s="1491">
        <f t="shared" si="137"/>
        <v>0.18546864007630459</v>
      </c>
      <c r="X183" s="527">
        <f t="shared" si="146"/>
        <v>49701.698334937471</v>
      </c>
      <c r="Y183" s="1509">
        <f t="shared" si="147"/>
        <v>8342.2640857004826</v>
      </c>
      <c r="Z183" s="1531">
        <f t="shared" si="148"/>
        <v>2172.5673767241883</v>
      </c>
      <c r="AA183" s="1531">
        <f t="shared" si="149"/>
        <v>0</v>
      </c>
      <c r="AB183" s="1531">
        <f t="shared" si="150"/>
        <v>11463.236273772985</v>
      </c>
      <c r="AC183" s="1531">
        <f t="shared" si="151"/>
        <v>71679.76607113512</v>
      </c>
      <c r="AD183" s="1487">
        <f t="shared" si="152"/>
        <v>0</v>
      </c>
      <c r="AE183" s="649">
        <f t="shared" si="153"/>
        <v>0.69338533116323819</v>
      </c>
      <c r="AF183" s="417">
        <f t="shared" si="154"/>
        <v>0.11638241226152449</v>
      </c>
      <c r="AG183" s="417">
        <f t="shared" si="155"/>
        <v>3.0309353612679606E-2</v>
      </c>
      <c r="AH183" s="417">
        <f t="shared" si="167"/>
        <v>0</v>
      </c>
      <c r="AI183" s="417">
        <f t="shared" si="156"/>
        <v>0.15992290296255782</v>
      </c>
      <c r="AJ183" s="525">
        <f t="shared" si="157"/>
        <v>1</v>
      </c>
      <c r="AK183" s="1497">
        <f t="shared" si="158"/>
        <v>44616.109836016891</v>
      </c>
      <c r="AL183" s="1498">
        <f t="shared" si="159"/>
        <v>4829.921290596475</v>
      </c>
      <c r="AM183" s="1498">
        <f t="shared" si="160"/>
        <v>255.66720832410556</v>
      </c>
      <c r="AN183" s="1498">
        <f t="shared" si="161"/>
        <v>49701.698334937471</v>
      </c>
      <c r="AO183" s="1184">
        <f t="shared" si="162"/>
        <v>0</v>
      </c>
    </row>
    <row r="184" spans="1:41">
      <c r="A184" s="127">
        <f>'Input data'!A124</f>
        <v>2024</v>
      </c>
      <c r="B184" s="1551">
        <f>'Input data'!B124</f>
        <v>62.221509701386374</v>
      </c>
      <c r="C184" s="1550">
        <f>'Input data'!C124</f>
        <v>3234.5964359714103</v>
      </c>
      <c r="D184" s="1509">
        <f>'Input data'!E124</f>
        <v>50177221.869345397</v>
      </c>
      <c r="E184" s="1508">
        <f>'Input data'!J124*C184</f>
        <v>38915.577305499479</v>
      </c>
      <c r="F184" s="1509">
        <f>'Input data'!L124</f>
        <v>89092.799174844869</v>
      </c>
      <c r="G184" s="1509">
        <f t="shared" si="163"/>
        <v>47121.062615822855</v>
      </c>
      <c r="H184" s="1509">
        <f t="shared" si="135"/>
        <v>22297.900045144037</v>
      </c>
      <c r="I184" s="1511">
        <f t="shared" si="138"/>
        <v>50177.221869345398</v>
      </c>
      <c r="J184" s="1504">
        <f t="shared" si="139"/>
        <v>0.11609308492183117</v>
      </c>
      <c r="K184" s="1512">
        <f t="shared" si="164"/>
        <v>2736.9339445733544</v>
      </c>
      <c r="L184" s="1512">
        <f t="shared" si="140"/>
        <v>0</v>
      </c>
      <c r="M184" s="1511">
        <f t="shared" si="165"/>
        <v>2736.9339445733544</v>
      </c>
      <c r="N184" s="1454">
        <f>($N$147-$N$142)/($A$107-$A$102)+N183</f>
        <v>0.35</v>
      </c>
      <c r="O184" s="530">
        <f t="shared" si="141"/>
        <v>526.34190000000012</v>
      </c>
      <c r="P184" s="1481">
        <f t="shared" si="168"/>
        <v>3263.2758445733543</v>
      </c>
      <c r="Q184" s="1364">
        <f t="shared" si="142"/>
        <v>66155.686816393543</v>
      </c>
      <c r="R184" s="1364">
        <f t="shared" si="166"/>
        <v>19034.624200570688</v>
      </c>
      <c r="S184" s="576">
        <f t="shared" si="143"/>
        <v>0.8729999926200509</v>
      </c>
      <c r="T184" s="135" t="str">
        <f t="shared" si="144"/>
        <v>Yes</v>
      </c>
      <c r="U184" s="1091">
        <f t="shared" si="145"/>
        <v>0.8729999926200509</v>
      </c>
      <c r="V184" s="1494">
        <f t="shared" si="136"/>
        <v>70058.17497427421</v>
      </c>
      <c r="W184" s="1491">
        <f t="shared" si="137"/>
        <v>0.21364941248748015</v>
      </c>
      <c r="X184" s="527">
        <f t="shared" si="146"/>
        <v>47121.062615822855</v>
      </c>
      <c r="Y184" s="1509">
        <f t="shared" si="147"/>
        <v>8941.5155742065763</v>
      </c>
      <c r="Z184" s="1531">
        <f t="shared" si="148"/>
        <v>2284.9172620654172</v>
      </c>
      <c r="AA184" s="1531">
        <f t="shared" si="149"/>
        <v>0</v>
      </c>
      <c r="AB184" s="1531">
        <f t="shared" si="150"/>
        <v>11710.679522179353</v>
      </c>
      <c r="AC184" s="1531">
        <f t="shared" si="151"/>
        <v>70058.17497427421</v>
      </c>
      <c r="AD184" s="1487">
        <f t="shared" si="152"/>
        <v>0</v>
      </c>
      <c r="AE184" s="649">
        <f t="shared" si="153"/>
        <v>0.67259905975463963</v>
      </c>
      <c r="AF184" s="417">
        <f t="shared" si="154"/>
        <v>0.12762986728515202</v>
      </c>
      <c r="AG184" s="417">
        <f t="shared" si="155"/>
        <v>3.2614570146945063E-2</v>
      </c>
      <c r="AH184" s="417">
        <f t="shared" si="167"/>
        <v>0</v>
      </c>
      <c r="AI184" s="417">
        <f t="shared" si="156"/>
        <v>0.16715650281326319</v>
      </c>
      <c r="AJ184" s="525">
        <f t="shared" si="157"/>
        <v>0.99999999999999989</v>
      </c>
      <c r="AK184" s="1497">
        <f t="shared" si="158"/>
        <v>44351.993389725918</v>
      </c>
      <c r="AL184" s="1498">
        <f t="shared" si="159"/>
        <v>2637.7547935012863</v>
      </c>
      <c r="AM184" s="1498">
        <f t="shared" si="160"/>
        <v>131.31443259564816</v>
      </c>
      <c r="AN184" s="1498">
        <f t="shared" si="161"/>
        <v>47121.062615822848</v>
      </c>
      <c r="AO184" s="1184">
        <f t="shared" si="162"/>
        <v>0</v>
      </c>
    </row>
    <row r="185" spans="1:41">
      <c r="A185" s="127">
        <f>'Input data'!A125</f>
        <v>2025</v>
      </c>
      <c r="B185" s="1551">
        <f>'Input data'!B125</f>
        <v>62.892038582526091</v>
      </c>
      <c r="C185" s="1550">
        <f>'Input data'!C125</f>
        <v>3296.2240257379749</v>
      </c>
      <c r="D185" s="1509">
        <f>'Input data'!E125</f>
        <v>50605741.387768611</v>
      </c>
      <c r="E185" s="1508">
        <f>'Input data'!J125*C185</f>
        <v>39657.021649851544</v>
      </c>
      <c r="F185" s="1509">
        <f>'Input data'!L125</f>
        <v>90262.763037620156</v>
      </c>
      <c r="G185" s="1509">
        <f t="shared" si="163"/>
        <v>44674.419917829786</v>
      </c>
      <c r="H185" s="1509">
        <f t="shared" si="135"/>
        <v>25572.133897937267</v>
      </c>
      <c r="I185" s="1511">
        <f t="shared" si="138"/>
        <v>50605.741387768612</v>
      </c>
      <c r="J185" s="1504">
        <f t="shared" si="139"/>
        <v>0.12710919231119061</v>
      </c>
      <c r="K185" s="1512">
        <f t="shared" si="164"/>
        <v>3317.7859717592955</v>
      </c>
      <c r="L185" s="1512">
        <f t="shared" si="140"/>
        <v>0</v>
      </c>
      <c r="M185" s="1511">
        <f t="shared" si="165"/>
        <v>3317.7859717592955</v>
      </c>
      <c r="N185" s="1454">
        <f>($N$147-$N$142)/($A$107-$A$102)+N184</f>
        <v>0.39999999999999997</v>
      </c>
      <c r="O185" s="530">
        <f t="shared" si="141"/>
        <v>601.53360000000009</v>
      </c>
      <c r="P185" s="1481">
        <f t="shared" si="168"/>
        <v>3919.3195717592957</v>
      </c>
      <c r="Q185" s="1364">
        <f t="shared" si="142"/>
        <v>66327.234244007763</v>
      </c>
      <c r="R185" s="1364">
        <f t="shared" si="166"/>
        <v>21652.814326177977</v>
      </c>
      <c r="S185" s="576">
        <f t="shared" si="143"/>
        <v>0.97737949690211912</v>
      </c>
      <c r="T185" s="135" t="str">
        <f t="shared" si="144"/>
        <v>Yes</v>
      </c>
      <c r="U185" s="1091">
        <f t="shared" si="145"/>
        <v>0.97737949690211912</v>
      </c>
      <c r="V185" s="1494">
        <f t="shared" si="136"/>
        <v>68609.948711442194</v>
      </c>
      <c r="W185" s="1491">
        <f t="shared" si="137"/>
        <v>0.2398864559148649</v>
      </c>
      <c r="X185" s="527">
        <f t="shared" si="146"/>
        <v>44674.419917829786</v>
      </c>
      <c r="Y185" s="1509">
        <f t="shared" si="147"/>
        <v>9608.1154935988525</v>
      </c>
      <c r="Z185" s="1531">
        <f t="shared" si="148"/>
        <v>2393.6144590052254</v>
      </c>
      <c r="AA185" s="1531">
        <f t="shared" si="149"/>
        <v>0</v>
      </c>
      <c r="AB185" s="1531">
        <f t="shared" si="150"/>
        <v>11933.798841008331</v>
      </c>
      <c r="AC185" s="1531">
        <f t="shared" si="151"/>
        <v>68609.948711442194</v>
      </c>
      <c r="AD185" s="1487">
        <f t="shared" si="152"/>
        <v>0</v>
      </c>
      <c r="AE185" s="649">
        <f t="shared" si="153"/>
        <v>0.65113618005633866</v>
      </c>
      <c r="AF185" s="417">
        <f t="shared" si="154"/>
        <v>0.1400396833702412</v>
      </c>
      <c r="AG185" s="417">
        <f t="shared" si="155"/>
        <v>3.4887279526650314E-2</v>
      </c>
      <c r="AH185" s="417">
        <f t="shared" si="167"/>
        <v>0</v>
      </c>
      <c r="AI185" s="417">
        <f t="shared" si="156"/>
        <v>0.17393685704676984</v>
      </c>
      <c r="AJ185" s="525">
        <f t="shared" si="157"/>
        <v>1</v>
      </c>
      <c r="AK185" s="1497">
        <f t="shared" si="158"/>
        <v>44173.286473660351</v>
      </c>
      <c r="AL185" s="1498">
        <f t="shared" si="159"/>
        <v>478.77289044941557</v>
      </c>
      <c r="AM185" s="1498">
        <f t="shared" si="160"/>
        <v>22.360553720018977</v>
      </c>
      <c r="AN185" s="1498">
        <f t="shared" si="161"/>
        <v>44674.419917829786</v>
      </c>
      <c r="AO185" s="1184">
        <f t="shared" si="162"/>
        <v>0</v>
      </c>
    </row>
    <row r="186" spans="1:41">
      <c r="A186" s="127">
        <f>'Input data'!A126</f>
        <v>2026</v>
      </c>
      <c r="B186" s="1551">
        <f>'Input data'!B126</f>
        <v>63.548817559440096</v>
      </c>
      <c r="C186" s="1550">
        <f>'Input data'!C126</f>
        <v>3366.4633271478065</v>
      </c>
      <c r="D186" s="1509">
        <f>'Input data'!E126</f>
        <v>48876629.54391963</v>
      </c>
      <c r="E186" s="1508">
        <f>'Input data'!J126*C186</f>
        <v>40502.073889908716</v>
      </c>
      <c r="F186" s="1509">
        <f>'Input data'!L126</f>
        <v>89378.703433828341</v>
      </c>
      <c r="G186" s="1509">
        <f t="shared" si="163"/>
        <v>42354.812990240433</v>
      </c>
      <c r="H186" s="1509">
        <f t="shared" si="135"/>
        <v>26753.948897341252</v>
      </c>
      <c r="I186" s="1511">
        <f t="shared" si="138"/>
        <v>48876.629543919633</v>
      </c>
      <c r="J186" s="1504">
        <f t="shared" si="139"/>
        <v>0.13917062141024203</v>
      </c>
      <c r="K186" s="1512">
        <f t="shared" si="164"/>
        <v>3793.9448874835493</v>
      </c>
      <c r="L186" s="1512">
        <f t="shared" si="140"/>
        <v>0</v>
      </c>
      <c r="M186" s="1511">
        <f t="shared" si="165"/>
        <v>3793.9448874835493</v>
      </c>
      <c r="N186" s="1454">
        <f>($N$147-$N$142)/($A$107-$A$102)+N185</f>
        <v>0.44999999999999996</v>
      </c>
      <c r="O186" s="530">
        <f t="shared" si="141"/>
        <v>676.72530000000006</v>
      </c>
      <c r="P186" s="1481">
        <f t="shared" si="168"/>
        <v>4470.6701874835489</v>
      </c>
      <c r="Q186" s="1364">
        <f t="shared" si="142"/>
        <v>64638.091700098135</v>
      </c>
      <c r="R186" s="1364">
        <f t="shared" si="166"/>
        <v>22283.278709857703</v>
      </c>
      <c r="S186" s="576">
        <f t="shared" si="143"/>
        <v>0.98757407093555039</v>
      </c>
      <c r="T186" s="135" t="str">
        <f t="shared" si="144"/>
        <v>Yes</v>
      </c>
      <c r="U186" s="1091">
        <f t="shared" si="145"/>
        <v>0.98757407093555039</v>
      </c>
      <c r="V186" s="1494">
        <f t="shared" si="136"/>
        <v>67095.424723970646</v>
      </c>
      <c r="W186" s="1491">
        <f t="shared" si="137"/>
        <v>0.24931306736123282</v>
      </c>
      <c r="X186" s="527">
        <f t="shared" si="146"/>
        <v>42354.812990240433</v>
      </c>
      <c r="Y186" s="1509">
        <f t="shared" si="147"/>
        <v>10045.521698161923</v>
      </c>
      <c r="Z186" s="1531">
        <f t="shared" si="148"/>
        <v>2506.9936446322913</v>
      </c>
      <c r="AA186" s="1531">
        <f t="shared" si="149"/>
        <v>0</v>
      </c>
      <c r="AB186" s="1531">
        <f t="shared" si="150"/>
        <v>12188.096390936</v>
      </c>
      <c r="AC186" s="1531">
        <f t="shared" si="151"/>
        <v>67095.424723970646</v>
      </c>
      <c r="AD186" s="1487">
        <f t="shared" si="152"/>
        <v>0</v>
      </c>
      <c r="AE186" s="1454">
        <f t="shared" si="153"/>
        <v>0.63126231281026035</v>
      </c>
      <c r="AF186" s="1504">
        <f t="shared" si="154"/>
        <v>0.14971992113454854</v>
      </c>
      <c r="AG186" s="1504">
        <f t="shared" si="155"/>
        <v>3.736459907580908E-2</v>
      </c>
      <c r="AH186" s="1504">
        <f t="shared" si="167"/>
        <v>0</v>
      </c>
      <c r="AI186" s="1504">
        <f t="shared" si="156"/>
        <v>0.18165316697938208</v>
      </c>
      <c r="AJ186" s="1541">
        <f t="shared" si="157"/>
        <v>1.0000000000000002</v>
      </c>
      <c r="AK186" s="1555">
        <f t="shared" si="158"/>
        <v>42074.438637854139</v>
      </c>
      <c r="AL186" s="1556">
        <f t="shared" si="159"/>
        <v>268.60452762382101</v>
      </c>
      <c r="AM186" s="1556">
        <f t="shared" si="160"/>
        <v>11.769824762474174</v>
      </c>
      <c r="AN186" s="1498">
        <f t="shared" si="161"/>
        <v>42354.812990240433</v>
      </c>
      <c r="AO186" s="1184">
        <f t="shared" si="162"/>
        <v>0</v>
      </c>
    </row>
    <row r="187" spans="1:41">
      <c r="A187" s="127">
        <f>'Input data'!A127</f>
        <v>2027</v>
      </c>
      <c r="B187" s="1551">
        <f>'Input data'!B127</f>
        <v>64.191260356766122</v>
      </c>
      <c r="C187" s="1550">
        <f>'Input data'!C127</f>
        <v>3436.4344789089987</v>
      </c>
      <c r="D187" s="1509">
        <f>'Input data'!E127</f>
        <v>48564316.261510797</v>
      </c>
      <c r="E187" s="1508">
        <f>'Input data'!J127*C187</f>
        <v>41343.900009308287</v>
      </c>
      <c r="F187" s="1509">
        <f>'Input data'!L127</f>
        <v>89908.216270819074</v>
      </c>
      <c r="G187" s="1509">
        <f t="shared" si="163"/>
        <v>40155.6458200876</v>
      </c>
      <c r="H187" s="1509">
        <f t="shared" si="135"/>
        <v>29143.070782244882</v>
      </c>
      <c r="I187" s="1511">
        <f t="shared" si="138"/>
        <v>48564.316261510794</v>
      </c>
      <c r="J187" s="1504">
        <f t="shared" si="139"/>
        <v>0.15237656310721223</v>
      </c>
      <c r="K187" s="1512">
        <f t="shared" si="164"/>
        <v>4411.0397592642703</v>
      </c>
      <c r="L187" s="1512">
        <f t="shared" si="140"/>
        <v>0</v>
      </c>
      <c r="M187" s="1511">
        <f t="shared" si="165"/>
        <v>4411.0397592642703</v>
      </c>
      <c r="N187" s="1454">
        <f>$C$27</f>
        <v>0.5</v>
      </c>
      <c r="O187" s="530">
        <f t="shared" si="141"/>
        <v>751.91700000000026</v>
      </c>
      <c r="P187" s="1481">
        <f t="shared" si="168"/>
        <v>5162.9567592642707</v>
      </c>
      <c r="Q187" s="1364">
        <f t="shared" si="142"/>
        <v>64135.759843068212</v>
      </c>
      <c r="R187" s="1364">
        <f t="shared" si="166"/>
        <v>23980.114022980611</v>
      </c>
      <c r="S187" s="576">
        <f t="shared" si="143"/>
        <v>1.0439068639163054</v>
      </c>
      <c r="T187" s="135" t="str">
        <f t="shared" si="144"/>
        <v>No</v>
      </c>
      <c r="U187" s="1091">
        <f t="shared" si="145"/>
        <v>1</v>
      </c>
      <c r="V187" s="1494">
        <f t="shared" si="136"/>
        <v>66936.709087680953</v>
      </c>
      <c r="W187" s="1491">
        <f t="shared" si="137"/>
        <v>0.25549953203324571</v>
      </c>
      <c r="X187" s="527">
        <f t="shared" si="146"/>
        <v>41164.252659930076</v>
      </c>
      <c r="Y187" s="1509">
        <f t="shared" si="147"/>
        <v>10710.806264537416</v>
      </c>
      <c r="Z187" s="1531">
        <f t="shared" si="148"/>
        <v>2620.2270434897314</v>
      </c>
      <c r="AA187" s="1531">
        <f t="shared" si="149"/>
        <v>0</v>
      </c>
      <c r="AB187" s="1531">
        <f>E187*$E$12</f>
        <v>12441.423119723731</v>
      </c>
      <c r="AC187" s="1531">
        <f t="shared" si="151"/>
        <v>66936.709087680953</v>
      </c>
      <c r="AD187" s="1487">
        <f t="shared" si="152"/>
        <v>1008.6068398424759</v>
      </c>
      <c r="AE187" s="1454">
        <f t="shared" si="153"/>
        <v>0.61497275890884739</v>
      </c>
      <c r="AF187" s="1504">
        <f t="shared" si="154"/>
        <v>0.16001393570913744</v>
      </c>
      <c r="AG187" s="1504">
        <f t="shared" si="155"/>
        <v>3.9144844125179115E-2</v>
      </c>
      <c r="AH187" s="1504">
        <f t="shared" si="167"/>
        <v>0</v>
      </c>
      <c r="AI187" s="1504">
        <f t="shared" si="156"/>
        <v>0.18586846125683604</v>
      </c>
      <c r="AJ187" s="1541">
        <f t="shared" si="157"/>
        <v>1</v>
      </c>
      <c r="AK187" s="1555">
        <f t="shared" si="158"/>
        <v>41164.252659930084</v>
      </c>
      <c r="AL187" s="1556">
        <f t="shared" si="159"/>
        <v>0</v>
      </c>
      <c r="AM187" s="1556">
        <f t="shared" si="160"/>
        <v>0</v>
      </c>
      <c r="AN187" s="1498">
        <f t="shared" si="161"/>
        <v>41164.252659930084</v>
      </c>
      <c r="AO187" s="1184">
        <f t="shared" si="162"/>
        <v>0</v>
      </c>
    </row>
    <row r="188" spans="1:41">
      <c r="A188" s="127">
        <f>'Input data'!A128</f>
        <v>2028</v>
      </c>
      <c r="B188" s="1551">
        <f>'Input data'!B128</f>
        <v>64.818788725428234</v>
      </c>
      <c r="C188" s="1550">
        <f>'Input data'!C128</f>
        <v>3485.2345926420976</v>
      </c>
      <c r="D188" s="1509">
        <f>'Input data'!E128</f>
        <v>48196370.991930716</v>
      </c>
      <c r="E188" s="1508">
        <f>'Input data'!J128*C188</f>
        <v>41931.01640422488</v>
      </c>
      <c r="F188" s="1509">
        <f>'Input data'!L128</f>
        <v>90127.387396155595</v>
      </c>
      <c r="G188" s="1509">
        <f t="shared" si="163"/>
        <v>38070.664875792791</v>
      </c>
      <c r="H188" s="1509">
        <f t="shared" si="135"/>
        <v>31219.644223747964</v>
      </c>
      <c r="I188" s="1511">
        <f t="shared" si="138"/>
        <v>48196.370991930715</v>
      </c>
      <c r="J188" s="1504">
        <f t="shared" si="139"/>
        <v>0.16683562054324133</v>
      </c>
      <c r="K188" s="1512">
        <f t="shared" si="164"/>
        <v>5074.4938193240359</v>
      </c>
      <c r="L188" s="1512">
        <f t="shared" si="140"/>
        <v>0</v>
      </c>
      <c r="M188" s="1511">
        <f t="shared" si="165"/>
        <v>5074.4938193240359</v>
      </c>
      <c r="N188" s="1454">
        <f>N187</f>
        <v>0.5</v>
      </c>
      <c r="O188" s="530">
        <f t="shared" si="141"/>
        <v>751.91700000000026</v>
      </c>
      <c r="P188" s="1481">
        <f t="shared" si="168"/>
        <v>5826.4108193240363</v>
      </c>
      <c r="Q188" s="1364">
        <f t="shared" si="142"/>
        <v>63463.898280216716</v>
      </c>
      <c r="R188" s="1364">
        <f t="shared" si="166"/>
        <v>25393.233404423925</v>
      </c>
      <c r="S188" s="576">
        <f t="shared" si="143"/>
        <v>1.0894456404350008</v>
      </c>
      <c r="T188" s="135" t="str">
        <f t="shared" si="144"/>
        <v>No</v>
      </c>
      <c r="U188" s="1091">
        <f t="shared" si="145"/>
        <v>1</v>
      </c>
      <c r="V188" s="1494">
        <f t="shared" si="136"/>
        <v>66818.988645498568</v>
      </c>
      <c r="W188" s="1491">
        <f t="shared" si="137"/>
        <v>0.25861615901728952</v>
      </c>
      <c r="X188" s="527">
        <f t="shared" si="146"/>
        <v>40155.499529559682</v>
      </c>
      <c r="Y188" s="1509">
        <f t="shared" si="147"/>
        <v>11398.629314904294</v>
      </c>
      <c r="Z188" s="1531">
        <f t="shared" si="148"/>
        <v>2646.7585380287851</v>
      </c>
      <c r="AA188" s="1531">
        <f t="shared" si="149"/>
        <v>0</v>
      </c>
      <c r="AB188" s="1531">
        <f t="shared" si="150"/>
        <v>12618.101263005801</v>
      </c>
      <c r="AC188" s="1531">
        <f t="shared" si="151"/>
        <v>66818.988645498568</v>
      </c>
      <c r="AD188" s="1487">
        <f t="shared" si="152"/>
        <v>2084.8346537668913</v>
      </c>
      <c r="AE188" s="1454">
        <f t="shared" si="153"/>
        <v>0.60095940306131612</v>
      </c>
      <c r="AF188" s="1504">
        <f t="shared" si="154"/>
        <v>0.17058967137887371</v>
      </c>
      <c r="AG188" s="1504">
        <f t="shared" si="155"/>
        <v>3.9610873969836577E-2</v>
      </c>
      <c r="AH188" s="1504">
        <f t="shared" si="167"/>
        <v>0</v>
      </c>
      <c r="AI188" s="1504">
        <f t="shared" si="156"/>
        <v>0.18884005158997347</v>
      </c>
      <c r="AJ188" s="1541">
        <f t="shared" si="157"/>
        <v>0.99999999999999978</v>
      </c>
      <c r="AK188" s="1555">
        <f t="shared" si="158"/>
        <v>40155.499529559675</v>
      </c>
      <c r="AL188" s="1556">
        <f t="shared" si="159"/>
        <v>0</v>
      </c>
      <c r="AM188" s="1556">
        <f t="shared" si="160"/>
        <v>0</v>
      </c>
      <c r="AN188" s="1498">
        <f t="shared" si="161"/>
        <v>40155.499529559675</v>
      </c>
      <c r="AO188" s="1184">
        <f t="shared" si="162"/>
        <v>0</v>
      </c>
    </row>
    <row r="189" spans="1:41">
      <c r="A189" s="127">
        <f>'Input data'!A129</f>
        <v>2029</v>
      </c>
      <c r="B189" s="1551">
        <f>'Input data'!B129</f>
        <v>65.435442210930105</v>
      </c>
      <c r="C189" s="1550">
        <f>'Input data'!C129</f>
        <v>3537.8042151577115</v>
      </c>
      <c r="D189" s="1509">
        <f>'Input data'!E129</f>
        <v>46504880.945737489</v>
      </c>
      <c r="E189" s="1508">
        <f>'Input data'!J129*C189</f>
        <v>42563.483931294577</v>
      </c>
      <c r="F189" s="1509">
        <f>'Input data'!L129</f>
        <v>89068.364877032058</v>
      </c>
      <c r="G189" s="1509">
        <f t="shared" si="163"/>
        <v>36093.941324681233</v>
      </c>
      <c r="H189" s="1509">
        <f t="shared" si="135"/>
        <v>31971.899485902337</v>
      </c>
      <c r="I189" s="1511">
        <f t="shared" si="138"/>
        <v>46504.880945737488</v>
      </c>
      <c r="J189" s="1504">
        <f>$J$137*(1+((($J$150/$J$137)^(1/($A$150-$A$137)))-1))^(A189-$A$137)</f>
        <v>0.18266670224386344</v>
      </c>
      <c r="K189" s="1512">
        <f t="shared" si="164"/>
        <v>5632.6229847537743</v>
      </c>
      <c r="L189" s="1512">
        <f t="shared" si="140"/>
        <v>0</v>
      </c>
      <c r="M189" s="1511">
        <f t="shared" si="165"/>
        <v>5632.6229847537743</v>
      </c>
      <c r="N189" s="1454">
        <f t="shared" ref="N189:N210" si="169">N188</f>
        <v>0.5</v>
      </c>
      <c r="O189" s="530">
        <f t="shared" si="141"/>
        <v>751.91700000000026</v>
      </c>
      <c r="P189" s="1481">
        <f t="shared" si="168"/>
        <v>6384.5399847537747</v>
      </c>
      <c r="Q189" s="1364">
        <f t="shared" si="142"/>
        <v>61681.300825829792</v>
      </c>
      <c r="R189" s="1364">
        <f t="shared" si="166"/>
        <v>25587.35950114856</v>
      </c>
      <c r="S189" s="576">
        <f t="shared" si="143"/>
        <v>1.0809438145947166</v>
      </c>
      <c r="T189" s="135" t="str">
        <f t="shared" si="144"/>
        <v>No</v>
      </c>
      <c r="U189" s="1091">
        <f t="shared" si="145"/>
        <v>1</v>
      </c>
      <c r="V189" s="1494">
        <f t="shared" si="136"/>
        <v>65397.05175633842</v>
      </c>
      <c r="W189" s="1491">
        <f t="shared" si="137"/>
        <v>0.26576566386252065</v>
      </c>
      <c r="X189" s="527">
        <f t="shared" si="146"/>
        <v>38009.98770513614</v>
      </c>
      <c r="Y189" s="1509">
        <f t="shared" si="147"/>
        <v>11903.297917075572</v>
      </c>
      <c r="Z189" s="1531">
        <f t="shared" si="148"/>
        <v>2675.3394274160801</v>
      </c>
      <c r="AA189" s="1531">
        <f t="shared" si="149"/>
        <v>0</v>
      </c>
      <c r="AB189" s="1531">
        <f t="shared" si="150"/>
        <v>12808.426706710623</v>
      </c>
      <c r="AC189" s="1531">
        <f t="shared" si="151"/>
        <v>65397.05175633842</v>
      </c>
      <c r="AD189" s="1487">
        <f t="shared" si="152"/>
        <v>1916.0463804549072</v>
      </c>
      <c r="AE189" s="1454">
        <f t="shared" si="153"/>
        <v>0.58121867399706029</v>
      </c>
      <c r="AF189" s="1504">
        <f t="shared" si="154"/>
        <v>0.18201581871650474</v>
      </c>
      <c r="AG189" s="1504">
        <f t="shared" si="155"/>
        <v>4.0909174887333977E-2</v>
      </c>
      <c r="AH189" s="1504">
        <f t="shared" si="167"/>
        <v>0</v>
      </c>
      <c r="AI189" s="1504">
        <f t="shared" si="156"/>
        <v>0.19585633239910091</v>
      </c>
      <c r="AJ189" s="1541">
        <f t="shared" si="157"/>
        <v>1</v>
      </c>
      <c r="AK189" s="1555">
        <f t="shared" si="158"/>
        <v>38009.98770513614</v>
      </c>
      <c r="AL189" s="1556">
        <f t="shared" si="159"/>
        <v>0</v>
      </c>
      <c r="AM189" s="1556">
        <f t="shared" si="160"/>
        <v>0</v>
      </c>
      <c r="AN189" s="1498">
        <f t="shared" si="161"/>
        <v>38009.98770513614</v>
      </c>
      <c r="AO189" s="1184">
        <f t="shared" si="162"/>
        <v>0</v>
      </c>
    </row>
    <row r="190" spans="1:41">
      <c r="A190" s="127">
        <f>'Input data'!A130</f>
        <v>2030</v>
      </c>
      <c r="B190" s="1551">
        <f>'Input data'!B130</f>
        <v>66.040790860694059</v>
      </c>
      <c r="C190" s="1550">
        <f>'Input data'!C130</f>
        <v>3601.1809165553482</v>
      </c>
      <c r="D190" s="1509">
        <f>'Input data'!E130</f>
        <v>44627656.242225982</v>
      </c>
      <c r="E190" s="1508">
        <f>'Input data'!J130*C190</f>
        <v>43325.971917486459</v>
      </c>
      <c r="F190" s="1509">
        <f>'Input data'!L130</f>
        <v>87953.628159712447</v>
      </c>
      <c r="G190" s="1509">
        <f>G177*(1-$C$4)</f>
        <v>34219.854173807704</v>
      </c>
      <c r="H190" s="1509">
        <f t="shared" si="135"/>
        <v>32521.821903793185</v>
      </c>
      <c r="I190" s="1511">
        <f t="shared" si="138"/>
        <v>44627.656242225981</v>
      </c>
      <c r="J190" s="1504">
        <v>0.2</v>
      </c>
      <c r="K190" s="1512">
        <f t="shared" si="164"/>
        <v>6178.7999279337373</v>
      </c>
      <c r="L190" s="1512">
        <f t="shared" si="140"/>
        <v>0</v>
      </c>
      <c r="M190" s="1511">
        <f t="shared" si="165"/>
        <v>6178.7999279337373</v>
      </c>
      <c r="N190" s="1454">
        <f t="shared" si="169"/>
        <v>0.5</v>
      </c>
      <c r="O190" s="530">
        <f t="shared" si="141"/>
        <v>751.91700000000026</v>
      </c>
      <c r="P190" s="1481">
        <f t="shared" si="168"/>
        <v>6930.7169279337377</v>
      </c>
      <c r="Q190" s="1364">
        <f t="shared" si="142"/>
        <v>59810.959149667149</v>
      </c>
      <c r="R190" s="1364">
        <f t="shared" si="166"/>
        <v>25591.104975859445</v>
      </c>
      <c r="S190" s="576">
        <f t="shared" si="143"/>
        <v>1.0614824761076709</v>
      </c>
      <c r="T190" s="135" t="str">
        <f t="shared" si="144"/>
        <v>No</v>
      </c>
      <c r="U190" s="1091">
        <f t="shared" si="145"/>
        <v>1</v>
      </c>
      <c r="V190" s="1494">
        <f t="shared" si="136"/>
        <v>63844.794003826071</v>
      </c>
      <c r="W190" s="1491">
        <f t="shared" si="137"/>
        <v>0.27410846670370259</v>
      </c>
      <c r="X190" s="527">
        <f t="shared" si="146"/>
        <v>35702.124993780788</v>
      </c>
      <c r="Y190" s="1509">
        <f t="shared" si="147"/>
        <v>12394.994545545656</v>
      </c>
      <c r="Z190" s="1531">
        <f t="shared" si="148"/>
        <v>2709.795875944686</v>
      </c>
      <c r="AA190" s="1531">
        <f t="shared" si="149"/>
        <v>0</v>
      </c>
      <c r="AB190" s="1531">
        <f t="shared" si="150"/>
        <v>13037.878588554946</v>
      </c>
      <c r="AC190" s="1531">
        <f t="shared" si="151"/>
        <v>63844.794003826071</v>
      </c>
      <c r="AD190" s="1487">
        <f t="shared" si="152"/>
        <v>1482.2708199730841</v>
      </c>
      <c r="AE190" s="1454">
        <f t="shared" si="153"/>
        <v>0.55920181983265926</v>
      </c>
      <c r="AF190" s="1504">
        <f t="shared" si="154"/>
        <v>0.19414260377757431</v>
      </c>
      <c r="AG190" s="1504">
        <f t="shared" si="155"/>
        <v>4.2443490001429003E-2</v>
      </c>
      <c r="AH190" s="1504">
        <f t="shared" si="167"/>
        <v>0</v>
      </c>
      <c r="AI190" s="1504">
        <f t="shared" si="156"/>
        <v>0.20421208638833757</v>
      </c>
      <c r="AJ190" s="1541">
        <f t="shared" si="157"/>
        <v>1.0000000000000002</v>
      </c>
      <c r="AK190" s="1555">
        <f t="shared" si="158"/>
        <v>35702.124993780781</v>
      </c>
      <c r="AL190" s="1556">
        <f t="shared" si="159"/>
        <v>0</v>
      </c>
      <c r="AM190" s="1556">
        <f t="shared" si="160"/>
        <v>0</v>
      </c>
      <c r="AN190" s="1498">
        <f t="shared" si="161"/>
        <v>35702.124993780781</v>
      </c>
      <c r="AO190" s="1184">
        <f t="shared" si="162"/>
        <v>0</v>
      </c>
    </row>
    <row r="191" spans="1:41">
      <c r="A191" s="127">
        <f>'Input data'!A131</f>
        <v>2031</v>
      </c>
      <c r="B191" s="1551">
        <f>'Input data'!B131</f>
        <v>66.6344094187031</v>
      </c>
      <c r="C191" s="1550">
        <f>'Input data'!C131</f>
        <v>3689.3743282354972</v>
      </c>
      <c r="D191" s="1509">
        <f>'Input data'!E131</f>
        <v>43830165.240535274</v>
      </c>
      <c r="E191" s="1508">
        <f>'Input data'!J131*C191</f>
        <v>44387.030877394653</v>
      </c>
      <c r="F191" s="1509">
        <f>'Input data'!L131</f>
        <v>88217.196117929925</v>
      </c>
      <c r="G191" s="1509">
        <f>$G$150*(1+((($G$160/$G$150)^(1/($A$160-$A$150)))-1))^(A191-$A$150)</f>
        <v>33020.827958397946</v>
      </c>
      <c r="H191" s="1509">
        <f t="shared" si="135"/>
        <v>33581.284070874986</v>
      </c>
      <c r="I191" s="1511">
        <f t="shared" si="138"/>
        <v>43830.165240535272</v>
      </c>
      <c r="J191" s="1504">
        <f t="shared" ref="J191:J210" si="170">J190</f>
        <v>0.2</v>
      </c>
      <c r="K191" s="1512">
        <f t="shared" si="164"/>
        <v>6068.3854952996517</v>
      </c>
      <c r="L191" s="1512">
        <f t="shared" si="140"/>
        <v>0</v>
      </c>
      <c r="M191" s="1511">
        <f t="shared" si="165"/>
        <v>6068.3854952996517</v>
      </c>
      <c r="N191" s="1454">
        <f t="shared" si="169"/>
        <v>0.5</v>
      </c>
      <c r="O191" s="530">
        <f t="shared" si="141"/>
        <v>751.91700000000026</v>
      </c>
      <c r="P191" s="1481">
        <f t="shared" si="168"/>
        <v>6820.302495299652</v>
      </c>
      <c r="Q191" s="1364">
        <f t="shared" si="142"/>
        <v>59781.809533973283</v>
      </c>
      <c r="R191" s="1364">
        <f t="shared" si="166"/>
        <v>26760.981575575337</v>
      </c>
      <c r="S191" s="576">
        <f t="shared" si="143"/>
        <v>1.0826657054300131</v>
      </c>
      <c r="T191" s="135" t="str">
        <f t="shared" si="144"/>
        <v>No</v>
      </c>
      <c r="U191" s="1091">
        <f t="shared" si="145"/>
        <v>1</v>
      </c>
      <c r="V191" s="1494">
        <f t="shared" si="136"/>
        <v>63499.518776384873</v>
      </c>
      <c r="W191" s="1491">
        <f t="shared" si="137"/>
        <v>0.28019114672951217</v>
      </c>
      <c r="X191" s="527">
        <f t="shared" si="146"/>
        <v>35064.132192428217</v>
      </c>
      <c r="Y191" s="1509">
        <f t="shared" si="147"/>
        <v>12320.463974427052</v>
      </c>
      <c r="Z191" s="1531">
        <f t="shared" si="148"/>
        <v>2757.7445965802553</v>
      </c>
      <c r="AA191" s="1531">
        <f t="shared" si="149"/>
        <v>0</v>
      </c>
      <c r="AB191" s="1531">
        <f t="shared" si="150"/>
        <v>13357.178012949347</v>
      </c>
      <c r="AC191" s="1531">
        <f t="shared" si="151"/>
        <v>63499.518776384873</v>
      </c>
      <c r="AD191" s="1487">
        <f t="shared" si="152"/>
        <v>2043.3042340302709</v>
      </c>
      <c r="AE191" s="1454">
        <f t="shared" si="153"/>
        <v>0.55219524286329513</v>
      </c>
      <c r="AF191" s="1504">
        <f t="shared" si="154"/>
        <v>0.19402452509622742</v>
      </c>
      <c r="AG191" s="1504">
        <f t="shared" si="155"/>
        <v>4.3429377886968268E-2</v>
      </c>
      <c r="AH191" s="1504">
        <f t="shared" si="167"/>
        <v>0</v>
      </c>
      <c r="AI191" s="1504">
        <f t="shared" si="156"/>
        <v>0.2103508541535091</v>
      </c>
      <c r="AJ191" s="1541">
        <f t="shared" si="157"/>
        <v>1</v>
      </c>
      <c r="AK191" s="1555">
        <f t="shared" si="158"/>
        <v>35064.132192428224</v>
      </c>
      <c r="AL191" s="1556">
        <f t="shared" si="159"/>
        <v>0</v>
      </c>
      <c r="AM191" s="1556">
        <f t="shared" si="160"/>
        <v>0</v>
      </c>
      <c r="AN191" s="1498">
        <f t="shared" si="161"/>
        <v>35064.132192428224</v>
      </c>
      <c r="AO191" s="1184">
        <f t="shared" si="162"/>
        <v>0</v>
      </c>
    </row>
    <row r="192" spans="1:41">
      <c r="A192" s="127">
        <f>'Input data'!A132</f>
        <v>2032</v>
      </c>
      <c r="B192" s="1551">
        <f>'Input data'!B132</f>
        <v>67.215877817791679</v>
      </c>
      <c r="C192" s="1550">
        <f>'Input data'!C132</f>
        <v>3770.9504220066083</v>
      </c>
      <c r="D192" s="1509">
        <f>'Input data'!E132</f>
        <v>42600148.259036541</v>
      </c>
      <c r="E192" s="1508">
        <f>'Input data'!J132*C192</f>
        <v>45368.476583612086</v>
      </c>
      <c r="F192" s="1509">
        <f>'Input data'!L132</f>
        <v>87968.624842648627</v>
      </c>
      <c r="G192" s="1509">
        <f t="shared" ref="G192:G199" si="171">$G$150*(1+((($G$160/$G$150)^(1/($A$160-$A$150)))-1))^(A192-$A$150)</f>
        <v>31863.814308498775</v>
      </c>
      <c r="H192" s="1509">
        <f t="shared" si="135"/>
        <v>34147.146036785627</v>
      </c>
      <c r="I192" s="1511">
        <f t="shared" si="138"/>
        <v>42600.148259036541</v>
      </c>
      <c r="J192" s="1504">
        <f t="shared" si="170"/>
        <v>0.2</v>
      </c>
      <c r="K192" s="1512">
        <f t="shared" si="164"/>
        <v>5898.0868626448046</v>
      </c>
      <c r="L192" s="1512">
        <f t="shared" si="140"/>
        <v>0</v>
      </c>
      <c r="M192" s="1511">
        <f t="shared" si="165"/>
        <v>5898.0868626448046</v>
      </c>
      <c r="N192" s="1454">
        <f t="shared" si="169"/>
        <v>0.5</v>
      </c>
      <c r="O192" s="530">
        <f t="shared" si="141"/>
        <v>751.91700000000026</v>
      </c>
      <c r="P192" s="1481">
        <f t="shared" si="168"/>
        <v>6650.0038626448049</v>
      </c>
      <c r="Q192" s="1364">
        <f t="shared" si="142"/>
        <v>59360.956482639594</v>
      </c>
      <c r="R192" s="1364">
        <f t="shared" si="166"/>
        <v>27497.142174140819</v>
      </c>
      <c r="S192" s="576">
        <f t="shared" si="143"/>
        <v>1.0876673593514938</v>
      </c>
      <c r="T192" s="135" t="str">
        <f t="shared" si="144"/>
        <v>No</v>
      </c>
      <c r="U192" s="1091">
        <f t="shared" si="145"/>
        <v>1</v>
      </c>
      <c r="V192" s="1494">
        <f t="shared" si="136"/>
        <v>62687.78696723828</v>
      </c>
      <c r="W192" s="1491">
        <f t="shared" si="137"/>
        <v>0.28738471154494827</v>
      </c>
      <c r="X192" s="527">
        <f t="shared" si="146"/>
        <v>34080.118607229233</v>
      </c>
      <c r="Y192" s="1509">
        <f t="shared" si="147"/>
        <v>12153.052925975917</v>
      </c>
      <c r="Z192" s="1531">
        <f t="shared" si="148"/>
        <v>2802.0956343307598</v>
      </c>
      <c r="AA192" s="1531">
        <f t="shared" si="149"/>
        <v>0</v>
      </c>
      <c r="AB192" s="1531">
        <f t="shared" si="150"/>
        <v>13652.519799702362</v>
      </c>
      <c r="AC192" s="1531">
        <f t="shared" si="151"/>
        <v>62687.78696723828</v>
      </c>
      <c r="AD192" s="1487">
        <f t="shared" si="152"/>
        <v>2216.304298730458</v>
      </c>
      <c r="AE192" s="1454">
        <f t="shared" si="153"/>
        <v>0.54364845619833557</v>
      </c>
      <c r="AF192" s="1504">
        <f t="shared" si="154"/>
        <v>0.19386635761009258</v>
      </c>
      <c r="AG192" s="1504">
        <f t="shared" si="155"/>
        <v>4.4699227232174961E-2</v>
      </c>
      <c r="AH192" s="1504">
        <f t="shared" si="167"/>
        <v>0</v>
      </c>
      <c r="AI192" s="1504">
        <f t="shared" si="156"/>
        <v>0.21778595895939676</v>
      </c>
      <c r="AJ192" s="1541">
        <f t="shared" si="157"/>
        <v>1</v>
      </c>
      <c r="AK192" s="1555">
        <f t="shared" si="158"/>
        <v>34080.118607229233</v>
      </c>
      <c r="AL192" s="1556">
        <f t="shared" si="159"/>
        <v>0</v>
      </c>
      <c r="AM192" s="1556">
        <f t="shared" si="160"/>
        <v>0</v>
      </c>
      <c r="AN192" s="1498">
        <f t="shared" si="161"/>
        <v>34080.118607229233</v>
      </c>
      <c r="AO192" s="1184">
        <f t="shared" si="162"/>
        <v>0</v>
      </c>
    </row>
    <row r="193" spans="1:41">
      <c r="A193" s="127">
        <f>'Input data'!A133</f>
        <v>2033</v>
      </c>
      <c r="B193" s="1551">
        <f>'Input data'!B133</f>
        <v>67.784781669940756</v>
      </c>
      <c r="C193" s="1550">
        <f>'Input data'!C133</f>
        <v>3867.5085984126213</v>
      </c>
      <c r="D193" s="1509">
        <f>'Input data'!E133</f>
        <v>41720520.537816472</v>
      </c>
      <c r="E193" s="1508">
        <f>'Input data'!J133*C193</f>
        <v>46530.172409594707</v>
      </c>
      <c r="F193" s="1509">
        <f>'Input data'!L133</f>
        <v>88250.692947411182</v>
      </c>
      <c r="G193" s="1509">
        <f t="shared" si="171"/>
        <v>30747.341149823493</v>
      </c>
      <c r="H193" s="1509">
        <f t="shared" si="135"/>
        <v>35104.719907208011</v>
      </c>
      <c r="I193" s="1511">
        <f t="shared" si="138"/>
        <v>41720.520537816476</v>
      </c>
      <c r="J193" s="1504">
        <f t="shared" si="170"/>
        <v>0.2</v>
      </c>
      <c r="K193" s="1512">
        <f t="shared" si="164"/>
        <v>5776.3004154475057</v>
      </c>
      <c r="L193" s="1512">
        <f t="shared" si="140"/>
        <v>0</v>
      </c>
      <c r="M193" s="1511">
        <f t="shared" si="165"/>
        <v>5776.3004154475057</v>
      </c>
      <c r="N193" s="1454">
        <f t="shared" si="169"/>
        <v>0.5</v>
      </c>
      <c r="O193" s="530">
        <f t="shared" si="141"/>
        <v>751.91700000000026</v>
      </c>
      <c r="P193" s="1481">
        <f t="shared" si="168"/>
        <v>6528.217415447506</v>
      </c>
      <c r="Q193" s="1364">
        <f t="shared" si="142"/>
        <v>59323.843641583997</v>
      </c>
      <c r="R193" s="1364">
        <f t="shared" si="166"/>
        <v>28576.502491760504</v>
      </c>
      <c r="S193" s="576">
        <f t="shared" si="143"/>
        <v>1.1013231585165257</v>
      </c>
      <c r="T193" s="135" t="str">
        <f t="shared" si="144"/>
        <v>No</v>
      </c>
      <c r="U193" s="1091">
        <f t="shared" si="145"/>
        <v>1</v>
      </c>
      <c r="V193" s="1494">
        <f t="shared" si="136"/>
        <v>62303.265736080364</v>
      </c>
      <c r="W193" s="1491">
        <f t="shared" si="137"/>
        <v>0.29401952941936627</v>
      </c>
      <c r="X193" s="527">
        <f t="shared" si="146"/>
        <v>33376.416430253179</v>
      </c>
      <c r="Y193" s="1509">
        <f t="shared" si="147"/>
        <v>12070.153824123488</v>
      </c>
      <c r="Z193" s="1531">
        <f t="shared" si="148"/>
        <v>2854.5920843191443</v>
      </c>
      <c r="AA193" s="1531">
        <f t="shared" si="149"/>
        <v>0</v>
      </c>
      <c r="AB193" s="1531">
        <f t="shared" si="150"/>
        <v>14002.103397384553</v>
      </c>
      <c r="AC193" s="1531">
        <f t="shared" si="151"/>
        <v>62303.265736080364</v>
      </c>
      <c r="AD193" s="1487">
        <f t="shared" si="152"/>
        <v>2629.0752804296862</v>
      </c>
      <c r="AE193" s="1454">
        <f t="shared" si="153"/>
        <v>0.53570893974703171</v>
      </c>
      <c r="AF193" s="1504">
        <f t="shared" si="154"/>
        <v>0.19373228163116266</v>
      </c>
      <c r="AG193" s="1504">
        <f t="shared" si="155"/>
        <v>4.5817695920007367E-2</v>
      </c>
      <c r="AH193" s="1504">
        <f t="shared" si="167"/>
        <v>0</v>
      </c>
      <c r="AI193" s="1504">
        <f t="shared" si="156"/>
        <v>0.22474108270179829</v>
      </c>
      <c r="AJ193" s="1541">
        <f t="shared" si="157"/>
        <v>1</v>
      </c>
      <c r="AK193" s="1555">
        <f t="shared" si="158"/>
        <v>33376.416430253179</v>
      </c>
      <c r="AL193" s="1556">
        <f t="shared" si="159"/>
        <v>0</v>
      </c>
      <c r="AM193" s="1556">
        <f t="shared" si="160"/>
        <v>0</v>
      </c>
      <c r="AN193" s="1498">
        <f t="shared" si="161"/>
        <v>33376.416430253179</v>
      </c>
      <c r="AO193" s="1184">
        <f t="shared" si="162"/>
        <v>0</v>
      </c>
    </row>
    <row r="194" spans="1:41">
      <c r="A194" s="127">
        <f>'Input data'!A134</f>
        <v>2034</v>
      </c>
      <c r="B194" s="1551">
        <f>'Input data'!B134</f>
        <v>68.342055626742408</v>
      </c>
      <c r="C194" s="1550">
        <f>'Input data'!C134</f>
        <v>3988.7128287659275</v>
      </c>
      <c r="D194" s="1509">
        <f>'Input data'!E134</f>
        <v>41169489.630995624</v>
      </c>
      <c r="E194" s="1508">
        <f>'Input data'!J134*C194</f>
        <v>47988.386035138115</v>
      </c>
      <c r="F194" s="1509">
        <f>'Input data'!L134</f>
        <v>89157.875666133739</v>
      </c>
      <c r="G194" s="1509">
        <f t="shared" si="171"/>
        <v>29669.987987956312</v>
      </c>
      <c r="H194" s="1509">
        <f t="shared" si="135"/>
        <v>36501.690228903142</v>
      </c>
      <c r="I194" s="1511">
        <f t="shared" si="138"/>
        <v>41169.489630995624</v>
      </c>
      <c r="J194" s="1504">
        <f t="shared" si="170"/>
        <v>0.2</v>
      </c>
      <c r="K194" s="1512">
        <f t="shared" si="164"/>
        <v>5700.0089402942031</v>
      </c>
      <c r="L194" s="1512">
        <f t="shared" si="140"/>
        <v>0</v>
      </c>
      <c r="M194" s="1511">
        <f t="shared" si="165"/>
        <v>5700.0089402942031</v>
      </c>
      <c r="N194" s="1454">
        <f t="shared" si="169"/>
        <v>0.5</v>
      </c>
      <c r="O194" s="530">
        <f t="shared" si="141"/>
        <v>751.91700000000026</v>
      </c>
      <c r="P194" s="1481">
        <f t="shared" si="168"/>
        <v>6451.9259402942034</v>
      </c>
      <c r="Q194" s="1364">
        <f t="shared" si="142"/>
        <v>59719.752276565247</v>
      </c>
      <c r="R194" s="1364">
        <f t="shared" si="166"/>
        <v>30049.764288608934</v>
      </c>
      <c r="S194" s="576">
        <f t="shared" si="143"/>
        <v>1.1219229442748422</v>
      </c>
      <c r="T194" s="135" t="str">
        <f t="shared" si="144"/>
        <v>No</v>
      </c>
      <c r="U194" s="1091">
        <f t="shared" si="145"/>
        <v>1</v>
      </c>
      <c r="V194" s="1494">
        <f t="shared" si="136"/>
        <v>62373.715094365005</v>
      </c>
      <c r="W194" s="1491">
        <f t="shared" si="137"/>
        <v>0.3004127271051904</v>
      </c>
      <c r="X194" s="527">
        <f t="shared" si="146"/>
        <v>32935.591704796498</v>
      </c>
      <c r="Y194" s="1509">
        <f t="shared" si="147"/>
        <v>12076.718679374257</v>
      </c>
      <c r="Z194" s="1531">
        <f t="shared" si="148"/>
        <v>2920.4880245072482</v>
      </c>
      <c r="AA194" s="1531">
        <f t="shared" si="149"/>
        <v>0</v>
      </c>
      <c r="AB194" s="1531">
        <f t="shared" si="150"/>
        <v>14440.916685686996</v>
      </c>
      <c r="AC194" s="1531">
        <f t="shared" si="151"/>
        <v>62373.715094365005</v>
      </c>
      <c r="AD194" s="1487">
        <f t="shared" si="152"/>
        <v>3265.6037168401854</v>
      </c>
      <c r="AE194" s="1454">
        <f t="shared" si="153"/>
        <v>0.52803639569918737</v>
      </c>
      <c r="AF194" s="1504">
        <f t="shared" si="154"/>
        <v>0.19361871681209666</v>
      </c>
      <c r="AG194" s="1504">
        <f t="shared" si="155"/>
        <v>4.6822415821934776E-2</v>
      </c>
      <c r="AH194" s="1504">
        <f t="shared" si="167"/>
        <v>0</v>
      </c>
      <c r="AI194" s="1504">
        <f t="shared" si="156"/>
        <v>0.23152247166678105</v>
      </c>
      <c r="AJ194" s="1541">
        <f t="shared" si="157"/>
        <v>0.99999999999999989</v>
      </c>
      <c r="AK194" s="1555">
        <f t="shared" si="158"/>
        <v>32935.591704796498</v>
      </c>
      <c r="AL194" s="1556">
        <f t="shared" si="159"/>
        <v>0</v>
      </c>
      <c r="AM194" s="1556">
        <f t="shared" si="160"/>
        <v>0</v>
      </c>
      <c r="AN194" s="1498">
        <f t="shared" si="161"/>
        <v>32935.591704796498</v>
      </c>
      <c r="AO194" s="1184">
        <f t="shared" si="162"/>
        <v>0</v>
      </c>
    </row>
    <row r="195" spans="1:41">
      <c r="A195" s="127">
        <f>'Input data'!A135</f>
        <v>2035</v>
      </c>
      <c r="B195" s="1551">
        <f>'Input data'!B135</f>
        <v>68.88733085860035</v>
      </c>
      <c r="C195" s="1550">
        <f>'Input data'!C135</f>
        <v>4088.0370257470286</v>
      </c>
      <c r="D195" s="1509">
        <f>'Input data'!E135</f>
        <v>33008995.481321324</v>
      </c>
      <c r="E195" s="1508">
        <f>'Input data'!J135*C195</f>
        <v>49183.359980864327</v>
      </c>
      <c r="F195" s="1509">
        <f>'Input data'!L135</f>
        <v>82192.35546218566</v>
      </c>
      <c r="G195" s="1509">
        <f t="shared" si="171"/>
        <v>28630.384101050156</v>
      </c>
      <c r="H195" s="1509">
        <f t="shared" si="135"/>
        <v>30568.74448482741</v>
      </c>
      <c r="I195" s="1511">
        <f t="shared" si="138"/>
        <v>33008.995481321326</v>
      </c>
      <c r="J195" s="1504">
        <f t="shared" si="170"/>
        <v>0.2</v>
      </c>
      <c r="K195" s="1512">
        <f t="shared" si="164"/>
        <v>4570.1700710908799</v>
      </c>
      <c r="L195" s="1512">
        <f t="shared" si="140"/>
        <v>0</v>
      </c>
      <c r="M195" s="1511">
        <f t="shared" si="165"/>
        <v>4570.1700710908799</v>
      </c>
      <c r="N195" s="1454">
        <f t="shared" si="169"/>
        <v>0.5</v>
      </c>
      <c r="O195" s="530">
        <f t="shared" si="141"/>
        <v>751.91700000000026</v>
      </c>
      <c r="P195" s="1481">
        <f t="shared" si="168"/>
        <v>5322.0870710908803</v>
      </c>
      <c r="Q195" s="1364">
        <f t="shared" si="142"/>
        <v>53877.041514786688</v>
      </c>
      <c r="R195" s="1364">
        <f t="shared" si="166"/>
        <v>25246.657413736531</v>
      </c>
      <c r="S195" s="576">
        <f t="shared" si="143"/>
        <v>0.91906806516404349</v>
      </c>
      <c r="T195" s="135" t="str">
        <f t="shared" si="144"/>
        <v>Yes</v>
      </c>
      <c r="U195" s="1091">
        <f t="shared" si="145"/>
        <v>0.91906806516404349</v>
      </c>
      <c r="V195" s="1494">
        <f t="shared" si="136"/>
        <v>56945.698048449136</v>
      </c>
      <c r="W195" s="1491">
        <f t="shared" si="137"/>
        <v>0.30716551766607769</v>
      </c>
      <c r="X195" s="527">
        <f t="shared" si="146"/>
        <v>28630.384101050156</v>
      </c>
      <c r="Y195" s="1509">
        <f t="shared" si="147"/>
        <v>10540.311141802884</v>
      </c>
      <c r="Z195" s="1531">
        <f t="shared" si="148"/>
        <v>2974.4882959863826</v>
      </c>
      <c r="AA195" s="1531">
        <f t="shared" si="149"/>
        <v>0</v>
      </c>
      <c r="AB195" s="1531">
        <f t="shared" si="150"/>
        <v>14800.514509609711</v>
      </c>
      <c r="AC195" s="1531">
        <f t="shared" si="151"/>
        <v>56945.698048449136</v>
      </c>
      <c r="AD195" s="1487">
        <f t="shared" si="152"/>
        <v>0</v>
      </c>
      <c r="AE195" s="1454">
        <f t="shared" si="153"/>
        <v>0.50276640874068412</v>
      </c>
      <c r="AF195" s="1504">
        <f t="shared" si="154"/>
        <v>0.18509407212525933</v>
      </c>
      <c r="AG195" s="1504">
        <f t="shared" si="155"/>
        <v>5.2233766516580439E-2</v>
      </c>
      <c r="AH195" s="1504">
        <f t="shared" si="167"/>
        <v>0</v>
      </c>
      <c r="AI195" s="1504">
        <f t="shared" si="156"/>
        <v>0.25990575261747606</v>
      </c>
      <c r="AJ195" s="1541">
        <f t="shared" si="157"/>
        <v>0.99999999999999989</v>
      </c>
      <c r="AK195" s="1555">
        <f t="shared" si="158"/>
        <v>26407.196385057061</v>
      </c>
      <c r="AL195" s="1556">
        <f t="shared" si="159"/>
        <v>2124.4441329579317</v>
      </c>
      <c r="AM195" s="1556">
        <f t="shared" si="160"/>
        <v>98.743583035162899</v>
      </c>
      <c r="AN195" s="1498">
        <f t="shared" si="161"/>
        <v>28630.384101050156</v>
      </c>
      <c r="AO195" s="1184">
        <f t="shared" si="162"/>
        <v>0</v>
      </c>
    </row>
    <row r="196" spans="1:41">
      <c r="A196" s="127">
        <f>'Input data'!A136</f>
        <v>2036</v>
      </c>
      <c r="B196" s="1551">
        <f>'Input data'!B136</f>
        <v>69.420244147098416</v>
      </c>
      <c r="C196" s="1550">
        <f>'Input data'!C136</f>
        <v>4188.173572206083</v>
      </c>
      <c r="D196" s="1509">
        <f>'Input data'!E136</f>
        <v>23988684.664399058</v>
      </c>
      <c r="E196" s="1508">
        <f>'Input data'!J136*C196</f>
        <v>50388.107340224713</v>
      </c>
      <c r="F196" s="1509">
        <f>'Input data'!L136</f>
        <v>74376.79200462377</v>
      </c>
      <c r="G196" s="1509">
        <f t="shared" si="171"/>
        <v>27627.206795850379</v>
      </c>
      <c r="H196" s="1509">
        <f t="shared" si="135"/>
        <v>23798.083317600318</v>
      </c>
      <c r="I196" s="1511">
        <f t="shared" si="138"/>
        <v>23988.684664399058</v>
      </c>
      <c r="J196" s="1504">
        <f t="shared" si="170"/>
        <v>0.2</v>
      </c>
      <c r="K196" s="1512">
        <f t="shared" si="164"/>
        <v>3321.2876399135071</v>
      </c>
      <c r="L196" s="1512">
        <f t="shared" si="140"/>
        <v>0</v>
      </c>
      <c r="M196" s="1511">
        <f t="shared" si="165"/>
        <v>3321.2876399135071</v>
      </c>
      <c r="N196" s="1454">
        <f t="shared" si="169"/>
        <v>0.5</v>
      </c>
      <c r="O196" s="530">
        <f t="shared" si="141"/>
        <v>751.91700000000026</v>
      </c>
      <c r="P196" s="1481">
        <f t="shared" si="168"/>
        <v>4073.2046399135074</v>
      </c>
      <c r="Q196" s="1364">
        <f t="shared" si="142"/>
        <v>47352.08547353719</v>
      </c>
      <c r="R196" s="1364">
        <f t="shared" si="166"/>
        <v>19724.878677686811</v>
      </c>
      <c r="S196" s="576">
        <f t="shared" si="143"/>
        <v>0.70042904013271534</v>
      </c>
      <c r="T196" s="135" t="str">
        <f t="shared" si="144"/>
        <v>Yes</v>
      </c>
      <c r="U196" s="1091">
        <f t="shared" si="145"/>
        <v>0.70042904013271534</v>
      </c>
      <c r="V196" s="1494">
        <f t="shared" si="136"/>
        <v>54651.913326936963</v>
      </c>
      <c r="W196" s="1491">
        <f t="shared" si="137"/>
        <v>0.2652020629830415</v>
      </c>
      <c r="X196" s="527">
        <f t="shared" si="146"/>
        <v>27627.206795850376</v>
      </c>
      <c r="Y196" s="1509">
        <f t="shared" si="147"/>
        <v>8832.7229075789801</v>
      </c>
      <c r="Z196" s="1531">
        <f t="shared" si="148"/>
        <v>3028.9302231111574</v>
      </c>
      <c r="AA196" s="1531">
        <f t="shared" si="149"/>
        <v>0</v>
      </c>
      <c r="AB196" s="1531">
        <f t="shared" si="150"/>
        <v>15163.053400396448</v>
      </c>
      <c r="AC196" s="1531">
        <f t="shared" si="151"/>
        <v>54651.913326936963</v>
      </c>
      <c r="AD196" s="1487">
        <f t="shared" si="152"/>
        <v>0</v>
      </c>
      <c r="AE196" s="1454">
        <f t="shared" si="153"/>
        <v>0.50551216076516414</v>
      </c>
      <c r="AF196" s="1504">
        <f t="shared" si="154"/>
        <v>0.16161781664879951</v>
      </c>
      <c r="AG196" s="1504">
        <f t="shared" si="155"/>
        <v>5.5422217425245224E-2</v>
      </c>
      <c r="AH196" s="1504">
        <f t="shared" si="167"/>
        <v>0</v>
      </c>
      <c r="AI196" s="1504">
        <f t="shared" si="156"/>
        <v>0.27744780516079109</v>
      </c>
      <c r="AJ196" s="1541">
        <f t="shared" si="157"/>
        <v>1</v>
      </c>
      <c r="AK196" s="1555">
        <f t="shared" si="158"/>
        <v>19190.947731519249</v>
      </c>
      <c r="AL196" s="1556">
        <f t="shared" si="159"/>
        <v>8056.2874593849374</v>
      </c>
      <c r="AM196" s="1556">
        <f t="shared" si="160"/>
        <v>379.97160494619413</v>
      </c>
      <c r="AN196" s="1498">
        <f t="shared" si="161"/>
        <v>27627.206795850379</v>
      </c>
      <c r="AO196" s="1184">
        <f t="shared" si="162"/>
        <v>0</v>
      </c>
    </row>
    <row r="197" spans="1:41">
      <c r="A197" s="127">
        <f>'Input data'!A137</f>
        <v>2037</v>
      </c>
      <c r="B197" s="1551">
        <f>'Input data'!B137</f>
        <v>69.940438284968707</v>
      </c>
      <c r="C197" s="1550">
        <f>'Input data'!C137</f>
        <v>4308.5353934667492</v>
      </c>
      <c r="D197" s="1509">
        <f>'Input data'!E137</f>
        <v>19936802.299321227</v>
      </c>
      <c r="E197" s="1508">
        <f>'Input data'!J137*C197</f>
        <v>51836.185903538128</v>
      </c>
      <c r="F197" s="1509">
        <f>'Input data'!L137</f>
        <v>71772.988202859357</v>
      </c>
      <c r="G197" s="1509">
        <f t="shared" si="171"/>
        <v>26659.179724825448</v>
      </c>
      <c r="H197" s="1509">
        <f t="shared" si="135"/>
        <v>21794.530009742939</v>
      </c>
      <c r="I197" s="1511">
        <f t="shared" si="138"/>
        <v>19936.802299321225</v>
      </c>
      <c r="J197" s="1504">
        <f t="shared" si="170"/>
        <v>0.2</v>
      </c>
      <c r="K197" s="1512">
        <f t="shared" si="164"/>
        <v>2760.2953635221147</v>
      </c>
      <c r="L197" s="1512">
        <f t="shared" si="140"/>
        <v>0</v>
      </c>
      <c r="M197" s="1511">
        <f t="shared" si="165"/>
        <v>2760.2953635221147</v>
      </c>
      <c r="N197" s="1454">
        <f t="shared" si="169"/>
        <v>0.5</v>
      </c>
      <c r="O197" s="530">
        <f t="shared" si="141"/>
        <v>751.91700000000026</v>
      </c>
      <c r="P197" s="1481">
        <f t="shared" si="168"/>
        <v>3512.2123635221151</v>
      </c>
      <c r="Q197" s="1364">
        <f t="shared" si="142"/>
        <v>44941.497371046273</v>
      </c>
      <c r="R197" s="1364">
        <f t="shared" si="166"/>
        <v>18282.317646220825</v>
      </c>
      <c r="S197" s="576">
        <f t="shared" si="143"/>
        <v>0.63059749683152666</v>
      </c>
      <c r="T197" s="135" t="str">
        <f t="shared" si="144"/>
        <v>Yes</v>
      </c>
      <c r="U197" s="1091">
        <f t="shared" si="145"/>
        <v>0.63059749683152666</v>
      </c>
      <c r="V197" s="1494">
        <f t="shared" si="136"/>
        <v>53490.670556638535</v>
      </c>
      <c r="W197" s="1491">
        <f t="shared" si="137"/>
        <v>0.25472420898162451</v>
      </c>
      <c r="X197" s="527">
        <f t="shared" si="146"/>
        <v>26659.179724825452</v>
      </c>
      <c r="Y197" s="1509">
        <f t="shared" si="147"/>
        <v>8138.3058742339672</v>
      </c>
      <c r="Z197" s="1531">
        <f t="shared" si="148"/>
        <v>3094.3681649355021</v>
      </c>
      <c r="AA197" s="1531">
        <f t="shared" si="149"/>
        <v>0</v>
      </c>
      <c r="AB197" s="1531">
        <f t="shared" si="150"/>
        <v>15598.816792643614</v>
      </c>
      <c r="AC197" s="1531">
        <f t="shared" si="151"/>
        <v>53490.670556638535</v>
      </c>
      <c r="AD197" s="1487">
        <f t="shared" si="152"/>
        <v>0</v>
      </c>
      <c r="AE197" s="1454">
        <f t="shared" si="153"/>
        <v>0.49838933495136145</v>
      </c>
      <c r="AF197" s="1504">
        <f t="shared" si="154"/>
        <v>0.15214439807062674</v>
      </c>
      <c r="AG197" s="1504">
        <f t="shared" si="155"/>
        <v>5.7848745075256329E-2</v>
      </c>
      <c r="AH197" s="1504">
        <f t="shared" si="167"/>
        <v>0</v>
      </c>
      <c r="AI197" s="1504">
        <f t="shared" si="156"/>
        <v>0.29161752190275547</v>
      </c>
      <c r="AJ197" s="1541">
        <f t="shared" si="157"/>
        <v>1</v>
      </c>
      <c r="AK197" s="1555">
        <f t="shared" si="158"/>
        <v>15949.441839456978</v>
      </c>
      <c r="AL197" s="1556">
        <f t="shared" si="159"/>
        <v>10219.745245360513</v>
      </c>
      <c r="AM197" s="1556">
        <f t="shared" si="160"/>
        <v>489.99264000795392</v>
      </c>
      <c r="AN197" s="1498">
        <f t="shared" si="161"/>
        <v>26659.179724825444</v>
      </c>
      <c r="AO197" s="1184">
        <f t="shared" si="162"/>
        <v>0</v>
      </c>
    </row>
    <row r="198" spans="1:41">
      <c r="A198" s="127">
        <f>'Input data'!A138</f>
        <v>2038</v>
      </c>
      <c r="B198" s="1551">
        <f>'Input data'!B138</f>
        <v>70.447562472153166</v>
      </c>
      <c r="C198" s="1550">
        <f>'Input data'!C138</f>
        <v>4436.6736831338776</v>
      </c>
      <c r="D198" s="1509">
        <f>'Input data'!E138</f>
        <v>16174143.168204505</v>
      </c>
      <c r="E198" s="1508">
        <f>'Input data'!J138*C198</f>
        <v>53377.823513065159</v>
      </c>
      <c r="F198" s="1509">
        <f>'Input data'!L138</f>
        <v>69551.966681269667</v>
      </c>
      <c r="G198" s="1509">
        <f t="shared" si="171"/>
        <v>25725.071262263602</v>
      </c>
      <c r="H198" s="1509">
        <f t="shared" si="135"/>
        <v>20082.165138217515</v>
      </c>
      <c r="I198" s="1511">
        <f t="shared" si="138"/>
        <v>16174.143168204506</v>
      </c>
      <c r="J198" s="1504">
        <f t="shared" si="170"/>
        <v>0.2</v>
      </c>
      <c r="K198" s="1512">
        <f t="shared" si="164"/>
        <v>2239.3466979234581</v>
      </c>
      <c r="L198" s="1512">
        <f t="shared" si="140"/>
        <v>0</v>
      </c>
      <c r="M198" s="1511">
        <f t="shared" si="165"/>
        <v>2239.3466979234581</v>
      </c>
      <c r="N198" s="1454">
        <f t="shared" si="169"/>
        <v>0.5</v>
      </c>
      <c r="O198" s="530">
        <f t="shared" si="141"/>
        <v>751.91700000000026</v>
      </c>
      <c r="P198" s="1481">
        <f t="shared" si="168"/>
        <v>2991.2636979234585</v>
      </c>
      <c r="Q198" s="1364">
        <f t="shared" si="142"/>
        <v>42815.972702557658</v>
      </c>
      <c r="R198" s="1364">
        <f t="shared" si="166"/>
        <v>17090.901440294056</v>
      </c>
      <c r="S198" s="576">
        <f t="shared" si="143"/>
        <v>0.57204863221961733</v>
      </c>
      <c r="T198" s="135" t="str">
        <f t="shared" si="144"/>
        <v>Yes</v>
      </c>
      <c r="U198" s="1091">
        <f t="shared" si="145"/>
        <v>0.57204863221961733</v>
      </c>
      <c r="V198" s="1494">
        <f t="shared" si="136"/>
        <v>52461.065240975622</v>
      </c>
      <c r="W198" s="1491">
        <f t="shared" si="137"/>
        <v>0.24572851431527698</v>
      </c>
      <c r="X198" s="527">
        <f t="shared" si="146"/>
        <v>25725.071262263606</v>
      </c>
      <c r="Y198" s="1509">
        <f t="shared" si="147"/>
        <v>7509.2255221949799</v>
      </c>
      <c r="Z198" s="1531">
        <f t="shared" si="148"/>
        <v>3164.033992993629</v>
      </c>
      <c r="AA198" s="1531">
        <f t="shared" si="149"/>
        <v>0</v>
      </c>
      <c r="AB198" s="1531">
        <f t="shared" si="150"/>
        <v>16062.734463523406</v>
      </c>
      <c r="AC198" s="1531">
        <f t="shared" si="151"/>
        <v>52461.065240975622</v>
      </c>
      <c r="AD198" s="1487">
        <f t="shared" si="152"/>
        <v>0</v>
      </c>
      <c r="AE198" s="1454">
        <f t="shared" si="153"/>
        <v>0.49036501916416658</v>
      </c>
      <c r="AF198" s="1504">
        <f t="shared" si="154"/>
        <v>0.14313902105689172</v>
      </c>
      <c r="AG198" s="1504">
        <f t="shared" si="155"/>
        <v>6.0312042434897135E-2</v>
      </c>
      <c r="AH198" s="1504">
        <f t="shared" si="167"/>
        <v>0</v>
      </c>
      <c r="AI198" s="1504">
        <f t="shared" si="156"/>
        <v>0.30618391734404449</v>
      </c>
      <c r="AJ198" s="1541">
        <f t="shared" si="157"/>
        <v>1</v>
      </c>
      <c r="AK198" s="1555">
        <f t="shared" si="158"/>
        <v>12939.314534563604</v>
      </c>
      <c r="AL198" s="1556">
        <f t="shared" si="159"/>
        <v>12191.649748278296</v>
      </c>
      <c r="AM198" s="1556">
        <f t="shared" si="160"/>
        <v>594.10697942169895</v>
      </c>
      <c r="AN198" s="1498">
        <f t="shared" si="161"/>
        <v>25725.071262263602</v>
      </c>
      <c r="AO198" s="1184">
        <f t="shared" si="162"/>
        <v>0</v>
      </c>
    </row>
    <row r="199" spans="1:41">
      <c r="A199" s="127">
        <f>'Input data'!A139</f>
        <v>2039</v>
      </c>
      <c r="B199" s="1551">
        <f>'Input data'!B139</f>
        <v>70.942722252264574</v>
      </c>
      <c r="C199" s="1550">
        <f>'Input data'!C139</f>
        <v>4572.7379558768307</v>
      </c>
      <c r="D199" s="1509">
        <f>'Input data'!E139</f>
        <v>12411484.037087778</v>
      </c>
      <c r="E199" s="1508">
        <f>'Input data'!J139*C199</f>
        <v>55014.818986614788</v>
      </c>
      <c r="F199" s="1509">
        <f>'Input data'!L139</f>
        <v>67426.303023702567</v>
      </c>
      <c r="G199" s="1509">
        <f t="shared" si="171"/>
        <v>24823.692937269236</v>
      </c>
      <c r="H199" s="1509">
        <f t="shared" si="135"/>
        <v>18391.787150423912</v>
      </c>
      <c r="I199" s="1511">
        <f t="shared" si="138"/>
        <v>12411.484037087777</v>
      </c>
      <c r="J199" s="1504">
        <f t="shared" si="170"/>
        <v>0.2</v>
      </c>
      <c r="K199" s="1512">
        <f t="shared" si="164"/>
        <v>1718.3980323247997</v>
      </c>
      <c r="L199" s="1512">
        <f t="shared" si="140"/>
        <v>0</v>
      </c>
      <c r="M199" s="1511">
        <f t="shared" si="165"/>
        <v>1718.3980323247997</v>
      </c>
      <c r="N199" s="1454">
        <f t="shared" si="169"/>
        <v>0.5</v>
      </c>
      <c r="O199" s="530">
        <f t="shared" si="141"/>
        <v>751.91700000000026</v>
      </c>
      <c r="P199" s="1481">
        <f t="shared" si="168"/>
        <v>2470.3150323248001</v>
      </c>
      <c r="Q199" s="1364">
        <f t="shared" si="142"/>
        <v>40745.16505536835</v>
      </c>
      <c r="R199" s="1364">
        <f t="shared" si="166"/>
        <v>15921.472118099115</v>
      </c>
      <c r="S199" s="576">
        <f t="shared" si="143"/>
        <v>0.51666288858832976</v>
      </c>
      <c r="T199" s="135" t="str">
        <f t="shared" si="144"/>
        <v>Yes</v>
      </c>
      <c r="U199" s="1091">
        <f t="shared" si="145"/>
        <v>0.51666288858832976</v>
      </c>
      <c r="V199" s="1494">
        <f t="shared" si="136"/>
        <v>51504.830905603463</v>
      </c>
      <c r="W199" s="1491">
        <f t="shared" si="137"/>
        <v>0.23613147101513454</v>
      </c>
      <c r="X199" s="527">
        <f t="shared" si="146"/>
        <v>24823.692937269239</v>
      </c>
      <c r="Y199" s="1509">
        <f t="shared" si="147"/>
        <v>6887.7812506563059</v>
      </c>
      <c r="Z199" s="1531">
        <f t="shared" si="148"/>
        <v>3238.0089949574353</v>
      </c>
      <c r="AA199" s="1531">
        <f t="shared" si="149"/>
        <v>0</v>
      </c>
      <c r="AB199" s="1531">
        <f t="shared" si="150"/>
        <v>16555.347722720482</v>
      </c>
      <c r="AC199" s="1531">
        <f t="shared" si="151"/>
        <v>51504.830905603463</v>
      </c>
      <c r="AD199" s="1487">
        <f t="shared" si="152"/>
        <v>0</v>
      </c>
      <c r="AE199" s="1454">
        <f t="shared" si="153"/>
        <v>0.48196824454710613</v>
      </c>
      <c r="AF199" s="1504">
        <f t="shared" si="154"/>
        <v>0.13373078077433218</v>
      </c>
      <c r="AG199" s="1504">
        <f t="shared" si="155"/>
        <v>6.286806379176281E-2</v>
      </c>
      <c r="AH199" s="1504">
        <f t="shared" si="167"/>
        <v>0</v>
      </c>
      <c r="AI199" s="1504">
        <f t="shared" si="156"/>
        <v>0.32143291088679887</v>
      </c>
      <c r="AJ199" s="1541">
        <f t="shared" si="157"/>
        <v>1</v>
      </c>
      <c r="AK199" s="1555">
        <f t="shared" si="158"/>
        <v>9929.1872296702222</v>
      </c>
      <c r="AL199" s="1556">
        <f t="shared" si="159"/>
        <v>14191.78515353166</v>
      </c>
      <c r="AM199" s="1556">
        <f t="shared" si="160"/>
        <v>702.72055406735319</v>
      </c>
      <c r="AN199" s="1498">
        <f t="shared" si="161"/>
        <v>24823.692937269236</v>
      </c>
      <c r="AO199" s="1184">
        <f t="shared" si="162"/>
        <v>0</v>
      </c>
    </row>
    <row r="200" spans="1:41">
      <c r="A200" s="127">
        <f>'Input data'!A140</f>
        <v>2040</v>
      </c>
      <c r="B200" s="1551">
        <f>'Input data'!B140</f>
        <v>71.425610993241406</v>
      </c>
      <c r="C200" s="1550">
        <f>'Input data'!C140</f>
        <v>4714.8820680263625</v>
      </c>
      <c r="D200" s="1509">
        <f>'Input data'!E140</f>
        <v>8648824.905971054</v>
      </c>
      <c r="E200" s="1508">
        <f>'Input data'!J140*C200</f>
        <v>56724.961285468657</v>
      </c>
      <c r="F200" s="1509">
        <f>'Input data'!L140</f>
        <v>65373.786191439707</v>
      </c>
      <c r="G200" s="1509">
        <f>G177*(1-$C$5)</f>
        <v>23953.89792166539</v>
      </c>
      <c r="H200" s="1509">
        <f t="shared" si="135"/>
        <v>16711.798022385708</v>
      </c>
      <c r="I200" s="1511">
        <f t="shared" si="138"/>
        <v>8648.8249059710542</v>
      </c>
      <c r="J200" s="1504">
        <f t="shared" si="170"/>
        <v>0.2</v>
      </c>
      <c r="K200" s="1512">
        <f t="shared" si="164"/>
        <v>1197.4493667261422</v>
      </c>
      <c r="L200" s="1512">
        <f t="shared" si="140"/>
        <v>0</v>
      </c>
      <c r="M200" s="1511">
        <f t="shared" si="165"/>
        <v>1197.4493667261422</v>
      </c>
      <c r="N200" s="1454">
        <f t="shared" si="169"/>
        <v>0.5</v>
      </c>
      <c r="O200" s="530">
        <f t="shared" si="141"/>
        <v>751.91700000000026</v>
      </c>
      <c r="P200" s="1481">
        <f t="shared" si="168"/>
        <v>1949.3663667261426</v>
      </c>
      <c r="Q200" s="1364">
        <f t="shared" si="142"/>
        <v>38716.329577324956</v>
      </c>
      <c r="R200" s="1364">
        <f t="shared" si="166"/>
        <v>14762.431655659566</v>
      </c>
      <c r="S200" s="576">
        <f t="shared" si="143"/>
        <v>0.46426727253534994</v>
      </c>
      <c r="T200" s="135" t="str">
        <f t="shared" si="144"/>
        <v>Yes</v>
      </c>
      <c r="U200" s="1091">
        <f t="shared" si="145"/>
        <v>0.46426727253534994</v>
      </c>
      <c r="V200" s="1494">
        <f t="shared" si="136"/>
        <v>50611.354535780149</v>
      </c>
      <c r="W200" s="1491">
        <f t="shared" si="137"/>
        <v>0.22581576677277726</v>
      </c>
      <c r="X200" s="527">
        <f t="shared" si="146"/>
        <v>23953.89792166539</v>
      </c>
      <c r="Y200" s="1509">
        <f t="shared" si="147"/>
        <v>6272.1944409231228</v>
      </c>
      <c r="Z200" s="1531">
        <f t="shared" si="148"/>
        <v>3315.2894651604388</v>
      </c>
      <c r="AA200" s="1531">
        <f t="shared" si="149"/>
        <v>0</v>
      </c>
      <c r="AB200" s="1531">
        <f t="shared" si="150"/>
        <v>17069.9727080312</v>
      </c>
      <c r="AC200" s="1531">
        <f t="shared" si="151"/>
        <v>50611.354535780149</v>
      </c>
      <c r="AD200" s="1487">
        <f t="shared" si="152"/>
        <v>0</v>
      </c>
      <c r="AE200" s="1454">
        <f t="shared" si="153"/>
        <v>0.47329098660520869</v>
      </c>
      <c r="AF200" s="1504">
        <f t="shared" si="154"/>
        <v>0.12392860255279156</v>
      </c>
      <c r="AG200" s="1504">
        <f t="shared" si="155"/>
        <v>6.5504855492786021E-2</v>
      </c>
      <c r="AH200" s="1504">
        <f t="shared" si="167"/>
        <v>0</v>
      </c>
      <c r="AI200" s="1504">
        <f t="shared" si="156"/>
        <v>0.33727555534921377</v>
      </c>
      <c r="AJ200" s="1541">
        <f t="shared" si="157"/>
        <v>1</v>
      </c>
      <c r="AK200" s="1555">
        <f t="shared" si="158"/>
        <v>6919.0599247768432</v>
      </c>
      <c r="AL200" s="1556">
        <f t="shared" si="159"/>
        <v>16219.205755249834</v>
      </c>
      <c r="AM200" s="1556">
        <f t="shared" si="160"/>
        <v>815.63224163870962</v>
      </c>
      <c r="AN200" s="1498">
        <f t="shared" si="161"/>
        <v>23953.897921665386</v>
      </c>
      <c r="AO200" s="1184">
        <f t="shared" si="162"/>
        <v>0</v>
      </c>
    </row>
    <row r="201" spans="1:41">
      <c r="A201" s="127">
        <f>'Input data'!A141</f>
        <v>2041</v>
      </c>
      <c r="B201" s="1551">
        <f>'Input data'!B141</f>
        <v>71.895928013305991</v>
      </c>
      <c r="C201" s="1550">
        <f>'Input data'!C141</f>
        <v>4861.7822977789338</v>
      </c>
      <c r="D201" s="1509">
        <f>'Input data'!E141</f>
        <v>7702881.2953237193</v>
      </c>
      <c r="E201" s="1508">
        <f>'Input data'!J141*C201</f>
        <v>58492.324652211188</v>
      </c>
      <c r="F201" s="1509">
        <f>'Input data'!L141</f>
        <v>66195.205947534909</v>
      </c>
      <c r="G201" s="1509">
        <f>$G$160*(1+((($G$170/$G$160)^(1/($A$170-$A$160)))-1))^(A201-$A$160)</f>
        <v>22650.218174049241</v>
      </c>
      <c r="H201" s="1509">
        <f t="shared" si="135"/>
        <v>18141.880532432009</v>
      </c>
      <c r="I201" s="1511">
        <f t="shared" si="138"/>
        <v>7702.8812953237193</v>
      </c>
      <c r="J201" s="1504">
        <f t="shared" si="170"/>
        <v>0.2</v>
      </c>
      <c r="K201" s="1512">
        <f t="shared" si="164"/>
        <v>1066.4813346705648</v>
      </c>
      <c r="L201" s="1512">
        <f t="shared" si="140"/>
        <v>0</v>
      </c>
      <c r="M201" s="1511">
        <f t="shared" si="165"/>
        <v>1066.4813346705648</v>
      </c>
      <c r="N201" s="1454">
        <f t="shared" si="169"/>
        <v>0.5</v>
      </c>
      <c r="O201" s="530">
        <f t="shared" si="141"/>
        <v>751.91700000000026</v>
      </c>
      <c r="P201" s="1481">
        <f t="shared" si="168"/>
        <v>1818.398334670565</v>
      </c>
      <c r="Q201" s="1364">
        <f t="shared" si="142"/>
        <v>38973.700371810686</v>
      </c>
      <c r="R201" s="1364">
        <f t="shared" si="166"/>
        <v>16323.482197761445</v>
      </c>
      <c r="S201" s="576">
        <f t="shared" si="143"/>
        <v>0.49749430131898942</v>
      </c>
      <c r="T201" s="135" t="str">
        <f t="shared" si="144"/>
        <v>Yes</v>
      </c>
      <c r="U201" s="1091">
        <f t="shared" si="145"/>
        <v>0.49749430131898942</v>
      </c>
      <c r="V201" s="1494">
        <f t="shared" si="136"/>
        <v>49871.723749773468</v>
      </c>
      <c r="W201" s="1491">
        <f t="shared" si="137"/>
        <v>0.2465961388608584</v>
      </c>
      <c r="X201" s="527">
        <f t="shared" si="146"/>
        <v>22650.218174049238</v>
      </c>
      <c r="Y201" s="1509">
        <f t="shared" si="147"/>
        <v>6224.5328920381708</v>
      </c>
      <c r="Z201" s="1531">
        <f t="shared" si="148"/>
        <v>3395.1557266364357</v>
      </c>
      <c r="AA201" s="1531">
        <f t="shared" si="149"/>
        <v>0</v>
      </c>
      <c r="AB201" s="1531">
        <f t="shared" si="150"/>
        <v>17601.816957049621</v>
      </c>
      <c r="AC201" s="1531">
        <f t="shared" si="151"/>
        <v>49871.723749773468</v>
      </c>
      <c r="AD201" s="1487">
        <f t="shared" si="152"/>
        <v>0</v>
      </c>
      <c r="AE201" s="1454">
        <f t="shared" si="153"/>
        <v>0.45416954680962118</v>
      </c>
      <c r="AF201" s="1504">
        <f t="shared" si="154"/>
        <v>0.12481086323122016</v>
      </c>
      <c r="AG201" s="1504">
        <f t="shared" si="155"/>
        <v>6.8077769753283446E-2</v>
      </c>
      <c r="AH201" s="1504">
        <f t="shared" si="167"/>
        <v>0</v>
      </c>
      <c r="AI201" s="1504">
        <f t="shared" si="156"/>
        <v>0.35294182020587517</v>
      </c>
      <c r="AJ201" s="1541">
        <f t="shared" si="157"/>
        <v>1</v>
      </c>
      <c r="AK201" s="1555">
        <f t="shared" si="158"/>
        <v>6162.3050362589747</v>
      </c>
      <c r="AL201" s="1556">
        <f t="shared" si="159"/>
        <v>15687.259122469441</v>
      </c>
      <c r="AM201" s="1556">
        <f t="shared" si="160"/>
        <v>800.65401532081978</v>
      </c>
      <c r="AN201" s="1498">
        <f t="shared" si="161"/>
        <v>22650.218174049234</v>
      </c>
      <c r="AO201" s="1184">
        <f t="shared" si="162"/>
        <v>0</v>
      </c>
    </row>
    <row r="202" spans="1:41">
      <c r="A202" s="127">
        <f>'Input data'!A142</f>
        <v>2042</v>
      </c>
      <c r="B202" s="1551">
        <f>'Input data'!B142</f>
        <v>72.353378891150228</v>
      </c>
      <c r="C202" s="1550">
        <f>'Input data'!C142</f>
        <v>4999.630924015547</v>
      </c>
      <c r="D202" s="1509">
        <f>'Input data'!E142</f>
        <v>6756937.6846763855</v>
      </c>
      <c r="E202" s="1508">
        <f>'Input data'!J142*C202</f>
        <v>60150.787764057408</v>
      </c>
      <c r="F202" s="1509">
        <f>'Input data'!L142</f>
        <v>66907.725448733792</v>
      </c>
      <c r="G202" s="1509">
        <f t="shared" ref="G202:G209" si="172">$G$160*(1+((($G$170/$G$160)^(1/($A$170-$A$160)))-1))^(A202-$A$160)</f>
        <v>21417.490590039302</v>
      </c>
      <c r="H202" s="1509">
        <f t="shared" si="135"/>
        <v>19438.523137271153</v>
      </c>
      <c r="I202" s="1511">
        <f t="shared" si="138"/>
        <v>6756.9376846763853</v>
      </c>
      <c r="J202" s="1504">
        <f t="shared" si="170"/>
        <v>0.2</v>
      </c>
      <c r="K202" s="1512">
        <f t="shared" si="164"/>
        <v>935.51330261498788</v>
      </c>
      <c r="L202" s="1512">
        <f t="shared" si="140"/>
        <v>0</v>
      </c>
      <c r="M202" s="530">
        <f t="shared" si="165"/>
        <v>935.51330261498788</v>
      </c>
      <c r="N202" s="649">
        <f t="shared" si="169"/>
        <v>0.5</v>
      </c>
      <c r="O202" s="530">
        <f t="shared" si="141"/>
        <v>751.91700000000026</v>
      </c>
      <c r="P202" s="1481">
        <f t="shared" si="168"/>
        <v>1687.4303026149882</v>
      </c>
      <c r="Q202" s="1364">
        <f t="shared" si="142"/>
        <v>39168.583424695469</v>
      </c>
      <c r="R202" s="1364">
        <f t="shared" si="166"/>
        <v>17751.092834656167</v>
      </c>
      <c r="S202" s="576">
        <f t="shared" si="143"/>
        <v>0.52575527468299277</v>
      </c>
      <c r="T202" s="135" t="str">
        <f t="shared" si="144"/>
        <v>Yes</v>
      </c>
      <c r="U202" s="1091">
        <f t="shared" si="145"/>
        <v>0.52575527468299277</v>
      </c>
      <c r="V202" s="1494">
        <f t="shared" si="136"/>
        <v>49156.632614077636</v>
      </c>
      <c r="W202" s="1491">
        <f t="shared" si="137"/>
        <v>0.26530707351959593</v>
      </c>
      <c r="X202" s="527">
        <f t="shared" si="146"/>
        <v>21417.490590039306</v>
      </c>
      <c r="Y202" s="1509">
        <f t="shared" si="147"/>
        <v>6168.1508131642513</v>
      </c>
      <c r="Z202" s="1531">
        <f t="shared" si="148"/>
        <v>3470.1008403756309</v>
      </c>
      <c r="AA202" s="1531">
        <f t="shared" si="149"/>
        <v>0</v>
      </c>
      <c r="AB202" s="1531">
        <f t="shared" si="150"/>
        <v>18100.890370498448</v>
      </c>
      <c r="AC202" s="1531">
        <f t="shared" si="151"/>
        <v>49156.632614077636</v>
      </c>
      <c r="AD202" s="1487">
        <f t="shared" si="152"/>
        <v>0</v>
      </c>
      <c r="AE202" s="1454">
        <f t="shared" si="153"/>
        <v>0.4356988965901154</v>
      </c>
      <c r="AF202" s="1504">
        <f t="shared" si="154"/>
        <v>0.12547952300942999</v>
      </c>
      <c r="AG202" s="1504">
        <f t="shared" si="155"/>
        <v>7.0592728912473396E-2</v>
      </c>
      <c r="AH202" s="1504">
        <f t="shared" si="167"/>
        <v>0</v>
      </c>
      <c r="AI202" s="1504">
        <f t="shared" si="156"/>
        <v>0.36822885148798123</v>
      </c>
      <c r="AJ202" s="1541">
        <f t="shared" si="157"/>
        <v>1</v>
      </c>
      <c r="AK202" s="1555">
        <f t="shared" si="158"/>
        <v>5405.550147741108</v>
      </c>
      <c r="AL202" s="1556">
        <f t="shared" si="159"/>
        <v>15224.780006341874</v>
      </c>
      <c r="AM202" s="1556">
        <f t="shared" si="160"/>
        <v>787.16043595631709</v>
      </c>
      <c r="AN202" s="1498">
        <f t="shared" si="161"/>
        <v>21417.490590039299</v>
      </c>
      <c r="AO202" s="1184">
        <f t="shared" si="162"/>
        <v>0</v>
      </c>
    </row>
    <row r="203" spans="1:41">
      <c r="A203" s="127">
        <f>'Input data'!A143</f>
        <v>2043</v>
      </c>
      <c r="B203" s="1551">
        <f>'Input data'!B143</f>
        <v>72.797675771420302</v>
      </c>
      <c r="C203" s="1550">
        <f>'Input data'!C143</f>
        <v>5140.3990299017887</v>
      </c>
      <c r="D203" s="1509">
        <f>'Input data'!E143</f>
        <v>5810994.0740290517</v>
      </c>
      <c r="E203" s="1508">
        <f>'Input data'!J143*C203</f>
        <v>61844.375268774857</v>
      </c>
      <c r="F203" s="1509">
        <f>'Input data'!L143</f>
        <v>67655.369342803911</v>
      </c>
      <c r="G203" s="1509">
        <f t="shared" si="172"/>
        <v>20251.853631148377</v>
      </c>
      <c r="H203" s="1509">
        <f t="shared" si="135"/>
        <v>20688.229743697324</v>
      </c>
      <c r="I203" s="1511">
        <f t="shared" si="138"/>
        <v>5810.9940740290513</v>
      </c>
      <c r="J203" s="1504">
        <f t="shared" si="170"/>
        <v>0.2</v>
      </c>
      <c r="K203" s="1512">
        <f t="shared" si="164"/>
        <v>804.54527055941071</v>
      </c>
      <c r="L203" s="1512">
        <f t="shared" si="140"/>
        <v>0</v>
      </c>
      <c r="M203" s="530">
        <f t="shared" si="165"/>
        <v>804.54527055941071</v>
      </c>
      <c r="N203" s="649">
        <f t="shared" si="169"/>
        <v>0.5</v>
      </c>
      <c r="O203" s="530">
        <f t="shared" si="141"/>
        <v>751.91700000000026</v>
      </c>
      <c r="P203" s="1481">
        <f t="shared" si="168"/>
        <v>1556.4622705594111</v>
      </c>
      <c r="Q203" s="1364">
        <f t="shared" si="142"/>
        <v>39383.621104286292</v>
      </c>
      <c r="R203" s="1364">
        <f t="shared" si="166"/>
        <v>19131.767473137916</v>
      </c>
      <c r="S203" s="576">
        <f t="shared" si="143"/>
        <v>0.55079497327772442</v>
      </c>
      <c r="T203" s="135" t="str">
        <f t="shared" si="144"/>
        <v>Yes</v>
      </c>
      <c r="U203" s="1091">
        <f t="shared" si="145"/>
        <v>0.55079497327772442</v>
      </c>
      <c r="V203" s="1494">
        <f t="shared" si="136"/>
        <v>48523.601869666003</v>
      </c>
      <c r="W203" s="1491">
        <f t="shared" si="137"/>
        <v>0.28278269203141726</v>
      </c>
      <c r="X203" s="527">
        <f t="shared" si="146"/>
        <v>20251.853631148377</v>
      </c>
      <c r="Y203" s="1509">
        <f t="shared" si="147"/>
        <v>6114.5814303824536</v>
      </c>
      <c r="Z203" s="1531">
        <f t="shared" si="148"/>
        <v>3546.6332077594516</v>
      </c>
      <c r="AA203" s="1531">
        <f t="shared" si="149"/>
        <v>0</v>
      </c>
      <c r="AB203" s="1531">
        <f t="shared" si="150"/>
        <v>18610.533600375722</v>
      </c>
      <c r="AC203" s="1531">
        <f t="shared" si="151"/>
        <v>48523.601869666003</v>
      </c>
      <c r="AD203" s="1487">
        <f t="shared" si="152"/>
        <v>0</v>
      </c>
      <c r="AE203" s="1454">
        <f t="shared" si="153"/>
        <v>0.41736088935740362</v>
      </c>
      <c r="AF203" s="1504">
        <f t="shared" si="154"/>
        <v>0.1260125216344444</v>
      </c>
      <c r="AG203" s="1504">
        <f t="shared" si="155"/>
        <v>7.3090889198326195E-2</v>
      </c>
      <c r="AH203" s="1504">
        <f t="shared" si="167"/>
        <v>0</v>
      </c>
      <c r="AI203" s="1504">
        <f t="shared" si="156"/>
        <v>0.38353569980982583</v>
      </c>
      <c r="AJ203" s="1541">
        <f t="shared" si="157"/>
        <v>1</v>
      </c>
      <c r="AK203" s="1555">
        <f t="shared" si="158"/>
        <v>4648.7952592232405</v>
      </c>
      <c r="AL203" s="1556">
        <f t="shared" si="159"/>
        <v>14826.956434860967</v>
      </c>
      <c r="AM203" s="1556">
        <f t="shared" si="160"/>
        <v>776.10193706416601</v>
      </c>
      <c r="AN203" s="1498">
        <f t="shared" si="161"/>
        <v>20251.853631148373</v>
      </c>
      <c r="AO203" s="1184">
        <f t="shared" si="162"/>
        <v>0</v>
      </c>
    </row>
    <row r="204" spans="1:41">
      <c r="A204" s="127">
        <f>'Input data'!A144</f>
        <v>2044</v>
      </c>
      <c r="B204" s="1551">
        <f>'Input data'!B144</f>
        <v>73.228597899236789</v>
      </c>
      <c r="C204" s="1550">
        <f>'Input data'!C144</f>
        <v>5284.2396924773611</v>
      </c>
      <c r="D204" s="1509">
        <f>'Input data'!E144</f>
        <v>4865050.463381717</v>
      </c>
      <c r="E204" s="1508">
        <f>'Input data'!J144*C204</f>
        <v>63574.928843212612</v>
      </c>
      <c r="F204" s="1509">
        <f>'Input data'!L144</f>
        <v>68439.979306594323</v>
      </c>
      <c r="G204" s="1509">
        <f t="shared" si="172"/>
        <v>19149.655921324487</v>
      </c>
      <c r="H204" s="1509">
        <f t="shared" si="135"/>
        <v>21895.708495050752</v>
      </c>
      <c r="I204" s="1511">
        <f t="shared" si="138"/>
        <v>4865.0504633817172</v>
      </c>
      <c r="J204" s="1504">
        <f t="shared" si="170"/>
        <v>0.2</v>
      </c>
      <c r="K204" s="1512">
        <f t="shared" si="164"/>
        <v>673.57723850383354</v>
      </c>
      <c r="L204" s="1512">
        <f t="shared" si="140"/>
        <v>0</v>
      </c>
      <c r="M204" s="530">
        <f t="shared" si="165"/>
        <v>673.57723850383354</v>
      </c>
      <c r="N204" s="649">
        <f t="shared" si="169"/>
        <v>0.5</v>
      </c>
      <c r="O204" s="530">
        <f t="shared" si="141"/>
        <v>751.91700000000026</v>
      </c>
      <c r="P204" s="1481">
        <f t="shared" si="168"/>
        <v>1425.4942385038339</v>
      </c>
      <c r="Q204" s="1364">
        <f t="shared" si="142"/>
        <v>39619.870177871402</v>
      </c>
      <c r="R204" s="1364">
        <f t="shared" si="166"/>
        <v>20470.214256546915</v>
      </c>
      <c r="S204" s="576">
        <f t="shared" si="143"/>
        <v>0.57294871720535201</v>
      </c>
      <c r="T204" s="135" t="str">
        <f t="shared" si="144"/>
        <v>Yes</v>
      </c>
      <c r="U204" s="1091">
        <f t="shared" si="145"/>
        <v>0.57294871720535201</v>
      </c>
      <c r="V204" s="1494">
        <f t="shared" si="136"/>
        <v>47969.765050047426</v>
      </c>
      <c r="W204" s="1491">
        <f t="shared" si="137"/>
        <v>0.29909731802877026</v>
      </c>
      <c r="X204" s="527">
        <f t="shared" si="146"/>
        <v>19149.655921324491</v>
      </c>
      <c r="Y204" s="1509">
        <f t="shared" si="147"/>
        <v>6063.9722217515518</v>
      </c>
      <c r="Z204" s="1531">
        <f t="shared" si="148"/>
        <v>3624.8360532382567</v>
      </c>
      <c r="AA204" s="1531">
        <f t="shared" si="149"/>
        <v>0</v>
      </c>
      <c r="AB204" s="1531">
        <f t="shared" si="150"/>
        <v>19131.300853733122</v>
      </c>
      <c r="AC204" s="1531">
        <f t="shared" si="151"/>
        <v>47969.765050047426</v>
      </c>
      <c r="AD204" s="1487">
        <f t="shared" si="152"/>
        <v>0</v>
      </c>
      <c r="AE204" s="1454">
        <f t="shared" si="153"/>
        <v>0.39920262067878437</v>
      </c>
      <c r="AF204" s="1504">
        <f t="shared" si="154"/>
        <v>0.12641238112016887</v>
      </c>
      <c r="AG204" s="1504">
        <f t="shared" si="155"/>
        <v>7.5565015785597905E-2</v>
      </c>
      <c r="AH204" s="1504">
        <f t="shared" si="167"/>
        <v>0</v>
      </c>
      <c r="AI204" s="1504">
        <f t="shared" si="156"/>
        <v>0.39881998241544875</v>
      </c>
      <c r="AJ204" s="1541">
        <f t="shared" si="157"/>
        <v>1</v>
      </c>
      <c r="AK204" s="1555">
        <f t="shared" si="158"/>
        <v>3892.0403707053738</v>
      </c>
      <c r="AL204" s="1556">
        <f t="shared" si="159"/>
        <v>14490.157657219035</v>
      </c>
      <c r="AM204" s="1556">
        <f t="shared" si="160"/>
        <v>767.45789340007877</v>
      </c>
      <c r="AN204" s="1498">
        <f t="shared" si="161"/>
        <v>19149.655921324487</v>
      </c>
      <c r="AO204" s="1184">
        <f t="shared" si="162"/>
        <v>0</v>
      </c>
    </row>
    <row r="205" spans="1:41">
      <c r="A205" s="127">
        <f>'Input data'!A145</f>
        <v>2045</v>
      </c>
      <c r="B205" s="1551">
        <f>'Input data'!B145</f>
        <v>73.645872502840064</v>
      </c>
      <c r="C205" s="1550">
        <f>'Input data'!C145</f>
        <v>5434.6458323535726</v>
      </c>
      <c r="D205" s="1509">
        <f>'Input data'!E145</f>
        <v>3919106.8527343827</v>
      </c>
      <c r="E205" s="1508">
        <f>'Input data'!J145*C205</f>
        <v>65384.471974616165</v>
      </c>
      <c r="F205" s="1509">
        <f>'Input data'!L145</f>
        <v>69303.578827350546</v>
      </c>
      <c r="G205" s="1509">
        <f t="shared" si="172"/>
        <v>18107.444808958157</v>
      </c>
      <c r="H205" s="1509">
        <f t="shared" si="135"/>
        <v>23088.525419118669</v>
      </c>
      <c r="I205" s="1511">
        <f t="shared" si="138"/>
        <v>3919.1068527343828</v>
      </c>
      <c r="J205" s="1504">
        <f t="shared" si="170"/>
        <v>0.2</v>
      </c>
      <c r="K205" s="1512">
        <f t="shared" si="164"/>
        <v>542.60920644825637</v>
      </c>
      <c r="L205" s="1512">
        <f t="shared" si="140"/>
        <v>0</v>
      </c>
      <c r="M205" s="530">
        <f t="shared" si="165"/>
        <v>542.60920644825637</v>
      </c>
      <c r="N205" s="649">
        <f t="shared" si="169"/>
        <v>0.5</v>
      </c>
      <c r="O205" s="530">
        <f t="shared" si="141"/>
        <v>751.91700000000026</v>
      </c>
      <c r="P205" s="1481">
        <f t="shared" si="168"/>
        <v>1294.5262064482567</v>
      </c>
      <c r="Q205" s="1364">
        <f t="shared" si="142"/>
        <v>39901.444021628566</v>
      </c>
      <c r="R205" s="1364">
        <f t="shared" si="166"/>
        <v>21793.999212670409</v>
      </c>
      <c r="S205" s="576">
        <f t="shared" si="143"/>
        <v>0.59277335676205611</v>
      </c>
      <c r="T205" s="135" t="str">
        <f t="shared" si="144"/>
        <v>Yes</v>
      </c>
      <c r="U205" s="1091">
        <f t="shared" si="145"/>
        <v>0.59277335676205611</v>
      </c>
      <c r="V205" s="1494">
        <f t="shared" si="136"/>
        <v>47509.579614680144</v>
      </c>
      <c r="W205" s="1491">
        <f t="shared" si="137"/>
        <v>0.31447148302346306</v>
      </c>
      <c r="X205" s="527">
        <f t="shared" si="146"/>
        <v>18107.444808958157</v>
      </c>
      <c r="Y205" s="1509">
        <f t="shared" si="147"/>
        <v>6019.6883500171662</v>
      </c>
      <c r="Z205" s="1531">
        <f t="shared" si="148"/>
        <v>3706.6083970608752</v>
      </c>
      <c r="AA205" s="1531">
        <f t="shared" si="149"/>
        <v>0</v>
      </c>
      <c r="AB205" s="1531">
        <f t="shared" si="150"/>
        <v>19675.838058643949</v>
      </c>
      <c r="AC205" s="1531">
        <f t="shared" si="151"/>
        <v>47509.579614680144</v>
      </c>
      <c r="AD205" s="1487">
        <f t="shared" si="152"/>
        <v>0</v>
      </c>
      <c r="AE205" s="1454">
        <f t="shared" si="153"/>
        <v>0.38113249908368113</v>
      </c>
      <c r="AF205" s="1504">
        <f t="shared" si="154"/>
        <v>0.12670472773783759</v>
      </c>
      <c r="AG205" s="1504">
        <f t="shared" si="155"/>
        <v>7.8018126599368132E-2</v>
      </c>
      <c r="AH205" s="1504">
        <f t="shared" si="167"/>
        <v>0</v>
      </c>
      <c r="AI205" s="1504">
        <f t="shared" si="156"/>
        <v>0.41414464657911321</v>
      </c>
      <c r="AJ205" s="1541">
        <f t="shared" si="157"/>
        <v>1</v>
      </c>
      <c r="AK205" s="1555">
        <f t="shared" si="158"/>
        <v>3135.2854821875062</v>
      </c>
      <c r="AL205" s="1556">
        <f t="shared" si="159"/>
        <v>14210.782828098705</v>
      </c>
      <c r="AM205" s="1556">
        <f t="shared" si="160"/>
        <v>761.37649867194079</v>
      </c>
      <c r="AN205" s="1498">
        <f t="shared" si="161"/>
        <v>18107.444808958149</v>
      </c>
      <c r="AO205" s="1184">
        <f t="shared" si="162"/>
        <v>0</v>
      </c>
    </row>
    <row r="206" spans="1:41">
      <c r="A206" s="127">
        <f>'Input data'!A146</f>
        <v>2046</v>
      </c>
      <c r="B206" s="1551">
        <f>'Input data'!B146</f>
        <v>74.049234192071822</v>
      </c>
      <c r="C206" s="1550">
        <f>'Input data'!C146</f>
        <v>5588.9785645796028</v>
      </c>
      <c r="D206" s="1509">
        <f>'Input data'!E146</f>
        <v>3263474.9196310313</v>
      </c>
      <c r="E206" s="1508">
        <f>'Input data'!J146*C206</f>
        <v>67241.256117738274</v>
      </c>
      <c r="F206" s="1509">
        <f>'Input data'!L146</f>
        <v>70504.731037369304</v>
      </c>
      <c r="G206" s="1509">
        <f t="shared" si="172"/>
        <v>17121.955551397077</v>
      </c>
      <c r="H206" s="1509">
        <f t="shared" si="135"/>
        <v>24524.17136755251</v>
      </c>
      <c r="I206" s="1511">
        <f t="shared" si="138"/>
        <v>3263.4749196310313</v>
      </c>
      <c r="J206" s="1504">
        <f t="shared" si="170"/>
        <v>0.2</v>
      </c>
      <c r="K206" s="1512">
        <f t="shared" si="164"/>
        <v>451.83548266087473</v>
      </c>
      <c r="L206" s="1512">
        <f t="shared" si="140"/>
        <v>0</v>
      </c>
      <c r="M206" s="530">
        <f t="shared" si="165"/>
        <v>451.83548266087473</v>
      </c>
      <c r="N206" s="649">
        <f t="shared" si="169"/>
        <v>0.5</v>
      </c>
      <c r="O206" s="530">
        <f t="shared" si="141"/>
        <v>751.91700000000026</v>
      </c>
      <c r="P206" s="1481">
        <f t="shared" si="168"/>
        <v>1203.7524826608751</v>
      </c>
      <c r="Q206" s="1364">
        <f t="shared" si="142"/>
        <v>40442.374436288708</v>
      </c>
      <c r="R206" s="1364">
        <f t="shared" si="166"/>
        <v>23320.418884891631</v>
      </c>
      <c r="S206" s="576">
        <f t="shared" si="143"/>
        <v>0.61642706824137983</v>
      </c>
      <c r="T206" s="135" t="str">
        <f t="shared" si="144"/>
        <v>Yes</v>
      </c>
      <c r="U206" s="1091">
        <f t="shared" si="145"/>
        <v>0.61642706824137983</v>
      </c>
      <c r="V206" s="1494">
        <f t="shared" si="136"/>
        <v>47184.31215247768</v>
      </c>
      <c r="W206" s="1491">
        <f t="shared" si="137"/>
        <v>0.33076388693024317</v>
      </c>
      <c r="X206" s="527">
        <f t="shared" si="146"/>
        <v>17121.955551397077</v>
      </c>
      <c r="Y206" s="1509">
        <f t="shared" si="147"/>
        <v>6037.2497861986949</v>
      </c>
      <c r="Z206" s="1531">
        <f t="shared" si="148"/>
        <v>3790.5155384385994</v>
      </c>
      <c r="AA206" s="1531">
        <f t="shared" si="149"/>
        <v>0</v>
      </c>
      <c r="AB206" s="1531">
        <f t="shared" si="150"/>
        <v>20234.591276443305</v>
      </c>
      <c r="AC206" s="1531">
        <f t="shared" si="151"/>
        <v>47184.31215247768</v>
      </c>
      <c r="AD206" s="1487">
        <f t="shared" si="152"/>
        <v>0</v>
      </c>
      <c r="AE206" s="649">
        <f t="shared" si="153"/>
        <v>0.36287390385318974</v>
      </c>
      <c r="AF206" s="417">
        <f t="shared" si="154"/>
        <v>0.12795036127026968</v>
      </c>
      <c r="AG206" s="417">
        <f t="shared" si="155"/>
        <v>8.0334233255100168E-2</v>
      </c>
      <c r="AH206" s="417">
        <f t="shared" si="167"/>
        <v>0</v>
      </c>
      <c r="AI206" s="417">
        <f t="shared" si="156"/>
        <v>0.42884150162144036</v>
      </c>
      <c r="AJ206" s="525">
        <f t="shared" si="157"/>
        <v>1</v>
      </c>
      <c r="AK206" s="1497">
        <f t="shared" si="158"/>
        <v>2610.7799357048248</v>
      </c>
      <c r="AL206" s="1498">
        <f t="shared" si="159"/>
        <v>13765.467551078713</v>
      </c>
      <c r="AM206" s="1498">
        <f t="shared" si="160"/>
        <v>745.70806461354016</v>
      </c>
      <c r="AN206" s="1498">
        <f t="shared" si="161"/>
        <v>17121.955551397077</v>
      </c>
      <c r="AO206" s="1184">
        <f t="shared" si="162"/>
        <v>0</v>
      </c>
    </row>
    <row r="207" spans="1:41">
      <c r="A207" s="127">
        <f>'Input data'!A147</f>
        <v>2047</v>
      </c>
      <c r="B207" s="1551">
        <f>'Input data'!B147</f>
        <v>74.438425238522782</v>
      </c>
      <c r="C207" s="1550">
        <f>'Input data'!C147</f>
        <v>5683.8226319462565</v>
      </c>
      <c r="D207" s="1509">
        <f>'Input data'!E147</f>
        <v>2607842.98652768</v>
      </c>
      <c r="E207" s="1508">
        <f>'Input data'!J147*C207</f>
        <v>68382.329419659043</v>
      </c>
      <c r="F207" s="1509">
        <f>'Input data'!L147</f>
        <v>70990.172406186728</v>
      </c>
      <c r="G207" s="1509">
        <f t="shared" si="172"/>
        <v>16190.101088088571</v>
      </c>
      <c r="H207" s="1509">
        <f t="shared" si="135"/>
        <v>25495.502545377727</v>
      </c>
      <c r="I207" s="1511">
        <f t="shared" si="138"/>
        <v>2607.8429865276798</v>
      </c>
      <c r="J207" s="1504">
        <f t="shared" si="170"/>
        <v>0.2</v>
      </c>
      <c r="K207" s="1512">
        <f t="shared" si="164"/>
        <v>361.06175887349292</v>
      </c>
      <c r="L207" s="1512">
        <f t="shared" si="140"/>
        <v>0</v>
      </c>
      <c r="M207" s="530">
        <f t="shared" si="165"/>
        <v>361.06175887349292</v>
      </c>
      <c r="N207" s="649">
        <f t="shared" si="169"/>
        <v>0.5</v>
      </c>
      <c r="O207" s="530">
        <f t="shared" si="141"/>
        <v>751.91700000000026</v>
      </c>
      <c r="P207" s="1481">
        <f t="shared" si="168"/>
        <v>1112.9787588734932</v>
      </c>
      <c r="Q207" s="1364">
        <f t="shared" si="142"/>
        <v>40572.62487459281</v>
      </c>
      <c r="R207" s="1364">
        <f t="shared" si="166"/>
        <v>24382.523786504236</v>
      </c>
      <c r="S207" s="576">
        <f t="shared" si="143"/>
        <v>0.63353691578972804</v>
      </c>
      <c r="T207" s="135" t="str">
        <f t="shared" si="144"/>
        <v>Yes</v>
      </c>
      <c r="U207" s="1091">
        <f t="shared" si="145"/>
        <v>0.63353691578972804</v>
      </c>
      <c r="V207" s="1494">
        <f t="shared" si="136"/>
        <v>46607.648619682499</v>
      </c>
      <c r="W207" s="1491">
        <f t="shared" si="137"/>
        <v>0.34346336908430042</v>
      </c>
      <c r="X207" s="527">
        <f t="shared" si="146"/>
        <v>16190.101088088575</v>
      </c>
      <c r="Y207" s="1509">
        <f t="shared" si="147"/>
        <v>5997.4984285757591</v>
      </c>
      <c r="Z207" s="1531">
        <f t="shared" si="148"/>
        <v>3842.0800669387309</v>
      </c>
      <c r="AA207" s="1531">
        <f t="shared" si="149"/>
        <v>0</v>
      </c>
      <c r="AB207" s="1531">
        <f t="shared" si="150"/>
        <v>20577.969036079438</v>
      </c>
      <c r="AC207" s="1531">
        <f t="shared" si="151"/>
        <v>46607.648619682499</v>
      </c>
      <c r="AD207" s="1487">
        <f t="shared" si="152"/>
        <v>0</v>
      </c>
      <c r="AE207" s="649">
        <f t="shared" si="153"/>
        <v>0.34737004692511919</v>
      </c>
      <c r="AF207" s="417">
        <f t="shared" si="154"/>
        <v>0.12868056222950075</v>
      </c>
      <c r="AG207" s="417">
        <f t="shared" si="155"/>
        <v>8.2434539838944221E-2</v>
      </c>
      <c r="AH207" s="417">
        <f t="shared" si="167"/>
        <v>0</v>
      </c>
      <c r="AI207" s="417">
        <f t="shared" si="156"/>
        <v>0.44151485100643595</v>
      </c>
      <c r="AJ207" s="525">
        <f t="shared" si="157"/>
        <v>1</v>
      </c>
      <c r="AK207" s="1497">
        <f t="shared" si="158"/>
        <v>2086.2743892221438</v>
      </c>
      <c r="AL207" s="1498">
        <f t="shared" si="159"/>
        <v>13374.615957037418</v>
      </c>
      <c r="AM207" s="1498">
        <f t="shared" si="160"/>
        <v>729.21074182900941</v>
      </c>
      <c r="AN207" s="1498">
        <f t="shared" si="161"/>
        <v>16190.101088088571</v>
      </c>
      <c r="AO207" s="1184">
        <f t="shared" si="162"/>
        <v>0</v>
      </c>
    </row>
    <row r="208" spans="1:41">
      <c r="A208" s="127">
        <f>'Input data'!A148</f>
        <v>2048</v>
      </c>
      <c r="B208" s="1551">
        <f>'Input data'!B148</f>
        <v>74.813195848926668</v>
      </c>
      <c r="C208" s="1550">
        <f>'Input data'!C148</f>
        <v>5769.8658364340272</v>
      </c>
      <c r="D208" s="1509">
        <f>'Input data'!E148</f>
        <v>1952211.0534243288</v>
      </c>
      <c r="E208" s="1508">
        <f>'Input data'!J148*C208</f>
        <v>69417.519138728632</v>
      </c>
      <c r="F208" s="1509">
        <f>'Input data'!L148</f>
        <v>71369.730192152958</v>
      </c>
      <c r="G208" s="1509">
        <f t="shared" si="172"/>
        <v>15308.962370313993</v>
      </c>
      <c r="H208" s="1509">
        <f t="shared" si="135"/>
        <v>26355.361223965483</v>
      </c>
      <c r="I208" s="1511">
        <f t="shared" si="138"/>
        <v>1952.2110534243288</v>
      </c>
      <c r="J208" s="1504">
        <f t="shared" si="170"/>
        <v>0.2</v>
      </c>
      <c r="K208" s="1512">
        <f t="shared" si="164"/>
        <v>270.28803508611128</v>
      </c>
      <c r="L208" s="1512">
        <f t="shared" si="140"/>
        <v>0</v>
      </c>
      <c r="M208" s="530">
        <f t="shared" si="165"/>
        <v>270.28803508611128</v>
      </c>
      <c r="N208" s="649">
        <f t="shared" si="169"/>
        <v>0.5</v>
      </c>
      <c r="O208" s="530">
        <f t="shared" si="141"/>
        <v>751.91700000000026</v>
      </c>
      <c r="P208" s="1481">
        <f t="shared" si="168"/>
        <v>1022.2050350861116</v>
      </c>
      <c r="Q208" s="1364">
        <f t="shared" si="142"/>
        <v>40642.118559193368</v>
      </c>
      <c r="R208" s="1364">
        <f t="shared" si="166"/>
        <v>25333.156188879373</v>
      </c>
      <c r="S208" s="576">
        <f t="shared" si="143"/>
        <v>0.64823258677783568</v>
      </c>
      <c r="T208" s="135" t="str">
        <f t="shared" si="144"/>
        <v>Yes</v>
      </c>
      <c r="U208" s="1091">
        <f t="shared" si="145"/>
        <v>0.64823258677783568</v>
      </c>
      <c r="V208" s="1494">
        <f t="shared" si="136"/>
        <v>46036.574003273599</v>
      </c>
      <c r="W208" s="1491">
        <f t="shared" si="137"/>
        <v>0.35495659183064587</v>
      </c>
      <c r="X208" s="527">
        <f t="shared" si="146"/>
        <v>15308.962370313995</v>
      </c>
      <c r="Y208" s="1509">
        <f t="shared" si="147"/>
        <v>5949.2681104538569</v>
      </c>
      <c r="Z208" s="1531">
        <f t="shared" si="148"/>
        <v>3888.8597695942517</v>
      </c>
      <c r="AA208" s="1531">
        <f t="shared" si="149"/>
        <v>0</v>
      </c>
      <c r="AB208" s="1531">
        <f t="shared" si="150"/>
        <v>20889.483752911496</v>
      </c>
      <c r="AC208" s="1531">
        <f t="shared" si="151"/>
        <v>46036.574003273599</v>
      </c>
      <c r="AD208" s="1487">
        <f t="shared" si="152"/>
        <v>0</v>
      </c>
      <c r="AE208" s="649">
        <f t="shared" si="153"/>
        <v>0.33253913223919301</v>
      </c>
      <c r="AF208" s="417">
        <f t="shared" si="154"/>
        <v>0.12922916701036033</v>
      </c>
      <c r="AG208" s="417">
        <f t="shared" si="155"/>
        <v>8.447326617566546E-2</v>
      </c>
      <c r="AH208" s="417">
        <f t="shared" si="167"/>
        <v>0</v>
      </c>
      <c r="AI208" s="417">
        <f t="shared" si="156"/>
        <v>0.45375843457478116</v>
      </c>
      <c r="AJ208" s="525">
        <f t="shared" si="157"/>
        <v>0.99999999999999989</v>
      </c>
      <c r="AK208" s="1497">
        <f t="shared" si="158"/>
        <v>1561.768842739463</v>
      </c>
      <c r="AL208" s="1498">
        <f t="shared" si="159"/>
        <v>13032.624758931597</v>
      </c>
      <c r="AM208" s="1498">
        <f t="shared" si="160"/>
        <v>714.56876864293201</v>
      </c>
      <c r="AN208" s="1498">
        <f t="shared" si="161"/>
        <v>15308.962370313991</v>
      </c>
      <c r="AO208" s="1184">
        <f t="shared" si="162"/>
        <v>0</v>
      </c>
    </row>
    <row r="209" spans="1:41">
      <c r="A209" s="127">
        <f>'Input data'!A149</f>
        <v>2049</v>
      </c>
      <c r="B209" s="1551">
        <f>'Input data'!B149</f>
        <v>75.173102421925719</v>
      </c>
      <c r="C209" s="1550">
        <f>'Input data'!C149</f>
        <v>5861.5540552090788</v>
      </c>
      <c r="D209" s="1509">
        <f>'Input data'!E149</f>
        <v>1296579.1203209779</v>
      </c>
      <c r="E209" s="1508">
        <f>'Input data'!J149*C209</f>
        <v>70520.624282252509</v>
      </c>
      <c r="F209" s="1509">
        <f>'Input data'!L149</f>
        <v>71817.20340257349</v>
      </c>
      <c r="G209" s="1509">
        <f t="shared" si="172"/>
        <v>14475.779217222871</v>
      </c>
      <c r="H209" s="1509">
        <f t="shared" si="135"/>
        <v>27206.234691961778</v>
      </c>
      <c r="I209" s="1511">
        <f t="shared" si="138"/>
        <v>1296.5791203209778</v>
      </c>
      <c r="J209" s="1504">
        <f t="shared" si="170"/>
        <v>0.2</v>
      </c>
      <c r="K209" s="1512">
        <f t="shared" si="164"/>
        <v>179.51431129872952</v>
      </c>
      <c r="L209" s="1512">
        <f t="shared" si="140"/>
        <v>0</v>
      </c>
      <c r="M209" s="530">
        <f t="shared" si="165"/>
        <v>179.51431129872952</v>
      </c>
      <c r="N209" s="649">
        <f t="shared" si="169"/>
        <v>0.5</v>
      </c>
      <c r="O209" s="530">
        <f t="shared" si="141"/>
        <v>751.91700000000026</v>
      </c>
      <c r="P209" s="1481">
        <f t="shared" si="168"/>
        <v>931.43131129872972</v>
      </c>
      <c r="Q209" s="1364">
        <f t="shared" si="142"/>
        <v>40750.582597885921</v>
      </c>
      <c r="R209" s="1364">
        <f t="shared" si="166"/>
        <v>26274.803380663048</v>
      </c>
      <c r="S209" s="576">
        <f t="shared" si="143"/>
        <v>0.66161186832814523</v>
      </c>
      <c r="T209" s="135" t="str">
        <f t="shared" si="144"/>
        <v>Yes</v>
      </c>
      <c r="U209" s="1091">
        <f t="shared" si="145"/>
        <v>0.66161186832814523</v>
      </c>
      <c r="V209" s="1494">
        <f t="shared" si="136"/>
        <v>45542.400021910449</v>
      </c>
      <c r="W209" s="1491">
        <f t="shared" si="137"/>
        <v>0.36585667689368018</v>
      </c>
      <c r="X209" s="527">
        <f t="shared" si="146"/>
        <v>14475.779217222876</v>
      </c>
      <c r="Y209" s="1509">
        <f t="shared" si="147"/>
        <v>5906.4763332814782</v>
      </c>
      <c r="Z209" s="1531">
        <f t="shared" si="148"/>
        <v>3938.7085361162012</v>
      </c>
      <c r="AA209" s="1531">
        <f t="shared" si="149"/>
        <v>0</v>
      </c>
      <c r="AB209" s="1531">
        <f t="shared" si="150"/>
        <v>21221.435935289894</v>
      </c>
      <c r="AC209" s="1531">
        <f t="shared" si="151"/>
        <v>45542.400021910449</v>
      </c>
      <c r="AD209" s="1487">
        <f t="shared" si="152"/>
        <v>0</v>
      </c>
      <c r="AE209" s="649">
        <f t="shared" si="153"/>
        <v>0.31785279674014938</v>
      </c>
      <c r="AF209" s="417">
        <f t="shared" si="154"/>
        <v>0.12969181093749721</v>
      </c>
      <c r="AG209" s="417">
        <f t="shared" si="155"/>
        <v>8.6484430645317079E-2</v>
      </c>
      <c r="AH209" s="417">
        <f t="shared" si="167"/>
        <v>0</v>
      </c>
      <c r="AI209" s="417">
        <f t="shared" si="156"/>
        <v>0.46597096167703633</v>
      </c>
      <c r="AJ209" s="525">
        <f t="shared" si="157"/>
        <v>1</v>
      </c>
      <c r="AK209" s="1497">
        <f t="shared" si="158"/>
        <v>1037.2632962567823</v>
      </c>
      <c r="AL209" s="1498">
        <f t="shared" si="159"/>
        <v>12736.158877109865</v>
      </c>
      <c r="AM209" s="1498">
        <f t="shared" si="160"/>
        <v>702.35704385622523</v>
      </c>
      <c r="AN209" s="1498">
        <f t="shared" si="161"/>
        <v>14475.779217222873</v>
      </c>
      <c r="AO209" s="1184">
        <f t="shared" si="162"/>
        <v>0</v>
      </c>
    </row>
    <row r="210" spans="1:41" ht="15.75" thickBot="1">
      <c r="A210" s="172">
        <f>'Input data'!A150</f>
        <v>2050</v>
      </c>
      <c r="B210" s="664">
        <f>'Input data'!B150</f>
        <v>75.517908954390194</v>
      </c>
      <c r="C210" s="239">
        <f>'Input data'!C150</f>
        <v>5947.0928685667695</v>
      </c>
      <c r="D210" s="667">
        <f>'Input data'!E150</f>
        <v>640947.1872176266</v>
      </c>
      <c r="E210" s="670">
        <f>'Input data'!J150*C210</f>
        <v>71549.745648622338</v>
      </c>
      <c r="F210" s="667">
        <f>'Input data'!L150</f>
        <v>72190.69283583996</v>
      </c>
      <c r="G210" s="667">
        <f>G177*(1-$C$6)</f>
        <v>13687.941669523079</v>
      </c>
      <c r="H210" s="667">
        <f t="shared" si="135"/>
        <v>27969.310136490534</v>
      </c>
      <c r="I210" s="659">
        <f t="shared" si="138"/>
        <v>640.94718721762661</v>
      </c>
      <c r="J210" s="651">
        <f t="shared" si="170"/>
        <v>0.2</v>
      </c>
      <c r="K210" s="667">
        <f t="shared" si="164"/>
        <v>88.740587511347826</v>
      </c>
      <c r="L210" s="667">
        <f t="shared" si="140"/>
        <v>0</v>
      </c>
      <c r="M210" s="659">
        <f t="shared" si="165"/>
        <v>88.740587511347826</v>
      </c>
      <c r="N210" s="650">
        <f t="shared" si="169"/>
        <v>0.5</v>
      </c>
      <c r="O210" s="659">
        <f t="shared" si="141"/>
        <v>751.91700000000026</v>
      </c>
      <c r="P210" s="1482">
        <f t="shared" si="168"/>
        <v>840.65758751134808</v>
      </c>
      <c r="Q210" s="1485">
        <f t="shared" si="142"/>
        <v>40816.594218502265</v>
      </c>
      <c r="R210" s="1485">
        <f t="shared" si="166"/>
        <v>27128.652548979186</v>
      </c>
      <c r="S210" s="578">
        <f t="shared" si="143"/>
        <v>0.67310347911986912</v>
      </c>
      <c r="T210" s="1105" t="str">
        <f t="shared" si="144"/>
        <v>Yes</v>
      </c>
      <c r="U210" s="1094">
        <f t="shared" si="145"/>
        <v>0.67310347911986912</v>
      </c>
      <c r="V210" s="1495">
        <f t="shared" si="136"/>
        <v>45062.040286860793</v>
      </c>
      <c r="W210" s="1492">
        <f t="shared" si="137"/>
        <v>0.3757915526682799</v>
      </c>
      <c r="X210" s="670">
        <f t="shared" si="146"/>
        <v>13687.941669523079</v>
      </c>
      <c r="Y210" s="1518">
        <f t="shared" si="147"/>
        <v>5857.7600727551971</v>
      </c>
      <c r="Z210" s="1532">
        <f t="shared" si="148"/>
        <v>3985.2140129658874</v>
      </c>
      <c r="AA210" s="1532">
        <f t="shared" si="149"/>
        <v>0</v>
      </c>
      <c r="AB210" s="1532">
        <f t="shared" si="150"/>
        <v>21531.124531616624</v>
      </c>
      <c r="AC210" s="1532">
        <f t="shared" si="151"/>
        <v>45062.040286860793</v>
      </c>
      <c r="AD210" s="1488">
        <f t="shared" si="152"/>
        <v>0</v>
      </c>
      <c r="AE210" s="650">
        <f t="shared" si="153"/>
        <v>0.30375769899425115</v>
      </c>
      <c r="AF210" s="651">
        <f t="shared" si="154"/>
        <v>0.12999322790235943</v>
      </c>
      <c r="AG210" s="651">
        <f t="shared" si="155"/>
        <v>8.8438383783698712E-2</v>
      </c>
      <c r="AH210" s="651">
        <f t="shared" si="167"/>
        <v>0</v>
      </c>
      <c r="AI210" s="651">
        <f>AB210/AC210</f>
        <v>0.47781068931969062</v>
      </c>
      <c r="AJ210" s="652">
        <f t="shared" si="157"/>
        <v>0.99999999999999989</v>
      </c>
      <c r="AK210" s="1499">
        <f t="shared" si="158"/>
        <v>512.75774977410128</v>
      </c>
      <c r="AL210" s="1500">
        <f t="shared" si="159"/>
        <v>12483.190264334644</v>
      </c>
      <c r="AM210" s="1500">
        <f t="shared" si="160"/>
        <v>691.99365541432974</v>
      </c>
      <c r="AN210" s="1500">
        <f t="shared" si="161"/>
        <v>13687.941669523074</v>
      </c>
      <c r="AO210" s="1185">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c r="J1" s="99"/>
      <c r="K1" s="99"/>
    </row>
    <row r="2" spans="1:11" ht="15.75" thickBot="1">
      <c r="A2" s="2" t="s">
        <v>543</v>
      </c>
      <c r="B2" s="413" t="s">
        <v>555</v>
      </c>
      <c r="J2" s="99"/>
      <c r="K2" s="99"/>
    </row>
    <row r="3" spans="1:11" ht="15.75" thickBot="1">
      <c r="A3" s="2"/>
      <c r="C3" s="679" t="s">
        <v>551</v>
      </c>
      <c r="D3" s="581" t="s">
        <v>558</v>
      </c>
      <c r="E3" s="679" t="s">
        <v>552</v>
      </c>
      <c r="F3" s="581" t="s">
        <v>558</v>
      </c>
      <c r="G3" s="679" t="s">
        <v>553</v>
      </c>
      <c r="H3" s="581" t="s">
        <v>558</v>
      </c>
      <c r="J3" s="99"/>
      <c r="K3" s="99"/>
    </row>
    <row r="4" spans="1:11">
      <c r="A4" s="1896" t="s">
        <v>556</v>
      </c>
      <c r="B4" s="1892" t="s">
        <v>557</v>
      </c>
      <c r="C4" s="579">
        <v>0.5</v>
      </c>
      <c r="D4" s="116">
        <f>2017+10</f>
        <v>2027</v>
      </c>
      <c r="E4" s="579">
        <v>0.5</v>
      </c>
      <c r="F4" s="116">
        <f>2017+5</f>
        <v>2022</v>
      </c>
      <c r="G4" s="579">
        <f>E4</f>
        <v>0.5</v>
      </c>
      <c r="H4" s="116">
        <f>F4</f>
        <v>2022</v>
      </c>
      <c r="J4" s="99"/>
      <c r="K4" s="99"/>
    </row>
    <row r="5" spans="1:11">
      <c r="A5" s="1846"/>
      <c r="B5" s="1872"/>
      <c r="C5" s="575">
        <v>0.65</v>
      </c>
      <c r="D5" s="130">
        <f>2017+20</f>
        <v>2037</v>
      </c>
      <c r="E5" s="575">
        <f t="shared" ref="E5:E6" si="0">C5</f>
        <v>0.65</v>
      </c>
      <c r="F5" s="130">
        <f>2017+10</f>
        <v>2027</v>
      </c>
      <c r="G5" s="575">
        <f t="shared" ref="G5:H6" si="1">E5</f>
        <v>0.65</v>
      </c>
      <c r="H5" s="130">
        <f t="shared" si="1"/>
        <v>2027</v>
      </c>
      <c r="J5" s="99"/>
      <c r="K5" s="99"/>
    </row>
    <row r="6" spans="1:11" ht="15.75" thickBot="1">
      <c r="A6" s="1847"/>
      <c r="B6" s="1873"/>
      <c r="C6" s="577">
        <v>0.8</v>
      </c>
      <c r="D6" s="140">
        <f>2017+30</f>
        <v>2047</v>
      </c>
      <c r="E6" s="577">
        <f t="shared" si="0"/>
        <v>0.8</v>
      </c>
      <c r="F6" s="140">
        <f>15+2017</f>
        <v>2032</v>
      </c>
      <c r="G6" s="577">
        <f t="shared" si="1"/>
        <v>0.8</v>
      </c>
      <c r="H6" s="140">
        <f t="shared" si="1"/>
        <v>2032</v>
      </c>
      <c r="J6" s="99"/>
      <c r="K6" s="99"/>
    </row>
    <row r="7" spans="1:11" ht="15.75" thickBot="1">
      <c r="A7" s="681"/>
      <c r="B7" s="681"/>
      <c r="C7" s="576"/>
      <c r="D7" s="104"/>
      <c r="E7" s="576"/>
      <c r="F7" s="104"/>
      <c r="G7" s="576"/>
      <c r="H7" s="104"/>
      <c r="J7" s="99"/>
      <c r="K7" s="99"/>
    </row>
    <row r="8" spans="1:11" ht="15.6" customHeight="1">
      <c r="A8" s="1874" t="s">
        <v>574</v>
      </c>
      <c r="B8" s="1698" t="s">
        <v>485</v>
      </c>
      <c r="C8" s="1699"/>
      <c r="D8" s="1699"/>
      <c r="E8" s="1699"/>
      <c r="F8" s="1700"/>
      <c r="G8" s="1698" t="s">
        <v>532</v>
      </c>
      <c r="H8" s="1699"/>
      <c r="I8" s="1700"/>
      <c r="J8" s="327"/>
      <c r="K8" s="99"/>
    </row>
    <row r="9" spans="1:11" ht="32.25" thickBot="1">
      <c r="A9" s="1875"/>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679" t="s">
        <v>552</v>
      </c>
      <c r="F25" s="581" t="s">
        <v>558</v>
      </c>
      <c r="G25" s="680" t="s">
        <v>553</v>
      </c>
      <c r="H25" s="581" t="s">
        <v>558</v>
      </c>
    </row>
    <row r="26" spans="1:11">
      <c r="A26" s="1846" t="s">
        <v>560</v>
      </c>
      <c r="B26" s="1872" t="s">
        <v>557</v>
      </c>
      <c r="C26" s="575">
        <v>0.25</v>
      </c>
      <c r="D26" s="104">
        <f>2017+5</f>
        <v>2022</v>
      </c>
      <c r="E26" s="1901">
        <v>0.5</v>
      </c>
      <c r="F26" s="1903">
        <f>2017+5</f>
        <v>2022</v>
      </c>
      <c r="G26" s="1870">
        <f>E26</f>
        <v>0.5</v>
      </c>
      <c r="H26" s="1903">
        <f>F26</f>
        <v>2022</v>
      </c>
    </row>
    <row r="27" spans="1:11" ht="15.75" thickBot="1">
      <c r="A27" s="1847"/>
      <c r="B27" s="1873"/>
      <c r="C27" s="577">
        <v>0.5</v>
      </c>
      <c r="D27" s="163">
        <f>2017+10</f>
        <v>2027</v>
      </c>
      <c r="E27" s="1902"/>
      <c r="F27" s="1904"/>
      <c r="G27" s="1871"/>
      <c r="H27" s="1904"/>
    </row>
    <row r="28" spans="1:11" ht="15.75" thickBot="1">
      <c r="A28" s="681"/>
      <c r="B28" s="681"/>
      <c r="C28" s="576"/>
      <c r="D28" s="104"/>
      <c r="E28" s="576"/>
      <c r="F28" s="104"/>
      <c r="G28" s="576"/>
      <c r="H28" s="104"/>
    </row>
    <row r="29" spans="1:11">
      <c r="A29" s="594"/>
      <c r="B29" s="600"/>
      <c r="C29" s="1898" t="s">
        <v>551</v>
      </c>
      <c r="D29" s="1899"/>
      <c r="E29" s="1898" t="s">
        <v>552</v>
      </c>
      <c r="F29" s="1899"/>
      <c r="G29" s="1900" t="s">
        <v>553</v>
      </c>
      <c r="H29" s="1899"/>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1" t="s">
        <v>551</v>
      </c>
      <c r="B36" s="990">
        <v>2030</v>
      </c>
      <c r="C36" s="608">
        <f>C35</f>
        <v>0</v>
      </c>
      <c r="D36" s="604">
        <f>D35</f>
        <v>0</v>
      </c>
      <c r="E36" s="604">
        <f>1-F36-G36</f>
        <v>0.7</v>
      </c>
      <c r="F36" s="604">
        <f>F35/2</f>
        <v>0.15</v>
      </c>
      <c r="G36" s="605">
        <f>G35/2</f>
        <v>0.15</v>
      </c>
      <c r="H36" t="s">
        <v>565</v>
      </c>
    </row>
    <row r="37" spans="1:24">
      <c r="A37" s="1851"/>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97" t="s">
        <v>6</v>
      </c>
      <c r="D42" s="1864"/>
      <c r="E42" s="1864"/>
      <c r="F42" s="1864"/>
      <c r="G42" s="1864"/>
      <c r="H42" s="1864"/>
      <c r="I42" s="1865"/>
      <c r="J42" s="1863" t="s">
        <v>298</v>
      </c>
      <c r="K42" s="1864"/>
      <c r="L42" s="1864"/>
      <c r="M42" s="1864"/>
      <c r="N42" s="1864"/>
      <c r="O42" s="1864"/>
      <c r="P42" s="1865"/>
      <c r="Q42" s="1848" t="s">
        <v>299</v>
      </c>
      <c r="R42" s="1848"/>
      <c r="S42" s="1848"/>
      <c r="T42" s="1848"/>
      <c r="U42" s="1848"/>
      <c r="V42" s="1848"/>
      <c r="W42" s="1849"/>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7"/>
      <c r="J56" s="334"/>
      <c r="K56" s="334"/>
      <c r="L56" s="334"/>
      <c r="M56" s="334"/>
      <c r="N56" s="334"/>
      <c r="O56" s="334"/>
      <c r="P56" s="334"/>
      <c r="Q56" s="286"/>
      <c r="R56" s="286"/>
      <c r="S56" s="286"/>
      <c r="T56" s="104"/>
      <c r="U56" s="104"/>
      <c r="V56" s="104"/>
      <c r="W56" s="620"/>
      <c r="X56" s="104"/>
      <c r="Y56" s="314"/>
      <c r="Z56" s="314"/>
      <c r="AA56" s="314"/>
    </row>
    <row r="57" spans="1:28" ht="16.5" thickBot="1">
      <c r="A57" s="337"/>
      <c r="B57" s="614" t="s">
        <v>593</v>
      </c>
      <c r="C57" s="614">
        <v>56521948</v>
      </c>
      <c r="D57" s="1348"/>
      <c r="E57" s="1348"/>
      <c r="F57" s="1348"/>
      <c r="G57" s="1348"/>
      <c r="H57" s="1348"/>
      <c r="I57" s="1348"/>
      <c r="J57" s="334"/>
      <c r="K57" s="334"/>
      <c r="L57" s="334"/>
      <c r="M57" s="334"/>
      <c r="N57" s="334"/>
      <c r="O57" s="334"/>
      <c r="P57" s="334"/>
      <c r="Q57" s="10"/>
      <c r="R57" s="10"/>
      <c r="S57" s="10"/>
      <c r="W57" s="313"/>
      <c r="Y57" s="314"/>
      <c r="Z57" s="314"/>
      <c r="AA57" s="314"/>
    </row>
    <row r="58" spans="1:28" ht="16.5" thickBot="1">
      <c r="A58" s="1305" t="s">
        <v>749</v>
      </c>
      <c r="B58" s="1305" t="s">
        <v>327</v>
      </c>
      <c r="C58" s="1306" t="s">
        <v>221</v>
      </c>
      <c r="D58" s="1307" t="s">
        <v>85</v>
      </c>
      <c r="E58" s="1307" t="s">
        <v>375</v>
      </c>
      <c r="F58" s="1307" t="s">
        <v>222</v>
      </c>
      <c r="G58" s="1307" t="s">
        <v>115</v>
      </c>
      <c r="H58" s="1307" t="s">
        <v>223</v>
      </c>
      <c r="I58" s="1307" t="s">
        <v>328</v>
      </c>
      <c r="J58" s="1307" t="s">
        <v>329</v>
      </c>
      <c r="K58" s="1307" t="s">
        <v>330</v>
      </c>
      <c r="L58" s="1307" t="s">
        <v>331</v>
      </c>
      <c r="M58" s="1307" t="s">
        <v>332</v>
      </c>
      <c r="N58" s="1328" t="s">
        <v>225</v>
      </c>
      <c r="O58" s="613"/>
      <c r="P58" s="613"/>
      <c r="Q58" s="10"/>
      <c r="R58" s="10"/>
      <c r="S58" s="10"/>
      <c r="W58" s="313"/>
      <c r="X58" s="315"/>
      <c r="Y58" s="313"/>
      <c r="Z58" s="313"/>
      <c r="AA58" s="313"/>
    </row>
    <row r="59" spans="1:28">
      <c r="A59" s="1308"/>
      <c r="B59" s="1308" t="s">
        <v>333</v>
      </c>
      <c r="C59" s="1309">
        <f>'Input data'!C13</f>
        <v>1233791.4119790548</v>
      </c>
      <c r="D59" s="1310">
        <f>'Input data'!D13</f>
        <v>1138884.3802883581</v>
      </c>
      <c r="E59" s="1310">
        <f>'Input data'!E13</f>
        <v>378326.54427023319</v>
      </c>
      <c r="F59" s="1310">
        <f>'Input data'!F13</f>
        <v>0</v>
      </c>
      <c r="G59" s="1310">
        <f>'Input data'!G13</f>
        <v>0</v>
      </c>
      <c r="H59" s="1310">
        <f>'Input data'!H13</f>
        <v>0</v>
      </c>
      <c r="I59" s="1310">
        <f>'Input data'!I13</f>
        <v>0</v>
      </c>
      <c r="J59" s="1310">
        <f>'Input data'!J13</f>
        <v>381000</v>
      </c>
      <c r="K59" s="1310">
        <f>'Input data'!K13</f>
        <v>338388.97868490184</v>
      </c>
      <c r="L59" s="1310">
        <f>'Input data'!L13</f>
        <v>297470.77450579114</v>
      </c>
      <c r="M59" s="1310">
        <f>'Input data'!M13</f>
        <v>0</v>
      </c>
      <c r="N59" s="1329">
        <f>'Input data'!N13</f>
        <v>3767862.0897283391</v>
      </c>
      <c r="O59" s="614"/>
      <c r="P59" s="614"/>
      <c r="Q59" s="342"/>
      <c r="R59" s="10"/>
      <c r="S59" s="10"/>
      <c r="W59" s="314"/>
      <c r="Y59" s="314"/>
      <c r="Z59" s="314"/>
      <c r="AA59" s="314"/>
    </row>
    <row r="60" spans="1:28" ht="15.75">
      <c r="A60" s="1311" t="s">
        <v>334</v>
      </c>
      <c r="B60" s="1308" t="s">
        <v>335</v>
      </c>
      <c r="C60" s="1312">
        <f>'Input data'!C14</f>
        <v>964286</v>
      </c>
      <c r="D60" s="1349">
        <f>'Input data'!D14</f>
        <v>964286</v>
      </c>
      <c r="E60" s="1349">
        <f>'Input data'!E14</f>
        <v>0</v>
      </c>
      <c r="F60" s="1349">
        <f>'Input data'!F14</f>
        <v>0</v>
      </c>
      <c r="G60" s="1349">
        <f>'Input data'!G14</f>
        <v>0</v>
      </c>
      <c r="H60" s="1349">
        <f>'Input data'!H14</f>
        <v>0</v>
      </c>
      <c r="I60" s="1349">
        <f>'Input data'!I14</f>
        <v>2892858</v>
      </c>
      <c r="J60" s="1349">
        <f>'Input data'!J14</f>
        <v>0</v>
      </c>
      <c r="K60" s="1349">
        <f>'Input data'!K14</f>
        <v>0</v>
      </c>
      <c r="L60" s="1349">
        <f>'Input data'!L14</f>
        <v>0</v>
      </c>
      <c r="M60" s="1349">
        <f>'Input data'!M14</f>
        <v>0</v>
      </c>
      <c r="N60" s="1324">
        <f>'Input data'!N14</f>
        <v>4821430</v>
      </c>
      <c r="O60" s="614"/>
      <c r="P60" s="614"/>
      <c r="Q60" s="10"/>
      <c r="R60" s="10"/>
      <c r="S60" s="10"/>
      <c r="W60" s="313"/>
      <c r="Y60" s="314"/>
      <c r="Z60" s="314"/>
      <c r="AA60" s="314"/>
    </row>
    <row r="61" spans="1:28" ht="15.75">
      <c r="A61" s="1311" t="s">
        <v>336</v>
      </c>
      <c r="B61" s="1308" t="s">
        <v>337</v>
      </c>
      <c r="C61" s="1312">
        <f>'Input data'!C15</f>
        <v>72176.800000000003</v>
      </c>
      <c r="D61" s="1349">
        <f>'Input data'!D15</f>
        <v>72176.800000000003</v>
      </c>
      <c r="E61" s="1349">
        <f>'Input data'!E15</f>
        <v>0</v>
      </c>
      <c r="F61" s="1349">
        <f>'Input data'!F15</f>
        <v>0</v>
      </c>
      <c r="G61" s="1349">
        <f>'Input data'!G15</f>
        <v>0</v>
      </c>
      <c r="H61" s="1349">
        <f>'Input data'!H15</f>
        <v>0</v>
      </c>
      <c r="I61" s="1349">
        <f>'Input data'!I15</f>
        <v>216530.4</v>
      </c>
      <c r="J61" s="1349">
        <f>'Input data'!J15</f>
        <v>0</v>
      </c>
      <c r="K61" s="1349">
        <f>'Input data'!K15</f>
        <v>0</v>
      </c>
      <c r="L61" s="1349">
        <f>'Input data'!L15</f>
        <v>0</v>
      </c>
      <c r="M61" s="1349">
        <f>'Input data'!M15</f>
        <v>0</v>
      </c>
      <c r="N61" s="1324">
        <f>'Input data'!N15</f>
        <v>360884</v>
      </c>
      <c r="O61" s="614"/>
      <c r="P61" s="614"/>
      <c r="Q61" s="10"/>
      <c r="R61" s="10"/>
      <c r="S61" s="10"/>
      <c r="W61" s="313"/>
      <c r="Y61" s="314"/>
      <c r="Z61" s="314"/>
      <c r="AA61" s="313"/>
    </row>
    <row r="62" spans="1:28" ht="15.75">
      <c r="A62" s="1311" t="s">
        <v>338</v>
      </c>
      <c r="B62" s="1308" t="s">
        <v>339</v>
      </c>
      <c r="C62" s="1312">
        <f>'Input data'!C16</f>
        <v>0</v>
      </c>
      <c r="D62" s="1349">
        <f>'Input data'!D16</f>
        <v>0</v>
      </c>
      <c r="E62" s="1349">
        <f>'Input data'!E16</f>
        <v>520349.97572976683</v>
      </c>
      <c r="F62" s="1349">
        <f>'Input data'!F16</f>
        <v>0</v>
      </c>
      <c r="G62" s="1349">
        <f>'Input data'!G16</f>
        <v>0</v>
      </c>
      <c r="H62" s="1349">
        <f>'Input data'!H16</f>
        <v>0</v>
      </c>
      <c r="I62" s="1349">
        <f>'Input data'!I16</f>
        <v>0</v>
      </c>
      <c r="J62" s="1349">
        <f>'Input data'!J16</f>
        <v>237880.00199999998</v>
      </c>
      <c r="K62" s="1349">
        <f>'Input data'!K16</f>
        <v>465419.88531509798</v>
      </c>
      <c r="L62" s="1349">
        <f>'Input data'!L16</f>
        <v>409141.02549420868</v>
      </c>
      <c r="M62" s="1349">
        <f>'Input data'!M16</f>
        <v>123895.58799999999</v>
      </c>
      <c r="N62" s="1324">
        <f>'Input data'!N16</f>
        <v>1756686.4765390735</v>
      </c>
      <c r="O62" s="614"/>
      <c r="P62" s="614"/>
      <c r="Q62" s="10"/>
      <c r="R62" s="10"/>
      <c r="S62" s="10"/>
      <c r="W62" s="312"/>
      <c r="Y62" s="312"/>
      <c r="Z62" s="312"/>
      <c r="AA62" s="312"/>
      <c r="AB62" s="312"/>
    </row>
    <row r="63" spans="1:28" ht="15.75">
      <c r="A63" s="1311" t="s">
        <v>338</v>
      </c>
      <c r="B63" s="1308" t="s">
        <v>340</v>
      </c>
      <c r="C63" s="1312">
        <f>'Input data'!C17</f>
        <v>0</v>
      </c>
      <c r="D63" s="1349">
        <f>'Input data'!D17</f>
        <v>0</v>
      </c>
      <c r="E63" s="1349">
        <f>'Input data'!E17</f>
        <v>1241029.48</v>
      </c>
      <c r="F63" s="1349">
        <f>'Input data'!F17</f>
        <v>0</v>
      </c>
      <c r="G63" s="1349">
        <f>'Input data'!G17</f>
        <v>0</v>
      </c>
      <c r="H63" s="1349">
        <f>'Input data'!H17</f>
        <v>0</v>
      </c>
      <c r="I63" s="1349">
        <f>'Input data'!I17</f>
        <v>0</v>
      </c>
      <c r="J63" s="1349">
        <f>'Input data'!J17</f>
        <v>480373.99800000002</v>
      </c>
      <c r="K63" s="1349">
        <f>'Input data'!K17</f>
        <v>1987194.1360000002</v>
      </c>
      <c r="L63" s="1349">
        <f>'Input data'!L17</f>
        <v>2826447.2</v>
      </c>
      <c r="M63" s="1349">
        <f>'Input data'!M17</f>
        <v>38271.412000000004</v>
      </c>
      <c r="N63" s="1324">
        <f>'Input data'!N17</f>
        <v>6573316.2259999998</v>
      </c>
      <c r="O63" s="614"/>
      <c r="P63" s="614"/>
      <c r="Q63" s="10"/>
      <c r="R63" s="10"/>
      <c r="S63" s="10"/>
      <c r="W63" s="312"/>
      <c r="Y63" s="312"/>
      <c r="Z63" s="312"/>
      <c r="AA63" s="312"/>
      <c r="AB63" s="312"/>
    </row>
    <row r="64" spans="1:28" ht="15.75">
      <c r="A64" s="1311" t="s">
        <v>341</v>
      </c>
      <c r="B64" s="1308" t="s">
        <v>342</v>
      </c>
      <c r="C64" s="1312">
        <f>'Input data'!C18</f>
        <v>2500000</v>
      </c>
      <c r="D64" s="1349">
        <f>'Input data'!D18</f>
        <v>4200000</v>
      </c>
      <c r="E64" s="1349">
        <f>'Input data'!E18</f>
        <v>0</v>
      </c>
      <c r="F64" s="1349">
        <f>'Input data'!F18</f>
        <v>0</v>
      </c>
      <c r="G64" s="1349">
        <f>'Input data'!G18</f>
        <v>0</v>
      </c>
      <c r="H64" s="1349">
        <f>'Input data'!H18</f>
        <v>0</v>
      </c>
      <c r="I64" s="1349">
        <f>'Input data'!I18</f>
        <v>0</v>
      </c>
      <c r="J64" s="1349">
        <f>'Input data'!J18</f>
        <v>0</v>
      </c>
      <c r="K64" s="1349">
        <f>'Input data'!K18</f>
        <v>0</v>
      </c>
      <c r="L64" s="1349">
        <f>'Input data'!L18</f>
        <v>0</v>
      </c>
      <c r="M64" s="1349">
        <f>'Input data'!M18</f>
        <v>0</v>
      </c>
      <c r="N64" s="1324">
        <f>'Input data'!N18</f>
        <v>6700000</v>
      </c>
      <c r="O64" s="614"/>
      <c r="P64" s="614"/>
      <c r="Q64" s="10"/>
      <c r="R64" s="10"/>
      <c r="S64" s="10"/>
      <c r="W64" s="312"/>
      <c r="Y64" s="312"/>
      <c r="Z64" s="312"/>
      <c r="AA64" s="312"/>
      <c r="AB64" s="312"/>
    </row>
    <row r="65" spans="1:28" ht="15.75">
      <c r="A65" s="1313"/>
      <c r="B65" s="1314" t="s">
        <v>343</v>
      </c>
      <c r="C65" s="1312">
        <f>'Input data'!C19</f>
        <v>4770254.2119790548</v>
      </c>
      <c r="D65" s="1349">
        <f>'Input data'!D19</f>
        <v>6375347.1802883577</v>
      </c>
      <c r="E65" s="1349">
        <f>'Input data'!E19</f>
        <v>2139706</v>
      </c>
      <c r="F65" s="1349">
        <f>'Input data'!F19</f>
        <v>0</v>
      </c>
      <c r="G65" s="1349">
        <f>'Input data'!G19</f>
        <v>0</v>
      </c>
      <c r="H65" s="1349">
        <f>'Input data'!H19</f>
        <v>0</v>
      </c>
      <c r="I65" s="1349">
        <f>'Input data'!I19</f>
        <v>3109388.4</v>
      </c>
      <c r="J65" s="1349">
        <f>'Input data'!J19</f>
        <v>1099254</v>
      </c>
      <c r="K65" s="1349">
        <f>'Input data'!K19</f>
        <v>2791003</v>
      </c>
      <c r="L65" s="1349">
        <f>'Input data'!L19</f>
        <v>3533059</v>
      </c>
      <c r="M65" s="1349">
        <f>'Input data'!M19</f>
        <v>162167</v>
      </c>
      <c r="N65" s="1324">
        <f>'Input data'!N19</f>
        <v>23980178.792267412</v>
      </c>
      <c r="O65" s="615"/>
      <c r="P65" s="615"/>
      <c r="Q65" s="10"/>
      <c r="R65" s="10"/>
      <c r="S65" s="10"/>
      <c r="W65" s="312"/>
      <c r="Y65" s="312"/>
      <c r="Z65" s="312"/>
      <c r="AA65" s="312"/>
      <c r="AB65" s="312"/>
    </row>
    <row r="66" spans="1:28" ht="15.75">
      <c r="A66" s="1313"/>
      <c r="B66" s="1315" t="s">
        <v>496</v>
      </c>
      <c r="C66" s="1312">
        <f>'Input data'!C20</f>
        <v>2674712.2259895275</v>
      </c>
      <c r="D66" s="1349">
        <f>'Input data'!D20</f>
        <v>3392258.7101441789</v>
      </c>
      <c r="E66" s="1349">
        <f>'Input data'!E20</f>
        <v>657478.25029190676</v>
      </c>
      <c r="F66" s="1349">
        <f>'Input data'!F20</f>
        <v>0</v>
      </c>
      <c r="G66" s="1349">
        <f>'Input data'!G20</f>
        <v>0</v>
      </c>
      <c r="H66" s="1349">
        <f>'Input data'!H20</f>
        <v>0</v>
      </c>
      <c r="I66" s="1349">
        <f>'Input data'!I20</f>
        <v>2798449.56</v>
      </c>
      <c r="J66" s="1349">
        <f>'Input data'!J20</f>
        <v>404592.00179999997</v>
      </c>
      <c r="K66" s="1349">
        <f>'Input data'!K20</f>
        <v>588072.38612603908</v>
      </c>
      <c r="L66" s="1349">
        <f>'Input data'!L20</f>
        <v>516962.3101976834</v>
      </c>
      <c r="M66" s="1349">
        <f>'Input data'!M20</f>
        <v>111506.02919999999</v>
      </c>
      <c r="N66" s="1324">
        <f>'Input data'!N20</f>
        <v>11144031.473749338</v>
      </c>
      <c r="O66" s="615"/>
      <c r="P66" s="615"/>
      <c r="Q66" s="10"/>
      <c r="R66" s="10"/>
      <c r="S66" s="10"/>
      <c r="W66" s="312"/>
      <c r="Y66" s="312"/>
      <c r="Z66" s="312"/>
      <c r="AA66" s="312"/>
      <c r="AB66" s="312"/>
    </row>
    <row r="67" spans="1:28" ht="16.5" thickBot="1">
      <c r="A67" s="1313"/>
      <c r="B67" s="1315" t="s">
        <v>744</v>
      </c>
      <c r="C67" s="1312">
        <f>'Input data'!C21</f>
        <v>845541.98598952731</v>
      </c>
      <c r="D67" s="1349">
        <f>'Input data'!D21</f>
        <v>883088.47014417872</v>
      </c>
      <c r="E67" s="1349">
        <f>'Input data'!E21</f>
        <v>241198.26970809326</v>
      </c>
      <c r="F67" s="1349">
        <f>'Input data'!F21</f>
        <v>0</v>
      </c>
      <c r="G67" s="1349">
        <f>'Input data'!G21</f>
        <v>0</v>
      </c>
      <c r="H67" s="1349">
        <f>'Input data'!H21</f>
        <v>0</v>
      </c>
      <c r="I67" s="1349">
        <f>'Input data'!I21</f>
        <v>310938.83999999985</v>
      </c>
      <c r="J67" s="1349">
        <f>'Input data'!J21</f>
        <v>214288.00020000001</v>
      </c>
      <c r="K67" s="1349">
        <f>'Input data'!K21</f>
        <v>215736.47787396074</v>
      </c>
      <c r="L67" s="1349">
        <f>'Input data'!L21</f>
        <v>189649.4898023163</v>
      </c>
      <c r="M67" s="1349">
        <f>'Input data'!M21</f>
        <v>12389.558800000006</v>
      </c>
      <c r="N67" s="1324">
        <f>'Input data'!N21</f>
        <v>2912831.0925180763</v>
      </c>
      <c r="O67" s="615"/>
      <c r="P67" s="615"/>
      <c r="Q67" s="10"/>
      <c r="R67" s="10"/>
      <c r="S67" s="10"/>
      <c r="W67" s="312"/>
      <c r="Y67" s="312"/>
      <c r="Z67" s="312"/>
      <c r="AA67" s="312"/>
      <c r="AB67" s="312"/>
    </row>
    <row r="68" spans="1:28" ht="15.75">
      <c r="A68" s="1313"/>
      <c r="B68" s="1305" t="s">
        <v>344</v>
      </c>
      <c r="C68" s="1316">
        <f>'Input data'!C22</f>
        <v>0</v>
      </c>
      <c r="D68" s="1182">
        <f>'Input data'!D22</f>
        <v>0</v>
      </c>
      <c r="E68" s="1182">
        <f>'Input data'!E22</f>
        <v>0</v>
      </c>
      <c r="F68" s="1182">
        <f>'Input data'!F22</f>
        <v>0</v>
      </c>
      <c r="G68" s="1182">
        <f>'Input data'!G22</f>
        <v>0</v>
      </c>
      <c r="H68" s="1182">
        <f>'Input data'!H22</f>
        <v>0</v>
      </c>
      <c r="I68" s="1182">
        <f>'Input data'!I22</f>
        <v>0</v>
      </c>
      <c r="J68" s="1182">
        <f>'Input data'!J22</f>
        <v>0</v>
      </c>
      <c r="K68" s="1182">
        <f>'Input data'!K22</f>
        <v>0</v>
      </c>
      <c r="L68" s="1182">
        <f>'Input data'!L22</f>
        <v>0</v>
      </c>
      <c r="M68" s="1182">
        <f>'Input data'!M22</f>
        <v>0</v>
      </c>
      <c r="N68" s="1330">
        <f>'Input data'!N22</f>
        <v>0</v>
      </c>
      <c r="O68" s="616"/>
      <c r="P68" s="616"/>
      <c r="Q68" s="10"/>
      <c r="R68" s="10"/>
      <c r="S68" s="10"/>
      <c r="W68" s="312"/>
      <c r="Y68" s="312"/>
      <c r="Z68" s="312"/>
      <c r="AA68" s="312"/>
      <c r="AB68" s="312"/>
    </row>
    <row r="69" spans="1:28" ht="15.75">
      <c r="A69" s="1313"/>
      <c r="B69" s="1317"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1" t="s">
        <v>334</v>
      </c>
      <c r="B70" s="1317"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1" t="s">
        <v>336</v>
      </c>
      <c r="B71" s="1317"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1" t="s">
        <v>338</v>
      </c>
      <c r="B72" s="1317"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1" t="s">
        <v>338</v>
      </c>
      <c r="B73" s="1317"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1" t="s">
        <v>341</v>
      </c>
      <c r="B74" s="1317"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3"/>
      <c r="B75" s="1315"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3"/>
      <c r="B76" s="1315"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18"/>
      <c r="B77" s="1319"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0" t="s">
        <v>549</v>
      </c>
      <c r="B78" s="1321" t="s">
        <v>327</v>
      </c>
      <c r="C78" s="1306" t="s">
        <v>545</v>
      </c>
      <c r="D78" s="1307" t="s">
        <v>546</v>
      </c>
      <c r="E78" s="1307" t="s">
        <v>547</v>
      </c>
      <c r="F78" s="1307" t="s">
        <v>548</v>
      </c>
      <c r="G78" s="1307" t="s">
        <v>498</v>
      </c>
      <c r="H78" s="1328" t="s">
        <v>544</v>
      </c>
      <c r="I78" s="1322"/>
      <c r="J78" s="1322"/>
      <c r="K78" s="1322"/>
      <c r="L78" s="1322"/>
      <c r="M78" s="1322"/>
      <c r="N78" s="1322"/>
      <c r="O78" s="339"/>
      <c r="P78" s="339"/>
      <c r="Q78" s="7"/>
      <c r="R78" s="338"/>
      <c r="S78" s="338"/>
      <c r="T78" s="4"/>
      <c r="U78" s="4"/>
      <c r="Y78" s="745"/>
    </row>
    <row r="79" spans="1:28" ht="15.75">
      <c r="A79" s="1313"/>
      <c r="B79" s="1323" t="s">
        <v>378</v>
      </c>
      <c r="C79" s="1312">
        <f>'Waste Summary 2017 SASOW'!J10+'Waste Summary 2017 SASOW'!J13</f>
        <v>49995051</v>
      </c>
      <c r="D79" s="1349">
        <f>'Waste Summary 2017 SASOW'!K10+'Waste Summary 2017 SASOW'!K13</f>
        <v>0</v>
      </c>
      <c r="E79" s="1349">
        <f>'Waste Summary 2017 SASOW'!L10+'Waste Summary 2017 SASOW'!L13</f>
        <v>46917968.670000002</v>
      </c>
      <c r="F79" s="1349">
        <f>'Waste Summary 2017 SASOW'!M10+'Waste Summary 2017 SASOW'!M13</f>
        <v>0</v>
      </c>
      <c r="G79" s="1349">
        <f>'Waste Summary 2017 SASOW'!N10+'Waste Summary 2017 SASOW'!N13</f>
        <v>0</v>
      </c>
      <c r="H79" s="1324">
        <f>'Waste Summary 2017 SASOW'!O10+'Waste Summary 2017 SASOW'!O13</f>
        <v>3077082.33</v>
      </c>
      <c r="L79" s="1322"/>
      <c r="M79" s="1322"/>
      <c r="N79" s="1322"/>
      <c r="O79" s="339"/>
      <c r="P79" s="339"/>
      <c r="Q79" s="7"/>
      <c r="R79" s="338"/>
      <c r="S79" s="338"/>
      <c r="T79" s="4"/>
      <c r="U79" s="4"/>
      <c r="Y79" s="745"/>
    </row>
    <row r="80" spans="1:28" ht="16.5" thickBot="1">
      <c r="A80" s="1318"/>
      <c r="B80" s="1318" t="s">
        <v>374</v>
      </c>
      <c r="C80" s="1325">
        <f t="shared" ref="C80:H80" si="8">C79/$C$79</f>
        <v>1</v>
      </c>
      <c r="D80" s="1326">
        <f t="shared" si="8"/>
        <v>0</v>
      </c>
      <c r="E80" s="1326">
        <f t="shared" si="8"/>
        <v>0.93845226140483384</v>
      </c>
      <c r="F80" s="1326">
        <f t="shared" si="8"/>
        <v>0</v>
      </c>
      <c r="G80" s="1326">
        <f t="shared" si="8"/>
        <v>0</v>
      </c>
      <c r="H80" s="1327">
        <f t="shared" si="8"/>
        <v>6.154773859516615E-2</v>
      </c>
      <c r="L80" s="1322"/>
      <c r="M80" s="1322"/>
      <c r="N80" s="1322"/>
      <c r="O80" s="339"/>
      <c r="P80" s="339"/>
      <c r="Q80" s="7"/>
      <c r="R80" s="338"/>
      <c r="S80" s="338"/>
      <c r="T80" s="4"/>
      <c r="U80" s="4"/>
      <c r="Y80" s="745"/>
    </row>
    <row r="81" spans="1:91" s="4" customFormat="1" ht="15.75">
      <c r="A81" s="99"/>
      <c r="B81" s="99"/>
      <c r="C81" s="1332"/>
      <c r="D81" s="1332"/>
      <c r="E81" s="1332"/>
      <c r="F81" s="1332"/>
      <c r="G81" s="1332"/>
      <c r="H81" s="1332"/>
      <c r="L81" s="1394"/>
      <c r="M81" s="1394"/>
      <c r="N81" s="1394"/>
      <c r="O81" s="1332"/>
      <c r="P81" s="1332"/>
      <c r="Q81" s="7"/>
      <c r="R81" s="1395"/>
      <c r="S81" s="1395"/>
      <c r="Y81" s="1396"/>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552</v>
      </c>
    </row>
    <row r="94" spans="1:91" ht="34.9" customHeight="1" thickBot="1">
      <c r="A94" s="1819" t="s">
        <v>602</v>
      </c>
      <c r="B94" s="1820"/>
      <c r="C94" s="1820"/>
      <c r="D94" s="1821"/>
      <c r="E94" s="1853" t="s">
        <v>600</v>
      </c>
      <c r="F94" s="1854"/>
      <c r="G94" s="1855"/>
      <c r="H94" s="1927" t="s">
        <v>601</v>
      </c>
      <c r="I94" s="1928"/>
      <c r="J94" s="1928"/>
      <c r="K94" s="1929"/>
      <c r="L94" s="1827" t="s">
        <v>598</v>
      </c>
      <c r="M94" s="1919"/>
      <c r="N94" s="1919"/>
      <c r="O94" s="1919"/>
      <c r="P94" s="1920"/>
      <c r="Q94" s="1918" t="s">
        <v>782</v>
      </c>
      <c r="R94" s="1919"/>
      <c r="S94" s="1919"/>
      <c r="T94" s="1919"/>
      <c r="U94" s="1920"/>
      <c r="V94" s="1911" t="s">
        <v>599</v>
      </c>
      <c r="W94" s="1776" t="s">
        <v>608</v>
      </c>
      <c r="X94" s="1778"/>
      <c r="Y94" s="1861" t="s">
        <v>594</v>
      </c>
      <c r="Z94" s="1841" t="s">
        <v>770</v>
      </c>
      <c r="AA94" s="1913" t="s">
        <v>778</v>
      </c>
      <c r="AB94" s="1834" t="s">
        <v>780</v>
      </c>
      <c r="AC94" s="1843" t="s">
        <v>788</v>
      </c>
      <c r="AD94" s="1834" t="s">
        <v>780</v>
      </c>
      <c r="AE94" s="1834" t="s">
        <v>779</v>
      </c>
      <c r="AF94" s="1890" t="s">
        <v>781</v>
      </c>
      <c r="AG94" s="1882" t="s">
        <v>609</v>
      </c>
      <c r="AH94" s="1882"/>
      <c r="AI94" s="1882"/>
      <c r="AJ94" s="1882"/>
      <c r="AK94" s="1882"/>
      <c r="AL94" s="1882"/>
      <c r="AM94" s="1883"/>
      <c r="AN94" s="1883"/>
      <c r="AO94" s="1883"/>
      <c r="AP94" s="1883"/>
      <c r="AQ94" s="1883"/>
      <c r="AR94" s="1866" t="s">
        <v>612</v>
      </c>
      <c r="AS94" s="1867"/>
      <c r="AT94" s="1867"/>
      <c r="AU94" s="1867"/>
      <c r="AV94" s="1867"/>
      <c r="AW94" s="1867"/>
      <c r="AX94" s="1867"/>
      <c r="AY94" s="1867"/>
      <c r="AZ94" s="1867"/>
      <c r="BA94" s="1867"/>
      <c r="BB94" s="1867"/>
      <c r="BC94" s="1832" t="s">
        <v>225</v>
      </c>
      <c r="BD94" s="1802" t="s">
        <v>616</v>
      </c>
      <c r="BE94" s="1868" t="s">
        <v>610</v>
      </c>
      <c r="BF94" s="1868"/>
      <c r="BG94" s="1868"/>
      <c r="BH94" s="1868"/>
      <c r="BI94" s="1868"/>
      <c r="BJ94" s="1868"/>
      <c r="BK94" s="1868"/>
      <c r="BL94" s="1869"/>
      <c r="BM94" s="1709" t="s">
        <v>741</v>
      </c>
      <c r="BN94" s="1710"/>
      <c r="BO94" s="1710"/>
      <c r="BP94" s="1710"/>
      <c r="BQ94" s="1710"/>
      <c r="BR94" s="1710"/>
      <c r="BS94" s="1710"/>
      <c r="BT94" s="1711"/>
      <c r="BV94" s="1907" t="s">
        <v>646</v>
      </c>
      <c r="BW94" s="1908"/>
      <c r="BX94" s="1909"/>
      <c r="BY94" s="1907" t="s">
        <v>650</v>
      </c>
      <c r="BZ94" s="1908"/>
      <c r="CA94" s="1909"/>
      <c r="CB94" s="1905" t="s">
        <v>647</v>
      </c>
      <c r="CC94" s="1906"/>
      <c r="CD94" s="1807" t="s">
        <v>651</v>
      </c>
      <c r="CE94" s="1806"/>
      <c r="CG94" s="1797" t="s">
        <v>742</v>
      </c>
      <c r="CH94" s="1798"/>
      <c r="CI94" s="1798"/>
      <c r="CJ94" s="1798"/>
      <c r="CK94" s="1798"/>
      <c r="CL94" s="1798"/>
      <c r="CM94" s="1799"/>
    </row>
    <row r="95" spans="1:91" s="10" customFormat="1" ht="42.6" customHeight="1" thickBot="1">
      <c r="A95" s="1817" t="s">
        <v>217</v>
      </c>
      <c r="B95" s="703" t="s">
        <v>218</v>
      </c>
      <c r="C95" s="703" t="s">
        <v>390</v>
      </c>
      <c r="D95" s="513" t="s">
        <v>500</v>
      </c>
      <c r="E95" s="701" t="s">
        <v>501</v>
      </c>
      <c r="F95" s="699" t="s">
        <v>504</v>
      </c>
      <c r="G95" s="700" t="s">
        <v>528</v>
      </c>
      <c r="H95" s="746" t="s">
        <v>478</v>
      </c>
      <c r="I95" s="694" t="s">
        <v>288</v>
      </c>
      <c r="J95" s="693" t="s">
        <v>773</v>
      </c>
      <c r="K95" s="695" t="s">
        <v>596</v>
      </c>
      <c r="L95" s="678" t="s">
        <v>87</v>
      </c>
      <c r="M95" s="661" t="s">
        <v>323</v>
      </c>
      <c r="N95" s="661" t="s">
        <v>324</v>
      </c>
      <c r="O95" s="661" t="s">
        <v>325</v>
      </c>
      <c r="P95" s="660" t="s">
        <v>582</v>
      </c>
      <c r="Q95" s="503" t="s">
        <v>87</v>
      </c>
      <c r="R95" s="661" t="s">
        <v>323</v>
      </c>
      <c r="S95" s="661" t="s">
        <v>324</v>
      </c>
      <c r="T95" s="661" t="s">
        <v>325</v>
      </c>
      <c r="U95" s="1166" t="s">
        <v>582</v>
      </c>
      <c r="V95" s="1912"/>
      <c r="W95" s="1595" t="s">
        <v>605</v>
      </c>
      <c r="X95" s="1596" t="s">
        <v>576</v>
      </c>
      <c r="Y95" s="1862"/>
      <c r="Z95" s="1842"/>
      <c r="AA95" s="1914"/>
      <c r="AB95" s="1835"/>
      <c r="AC95" s="1844"/>
      <c r="AD95" s="1835"/>
      <c r="AE95" s="1835"/>
      <c r="AF95" s="1891"/>
      <c r="AG95" s="1579" t="s">
        <v>473</v>
      </c>
      <c r="AH95" s="1580" t="s">
        <v>489</v>
      </c>
      <c r="AI95" s="1636" t="s">
        <v>814</v>
      </c>
      <c r="AJ95" s="1580" t="s">
        <v>377</v>
      </c>
      <c r="AK95" s="1580" t="s">
        <v>225</v>
      </c>
      <c r="AL95" s="713" t="s">
        <v>591</v>
      </c>
      <c r="AM95" s="1579" t="s">
        <v>473</v>
      </c>
      <c r="AN95" s="1580" t="s">
        <v>489</v>
      </c>
      <c r="AO95" s="1636" t="s">
        <v>814</v>
      </c>
      <c r="AP95" s="1580" t="s">
        <v>377</v>
      </c>
      <c r="AQ95" s="1581"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3"/>
      <c r="BD95" s="1803"/>
      <c r="BE95" s="1250"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68" t="s">
        <v>267</v>
      </c>
      <c r="CC95" s="1269" t="s">
        <v>633</v>
      </c>
      <c r="CD95" s="1270" t="s">
        <v>267</v>
      </c>
      <c r="CE95" s="1271" t="s">
        <v>633</v>
      </c>
      <c r="CF95"/>
      <c r="CG95" s="1258" t="s">
        <v>87</v>
      </c>
      <c r="CH95" s="1259" t="s">
        <v>323</v>
      </c>
      <c r="CI95" s="1259" t="s">
        <v>324</v>
      </c>
      <c r="CJ95" s="1259" t="s">
        <v>325</v>
      </c>
      <c r="CK95" s="1260" t="s">
        <v>582</v>
      </c>
      <c r="CL95" s="1259" t="s">
        <v>303</v>
      </c>
      <c r="CM95" s="1800" t="s">
        <v>743</v>
      </c>
    </row>
    <row r="96" spans="1:91" ht="30.75" thickBot="1">
      <c r="A96" s="1852"/>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68" t="s">
        <v>228</v>
      </c>
      <c r="R96" s="1469" t="s">
        <v>228</v>
      </c>
      <c r="S96" s="1469" t="s">
        <v>228</v>
      </c>
      <c r="T96" s="1469" t="s">
        <v>228</v>
      </c>
      <c r="U96" s="1470" t="s">
        <v>228</v>
      </c>
      <c r="V96" s="689" t="s">
        <v>228</v>
      </c>
      <c r="W96" s="688" t="s">
        <v>229</v>
      </c>
      <c r="X96" s="554" t="s">
        <v>228</v>
      </c>
      <c r="Y96" s="1115" t="s">
        <v>228</v>
      </c>
      <c r="Z96" s="1116" t="s">
        <v>228</v>
      </c>
      <c r="AA96" s="1471" t="s">
        <v>228</v>
      </c>
      <c r="AB96" s="1836"/>
      <c r="AC96" s="1844"/>
      <c r="AD96" s="1836"/>
      <c r="AE96" s="1644" t="s">
        <v>28</v>
      </c>
      <c r="AF96" s="1645" t="s">
        <v>3</v>
      </c>
      <c r="AG96" s="191" t="s">
        <v>228</v>
      </c>
      <c r="AH96" s="1095" t="s">
        <v>228</v>
      </c>
      <c r="AI96" s="1095" t="s">
        <v>228</v>
      </c>
      <c r="AJ96" s="1095" t="s">
        <v>228</v>
      </c>
      <c r="AK96" s="1095" t="s">
        <v>228</v>
      </c>
      <c r="AL96" s="1096" t="s">
        <v>590</v>
      </c>
      <c r="AM96" s="191" t="s">
        <v>229</v>
      </c>
      <c r="AN96" s="1095" t="s">
        <v>229</v>
      </c>
      <c r="AO96" s="1095" t="s">
        <v>229</v>
      </c>
      <c r="AP96" s="1095" t="s">
        <v>229</v>
      </c>
      <c r="AQ96" s="1572"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4"/>
      <c r="BE96" s="1261" t="s">
        <v>229</v>
      </c>
      <c r="BF96" s="723" t="s">
        <v>229</v>
      </c>
      <c r="BG96" s="723" t="s">
        <v>229</v>
      </c>
      <c r="BH96" s="723" t="s">
        <v>229</v>
      </c>
      <c r="BI96" s="723" t="s">
        <v>229</v>
      </c>
      <c r="BJ96" s="723" t="s">
        <v>229</v>
      </c>
      <c r="BK96" s="723" t="s">
        <v>229</v>
      </c>
      <c r="BL96" s="1089" t="s">
        <v>229</v>
      </c>
      <c r="BM96" s="1262" t="s">
        <v>229</v>
      </c>
      <c r="BN96" s="1263" t="s">
        <v>229</v>
      </c>
      <c r="BO96" s="1263" t="s">
        <v>229</v>
      </c>
      <c r="BP96" s="1263" t="s">
        <v>229</v>
      </c>
      <c r="BQ96" s="1263" t="s">
        <v>229</v>
      </c>
      <c r="BR96" s="1263" t="s">
        <v>229</v>
      </c>
      <c r="BS96" s="1263" t="s">
        <v>229</v>
      </c>
      <c r="BT96" s="1264" t="s">
        <v>229</v>
      </c>
      <c r="BV96" s="1098" t="s">
        <v>625</v>
      </c>
      <c r="BW96" s="40" t="s">
        <v>229</v>
      </c>
      <c r="BX96" s="1099" t="s">
        <v>625</v>
      </c>
      <c r="BY96" s="1098" t="s">
        <v>625</v>
      </c>
      <c r="BZ96" s="40" t="s">
        <v>229</v>
      </c>
      <c r="CA96" s="1099" t="s">
        <v>625</v>
      </c>
      <c r="CB96" s="1573" t="s">
        <v>229</v>
      </c>
      <c r="CC96" s="1574" t="s">
        <v>229</v>
      </c>
      <c r="CD96" s="1476" t="s">
        <v>229</v>
      </c>
      <c r="CE96" s="1477" t="s">
        <v>229</v>
      </c>
      <c r="CG96" s="1272" t="s">
        <v>227</v>
      </c>
      <c r="CH96" s="1259" t="s">
        <v>227</v>
      </c>
      <c r="CI96" s="1259" t="s">
        <v>227</v>
      </c>
      <c r="CJ96" s="1259" t="s">
        <v>227</v>
      </c>
      <c r="CK96" s="1259" t="s">
        <v>227</v>
      </c>
      <c r="CL96" s="1259" t="s">
        <v>227</v>
      </c>
      <c r="CM96" s="1800"/>
    </row>
    <row r="97" spans="1:91">
      <c r="A97" s="127">
        <f>'Input data'!A117</f>
        <v>2017</v>
      </c>
      <c r="B97" s="662">
        <f>'Input data'!B117</f>
        <v>56.521948041648095</v>
      </c>
      <c r="C97" s="236">
        <f>'Input data'!C117</f>
        <v>3117.5115237718705</v>
      </c>
      <c r="D97" s="236">
        <f>'Input data'!D117</f>
        <v>49995051</v>
      </c>
      <c r="E97" s="708">
        <f>'Input data'!F117</f>
        <v>0.71479999999999999</v>
      </c>
      <c r="F97" s="647">
        <f>'Input data'!G117</f>
        <v>0.28959999999999997</v>
      </c>
      <c r="G97" s="1696">
        <f>'Input data'!H117</f>
        <v>501</v>
      </c>
      <c r="H97" s="529">
        <f>'Input data'!I117</f>
        <v>424.26313389388866</v>
      </c>
      <c r="I97" s="528">
        <f>'Input data'!K117</f>
        <v>23980.178809937162</v>
      </c>
      <c r="J97" s="957">
        <f>I97*B10</f>
        <v>11144.031481960794</v>
      </c>
      <c r="K97" s="1467">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7">
        <f>H97*$M$75*P97*B97-H97*$M$75*$P$97*B97</f>
        <v>0</v>
      </c>
      <c r="V97" s="528">
        <f t="shared" ref="V97:V130" si="9">SUM(Q97:U97)</f>
        <v>0</v>
      </c>
      <c r="W97" s="708">
        <v>0</v>
      </c>
      <c r="X97" s="1467">
        <f>W97*($C$76+$D$76)*$B$10*$I$97</f>
        <v>0</v>
      </c>
      <c r="Y97" s="957">
        <f>X97+V97</f>
        <v>0</v>
      </c>
      <c r="Z97" s="957">
        <f>$J$97-Y97</f>
        <v>11144.031481960794</v>
      </c>
      <c r="AA97" s="1467">
        <f>Z97-J97</f>
        <v>0</v>
      </c>
      <c r="AB97" s="1091">
        <f>AA97/Z97</f>
        <v>0</v>
      </c>
      <c r="AC97" s="1489" t="str">
        <f>IF(AND(AB97&gt;=0,AB97&lt;=1),"Yes","No")</f>
        <v>Yes</v>
      </c>
      <c r="AD97" s="1119">
        <f>IF(AB97&lt;=0,0,IF(AB97&gt;=1,1,AB97))</f>
        <v>0</v>
      </c>
      <c r="AE97" s="649">
        <f t="shared" ref="AE97:AE130" si="10">1-AK97/I97</f>
        <v>0</v>
      </c>
      <c r="AF97" s="530">
        <f t="shared" ref="AF97:AF130" si="11">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417">
        <f>AG97/AK97</f>
        <v>0.46471844811027058</v>
      </c>
      <c r="AN97" s="417">
        <f>AH97/AK97</f>
        <v>0.27411456282050806</v>
      </c>
      <c r="AO97" s="417">
        <f>AI97/AK97</f>
        <v>0.13969870821314448</v>
      </c>
      <c r="AP97" s="417">
        <f>AJ97/AK97</f>
        <v>0.12146828085607692</v>
      </c>
      <c r="AQ97" s="417">
        <f>SUM(AM97:AP97)</f>
        <v>1</v>
      </c>
      <c r="AR97" s="1473">
        <f t="shared" ref="AR97:AR130" si="14">(I97*$C$76*$B$10-$C$66/($D$66+$C$66)*X97)*(1-AD97)</f>
        <v>2674.7122279603836</v>
      </c>
      <c r="AS97" s="1373">
        <f t="shared" ref="AS97:AS130" si="15">(I97*$D$76*$B$10-$D$66/($D$66+$C$66)*X97)*(1-AD97)</f>
        <v>3392.2587126437579</v>
      </c>
      <c r="AT97" s="1373">
        <f t="shared" ref="AT97:AT130" si="16">(I97*$B$10*$E$76-(Q97))*(1-AD97)</f>
        <v>657.47825077636821</v>
      </c>
      <c r="AU97" s="1373">
        <f t="shared" ref="AU97:AU130" si="17">I97*$F$76*(1-AD97)*$B$10</f>
        <v>0</v>
      </c>
      <c r="AV97" s="1373">
        <f t="shared" ref="AV97:AV130" si="18">I97*$G$76*(1-AD97)*$B$10</f>
        <v>0</v>
      </c>
      <c r="AW97" s="1373">
        <f t="shared" ref="AW97:AW130" si="19">I97*$G$76*(1-AD97)*$B$10</f>
        <v>0</v>
      </c>
      <c r="AX97" s="1373">
        <f t="shared" ref="AX97:AX130" si="20">I97*$I$76*(1-AD97)*$AM$97</f>
        <v>2798.4495620620314</v>
      </c>
      <c r="AY97" s="1373">
        <f t="shared" ref="AY97:AY130" si="21">(I97*$J$76*$B$10-R97)*(1-AD97)</f>
        <v>404.59200209812275</v>
      </c>
      <c r="AZ97" s="1373">
        <f t="shared" ref="AZ97:AZ130" si="22">(I97*$K$76*$B$10-S97)*(1-AD97)</f>
        <v>588.07238655935896</v>
      </c>
      <c r="BA97" s="1373">
        <f t="shared" ref="BA97:BA130" si="23">(I97*$L$76*$B$10-T97)*(1-AD97)</f>
        <v>516.96231057860598</v>
      </c>
      <c r="BB97" s="1373">
        <f t="shared" ref="BB97:BB130" si="24">(I97*$M$76*$B$10-U97)*(1-AD97)</f>
        <v>111.50602928216298</v>
      </c>
      <c r="BC97" s="1467">
        <f>SUM(AR97:BB97)</f>
        <v>11144.031481960794</v>
      </c>
      <c r="BD97" s="1156">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88">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28">
        <f>AH97-CL97</f>
        <v>0</v>
      </c>
    </row>
    <row r="98" spans="1:91">
      <c r="A98" s="127">
        <f>'Input data'!A118</f>
        <v>2018</v>
      </c>
      <c r="B98" s="662">
        <f>'Input data'!B118</f>
        <v>57.436000617299655</v>
      </c>
      <c r="C98" s="236">
        <f>'Input data'!C118</f>
        <v>3154.0370052724184</v>
      </c>
      <c r="D98" s="236">
        <f>'Input data'!D118</f>
        <v>50359792.847133137</v>
      </c>
      <c r="E98" s="649">
        <f>($E$110-$E$97)/($A$110-$A$97)+E97</f>
        <v>0.73673846153846156</v>
      </c>
      <c r="F98" s="417">
        <f>($F$110-$F$97)/($A$110-$A$97)+F97</f>
        <v>0.29557307692307688</v>
      </c>
      <c r="G98" s="530">
        <f>B98*F98*'Input data'!$C$9</f>
        <v>519.60235526187978</v>
      </c>
      <c r="H98" s="529">
        <f>'Input data'!I118</f>
        <v>424.26313389388866</v>
      </c>
      <c r="I98" s="528">
        <f>'Input data'!K118</f>
        <v>24367.977620226877</v>
      </c>
      <c r="J98" s="528">
        <f>J97*0.94</f>
        <v>10475.389593043146</v>
      </c>
      <c r="K98" s="530">
        <f>I98*$B$10-J98</f>
        <v>848.85915021449364</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20.070540516702977</v>
      </c>
      <c r="R98" s="528">
        <f t="shared" ref="R98:R130" si="32">H98*$J$75*M98*B98-H98*$J$75*$M$97*B98</f>
        <v>14.00584697562465</v>
      </c>
      <c r="S98" s="528">
        <f t="shared" ref="S98:S130" si="33">H98*$K$75*N98*B98-H98*$K$75*$N$97*B98</f>
        <v>41.014920169807738</v>
      </c>
      <c r="T98" s="528">
        <f t="shared" ref="T98:T130" si="34">H98*$L$75*O98*B98-H98*$L$75*$O$97*B98</f>
        <v>27.616879689468988</v>
      </c>
      <c r="U98" s="530">
        <f t="shared" ref="U98:U130" si="35">H98*$M$75*P98*B98-H98*$M$75*$P$97*B98</f>
        <v>0</v>
      </c>
      <c r="V98" s="528">
        <f t="shared" si="9"/>
        <v>102.70818735160435</v>
      </c>
      <c r="W98" s="649">
        <v>0.05</v>
      </c>
      <c r="X98" s="530">
        <f t="shared" ref="X98:X130" si="36">W98*($C$76+$D$76)*$B$10*$I$97</f>
        <v>303.3485470302071</v>
      </c>
      <c r="Y98" s="528">
        <f>X98+V98</f>
        <v>406.05673438181145</v>
      </c>
      <c r="Z98" s="528">
        <f>I98*$B$10-Y98</f>
        <v>10918.192008875829</v>
      </c>
      <c r="AA98" s="530">
        <f>Z98-J98</f>
        <v>442.80241583268253</v>
      </c>
      <c r="AB98" s="1091">
        <f t="shared" ref="AB98:AB130" si="37">AA98/Z98</f>
        <v>4.0556386576890292E-2</v>
      </c>
      <c r="AC98" s="135" t="str">
        <f t="shared" ref="AC98:AC130" si="38">IF(AND(AB98&gt;=0,AB98&lt;=1),"Yes","No")</f>
        <v>Yes</v>
      </c>
      <c r="AD98" s="1091">
        <f t="shared" ref="AD98:AD130" si="39">IF(AB98&lt;=0,0,IF(AB98&gt;=1,1,AB98))</f>
        <v>4.0556386576890292E-2</v>
      </c>
      <c r="AE98" s="649">
        <f t="shared" si="10"/>
        <v>2.3097802675159818E-2</v>
      </c>
      <c r="AF98" s="530">
        <f t="shared" si="11"/>
        <v>414.46358774486276</v>
      </c>
      <c r="AG98" s="527">
        <f t="shared" ref="AG98:AG130" si="40">J98</f>
        <v>10475.389593043146</v>
      </c>
      <c r="AH98" s="528">
        <f>IF(V98+I98*$C$10*$G$10&lt;AH97,AH97,V98+I98*$C$10*$G$10)</f>
        <v>6782.3257195400192</v>
      </c>
      <c r="AI98" s="528">
        <f>IF(($C$10*$H$10*$I$98+X98)&lt;AI97,AI97,($C$10*$H$10*$I$98+X98))</f>
        <v>3707.5235423427162</v>
      </c>
      <c r="AJ98" s="528">
        <f t="shared" si="12"/>
        <v>2839.8920266362888</v>
      </c>
      <c r="AK98" s="528">
        <f t="shared" ref="AK98:AK130" si="41">SUM(AG98:AJ98)</f>
        <v>23805.130881562167</v>
      </c>
      <c r="AL98" s="716">
        <f t="shared" si="13"/>
        <v>0</v>
      </c>
      <c r="AM98" s="417">
        <f t="shared" ref="AM98:AM130" si="42">AG98/AK98</f>
        <v>0.44004755299021142</v>
      </c>
      <c r="AN98" s="417">
        <f t="shared" ref="AN98:AN130" si="43">AH98/AK98</f>
        <v>0.28491024700868783</v>
      </c>
      <c r="AO98" s="417">
        <f t="shared" ref="AO98:AO130" si="44">AI98/AK98</f>
        <v>0.15574472414324389</v>
      </c>
      <c r="AP98" s="417">
        <f t="shared" ref="AP98:AP130" si="45">AJ98/AK98</f>
        <v>0.11929747585785701</v>
      </c>
      <c r="AQ98" s="417">
        <f t="shared" ref="AQ98:AQ130" si="46">SUM(AM98:AP98)</f>
        <v>1.0000000000000002</v>
      </c>
      <c r="AR98" s="1086">
        <f t="shared" si="14"/>
        <v>2479.4240234122854</v>
      </c>
      <c r="AS98" s="938">
        <f t="shared" si="15"/>
        <v>3144.5804366671259</v>
      </c>
      <c r="AT98" s="938">
        <f t="shared" si="16"/>
        <v>621.75804226515436</v>
      </c>
      <c r="AU98" s="938">
        <f t="shared" si="17"/>
        <v>0</v>
      </c>
      <c r="AV98" s="938">
        <f t="shared" si="18"/>
        <v>0</v>
      </c>
      <c r="AW98" s="938">
        <f t="shared" si="19"/>
        <v>0</v>
      </c>
      <c r="AX98" s="938">
        <f t="shared" si="20"/>
        <v>2728.3746774062242</v>
      </c>
      <c r="AY98" s="938">
        <f t="shared" si="21"/>
        <v>381.02295105106646</v>
      </c>
      <c r="AZ98" s="938">
        <f t="shared" si="22"/>
        <v>533.9951919445117</v>
      </c>
      <c r="BA98" s="938">
        <f t="shared" si="23"/>
        <v>477.52042002913004</v>
      </c>
      <c r="BB98" s="938">
        <f t="shared" si="24"/>
        <v>108.71385026764568</v>
      </c>
      <c r="BC98" s="530">
        <f t="shared" ref="BC98:BC130" si="47">SUM(AR98:BB98)</f>
        <v>10475.389593043146</v>
      </c>
      <c r="BD98" s="724">
        <f t="shared" ref="BD98:BD130" si="48">BC98-AG98</f>
        <v>0</v>
      </c>
      <c r="BE98" s="436">
        <f t="shared" ref="BE98:BE130" si="49">AR98/BC98</f>
        <v>0.23669038763569289</v>
      </c>
      <c r="BF98" s="624">
        <f t="shared" ref="BF98:BF129" si="50">AS98/BC98</f>
        <v>0.30018744493813254</v>
      </c>
      <c r="BG98" s="624">
        <f t="shared" ref="BG98:BG130" si="51">AT98/BC98</f>
        <v>5.9354168810873881E-2</v>
      </c>
      <c r="BH98" s="624">
        <f t="shared" ref="BH98:BH130" si="52">AU98/BC98</f>
        <v>0</v>
      </c>
      <c r="BI98" s="624">
        <f t="shared" ref="BI98:BI130" si="53">AV98/BC98</f>
        <v>0</v>
      </c>
      <c r="BJ98" s="624">
        <f t="shared" ref="BJ98:BJ130" si="54">AW98/BC98</f>
        <v>0</v>
      </c>
      <c r="BK98" s="624">
        <f t="shared" ref="BK98:BK130" si="55">SUM(AX98:BB98)/BC98</f>
        <v>0.40376799861530049</v>
      </c>
      <c r="BL98" s="624">
        <f t="shared" ref="BL98:BL130" si="56">SUM(BE98:BK98)</f>
        <v>0.99999999999999978</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108.79675618524169</v>
      </c>
      <c r="BW98" s="114">
        <f t="shared" ref="BW98:BW130" si="59">((AK98-AM98*AK98)+(AC138-AC138*AE138))/(AK98+AC138)</f>
        <v>0.31239939440446801</v>
      </c>
      <c r="BX98" s="1689">
        <f t="shared" si="25"/>
        <v>50.359792847133136</v>
      </c>
      <c r="BY98" s="527">
        <f t="shared" ref="BY98:BY130" si="60">(AK98+AC178)*1000/10^6</f>
        <v>108.79675618524169</v>
      </c>
      <c r="BZ98" s="417">
        <f t="shared" ref="BZ98:BZ130" si="61">((AK98-AM98*AK98)+(AC178-AC178*AE178))/(AK98+AC178)</f>
        <v>0.31239939440446801</v>
      </c>
      <c r="CA98" s="544">
        <f t="shared" si="26"/>
        <v>50.359792847133136</v>
      </c>
      <c r="CB98" s="649">
        <f t="shared" si="27"/>
        <v>2.3097802675159818E-2</v>
      </c>
      <c r="CC98" s="525">
        <f t="shared" ref="CC98:CC130" si="62">W178</f>
        <v>3.7534536819961217E-2</v>
      </c>
      <c r="CD98" s="417">
        <f t="shared" si="28"/>
        <v>2.3097802675159818E-2</v>
      </c>
      <c r="CE98" s="525">
        <f t="shared" ref="CE98:CE130" si="63">W178</f>
        <v>3.7534536819961217E-2</v>
      </c>
      <c r="CG98" s="527">
        <f t="shared" ref="CG98:CG130" si="64">$I98*$E$75*$L98</f>
        <v>1281.1695029828775</v>
      </c>
      <c r="CH98" s="528">
        <f t="shared" ref="CH98:CH130" si="65">$I98*$J$75*M98</f>
        <v>502.14828052484881</v>
      </c>
      <c r="CI98" s="528">
        <f t="shared" ref="CI98:CI130" si="66">$I98*$K$75*N98</f>
        <v>2060.3452451258809</v>
      </c>
      <c r="CJ98" s="528">
        <f t="shared" ref="CJ98:CJ130" si="67">$I98*$L$75*O98</f>
        <v>2899.772367394261</v>
      </c>
      <c r="CK98" s="528">
        <f t="shared" ref="CK98:CK130" si="68">$I98*$M$75*P98</f>
        <v>38.890323512150175</v>
      </c>
      <c r="CL98" s="528">
        <f t="shared" ref="CL98:CL130" si="69">SUM(CG98:CK98)</f>
        <v>6782.3257195400174</v>
      </c>
      <c r="CM98" s="646">
        <f t="shared" ref="CM98:CM130" si="70">AH98-CL98</f>
        <v>0</v>
      </c>
    </row>
    <row r="99" spans="1:91">
      <c r="A99" s="127">
        <f>'Input data'!A119</f>
        <v>2019</v>
      </c>
      <c r="B99" s="662">
        <f>'Input data'!B119</f>
        <v>58.364834921819444</v>
      </c>
      <c r="C99" s="236">
        <f>'Input data'!C119</f>
        <v>3164.1559328574817</v>
      </c>
      <c r="D99" s="236">
        <f>'Input data'!D119</f>
        <v>53404857.831011549</v>
      </c>
      <c r="E99" s="649">
        <f t="shared" ref="E99:E109" si="71">($E$110-$E$97)/($A$110-$A$97)+E98</f>
        <v>0.75867692307692314</v>
      </c>
      <c r="F99" s="417">
        <f t="shared" ref="F99:F109" si="72">($F$110-$F$97)/($A$110-$A$97)+F98</f>
        <v>0.3015461538461538</v>
      </c>
      <c r="G99" s="530">
        <f>B99*F99*'Input data'!$C$9</f>
        <v>538.67534920907258</v>
      </c>
      <c r="H99" s="529">
        <f>'Input data'!I119</f>
        <v>424.26313389388866</v>
      </c>
      <c r="I99" s="528">
        <f>'Input data'!K119</f>
        <v>24762.047773130591</v>
      </c>
      <c r="J99" s="528">
        <f>J97*0.89</f>
        <v>9918.1880189451058</v>
      </c>
      <c r="K99" s="530">
        <f t="shared" ref="K99:K130" si="73">I99*$B$10-J99</f>
        <v>1589.1923942165249</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40.79022813076017</v>
      </c>
      <c r="R99" s="528">
        <f t="shared" si="32"/>
        <v>28.464688971619694</v>
      </c>
      <c r="S99" s="528">
        <f t="shared" si="33"/>
        <v>83.356397357562855</v>
      </c>
      <c r="T99" s="528">
        <f t="shared" si="34"/>
        <v>56.126979831743938</v>
      </c>
      <c r="U99" s="530">
        <f t="shared" si="35"/>
        <v>0</v>
      </c>
      <c r="V99" s="528">
        <f t="shared" si="9"/>
        <v>208.73829429168666</v>
      </c>
      <c r="W99" s="649">
        <v>0.1</v>
      </c>
      <c r="X99" s="530">
        <f t="shared" si="36"/>
        <v>606.6970940604142</v>
      </c>
      <c r="Y99" s="528">
        <f t="shared" ref="Y99:Y130" si="77">X99+V99</f>
        <v>815.43538835210086</v>
      </c>
      <c r="Z99" s="528">
        <f t="shared" ref="Z99:Z130" si="78">I99*$B$10-Y99</f>
        <v>10691.945024809529</v>
      </c>
      <c r="AA99" s="530">
        <f t="shared" ref="AA99:AA130" si="79">Z99-J99</f>
        <v>773.75700586442326</v>
      </c>
      <c r="AB99" s="1091">
        <f t="shared" si="37"/>
        <v>7.2368217762904863E-2</v>
      </c>
      <c r="AC99" s="135" t="str">
        <f t="shared" si="38"/>
        <v>Yes</v>
      </c>
      <c r="AD99" s="1091">
        <f t="shared" si="39"/>
        <v>7.2368217762904863E-2</v>
      </c>
      <c r="AE99" s="649">
        <f t="shared" si="10"/>
        <v>4.2261345922522509E-2</v>
      </c>
      <c r="AF99" s="530">
        <f t="shared" si="11"/>
        <v>406.33320283022556</v>
      </c>
      <c r="AG99" s="527">
        <f t="shared" si="40"/>
        <v>9918.1880189451058</v>
      </c>
      <c r="AH99" s="528">
        <f t="shared" ref="AH99:AH130" si="80">IF(V99+I99*$C$10*$G$10&lt;AH98,AH98,V99+I99*$C$10*$G$10)</f>
        <v>6996.3761941639132</v>
      </c>
      <c r="AI99" s="528">
        <f t="shared" ref="AI99:AI130" si="81">IF(($C$10*$H$10*$I$98+X99)&lt;AI98,AI98,($C$10*$H$10*$I$98+X99))</f>
        <v>4010.8720893729233</v>
      </c>
      <c r="AJ99" s="528">
        <f t="shared" si="12"/>
        <v>2790.1340039583492</v>
      </c>
      <c r="AK99" s="528">
        <f t="shared" si="41"/>
        <v>23715.570306440291</v>
      </c>
      <c r="AL99" s="716">
        <f t="shared" si="13"/>
        <v>0</v>
      </c>
      <c r="AM99" s="417">
        <f t="shared" si="42"/>
        <v>0.41821418969847352</v>
      </c>
      <c r="AN99" s="417">
        <f t="shared" si="43"/>
        <v>0.29501193113892565</v>
      </c>
      <c r="AO99" s="417">
        <f t="shared" si="44"/>
        <v>0.16912399902454445</v>
      </c>
      <c r="AP99" s="417">
        <f t="shared" si="45"/>
        <v>0.11764988013805638</v>
      </c>
      <c r="AQ99" s="417">
        <f t="shared" si="46"/>
        <v>1</v>
      </c>
      <c r="AR99" s="1086">
        <f t="shared" si="14"/>
        <v>2313.9306035340765</v>
      </c>
      <c r="AS99" s="938">
        <f t="shared" si="15"/>
        <v>2934.6900082320794</v>
      </c>
      <c r="AT99" s="938">
        <f t="shared" si="16"/>
        <v>591.94500350350825</v>
      </c>
      <c r="AU99" s="938">
        <f t="shared" si="17"/>
        <v>0</v>
      </c>
      <c r="AV99" s="938">
        <f t="shared" si="18"/>
        <v>0</v>
      </c>
      <c r="AW99" s="938">
        <f t="shared" si="19"/>
        <v>0</v>
      </c>
      <c r="AX99" s="938">
        <f t="shared" si="20"/>
        <v>2680.5705609824404</v>
      </c>
      <c r="AY99" s="938">
        <f t="shared" si="21"/>
        <v>361.14463601855459</v>
      </c>
      <c r="AZ99" s="938">
        <f t="shared" si="22"/>
        <v>485.9769888542948</v>
      </c>
      <c r="BA99" s="938">
        <f t="shared" si="23"/>
        <v>443.12115343037897</v>
      </c>
      <c r="BB99" s="938">
        <f t="shared" si="24"/>
        <v>106.80906438977173</v>
      </c>
      <c r="BC99" s="530">
        <f t="shared" si="47"/>
        <v>9918.188018945104</v>
      </c>
      <c r="BD99" s="724">
        <f t="shared" si="48"/>
        <v>0</v>
      </c>
      <c r="BE99" s="436">
        <f t="shared" si="49"/>
        <v>0.23330174817357269</v>
      </c>
      <c r="BF99" s="624">
        <f t="shared" si="50"/>
        <v>0.29588973334911756</v>
      </c>
      <c r="BG99" s="624">
        <f t="shared" si="51"/>
        <v>5.9682776972246526E-2</v>
      </c>
      <c r="BH99" s="624">
        <f t="shared" si="52"/>
        <v>0</v>
      </c>
      <c r="BI99" s="624">
        <f t="shared" si="53"/>
        <v>0</v>
      </c>
      <c r="BJ99" s="624">
        <f t="shared" si="54"/>
        <v>0</v>
      </c>
      <c r="BK99" s="624">
        <f t="shared" si="55"/>
        <v>0.41112574150506326</v>
      </c>
      <c r="BL99" s="624">
        <f t="shared" si="56"/>
        <v>1</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107.06936587159521</v>
      </c>
      <c r="BW99" s="114">
        <f t="shared" si="59"/>
        <v>0.33847064590569859</v>
      </c>
      <c r="BX99" s="1689">
        <f t="shared" si="25"/>
        <v>53.404857831011547</v>
      </c>
      <c r="BY99" s="527">
        <f t="shared" si="60"/>
        <v>107.06936587159521</v>
      </c>
      <c r="BZ99" s="417">
        <f t="shared" si="61"/>
        <v>0.33847064590569859</v>
      </c>
      <c r="CA99" s="544">
        <f t="shared" si="26"/>
        <v>53.404857831011547</v>
      </c>
      <c r="CB99" s="649">
        <f t="shared" si="27"/>
        <v>4.2261345922522509E-2</v>
      </c>
      <c r="CC99" s="525">
        <f t="shared" si="62"/>
        <v>8.8760290106708384E-2</v>
      </c>
      <c r="CD99" s="417">
        <f t="shared" si="28"/>
        <v>4.2261345922522509E-2</v>
      </c>
      <c r="CE99" s="525">
        <f t="shared" si="63"/>
        <v>8.8760290106708384E-2</v>
      </c>
      <c r="CG99" s="527">
        <f t="shared" si="64"/>
        <v>1322.2832285721358</v>
      </c>
      <c r="CH99" s="528">
        <f t="shared" si="65"/>
        <v>524.50118605067348</v>
      </c>
      <c r="CI99" s="528">
        <f t="shared" si="66"/>
        <v>2135.3426046490672</v>
      </c>
      <c r="CJ99" s="528">
        <f t="shared" si="67"/>
        <v>2974.7299310824474</v>
      </c>
      <c r="CK99" s="528">
        <f t="shared" si="68"/>
        <v>39.519243809589504</v>
      </c>
      <c r="CL99" s="528">
        <f t="shared" si="69"/>
        <v>6996.3761941639132</v>
      </c>
      <c r="CM99" s="646">
        <f t="shared" si="70"/>
        <v>0</v>
      </c>
    </row>
    <row r="100" spans="1:91">
      <c r="A100" s="127">
        <f>'Input data'!A120</f>
        <v>2020</v>
      </c>
      <c r="B100" s="662">
        <f>'Input data'!B120</f>
        <v>59.308690000000006</v>
      </c>
      <c r="C100" s="236">
        <f>'Input data'!C120</f>
        <v>2966.4312031486884</v>
      </c>
      <c r="D100" s="236">
        <f>'Input data'!D120</f>
        <v>50522212.337504238</v>
      </c>
      <c r="E100" s="649">
        <f t="shared" si="71"/>
        <v>0.78061538461538471</v>
      </c>
      <c r="F100" s="417">
        <f t="shared" si="72"/>
        <v>0.30751923076923071</v>
      </c>
      <c r="G100" s="530">
        <f>B100*F100*'Input data'!$C$9</f>
        <v>558.22933891619243</v>
      </c>
      <c r="H100" s="529">
        <f>'Input data'!I120</f>
        <v>424.26313389388866</v>
      </c>
      <c r="I100" s="528">
        <f>'Input data'!K120</f>
        <v>25162.490686541139</v>
      </c>
      <c r="J100" s="528">
        <f>J97*0.81</f>
        <v>9026.6655003882443</v>
      </c>
      <c r="K100" s="530">
        <f t="shared" si="73"/>
        <v>2666.8081220502918</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62.174809501571872</v>
      </c>
      <c r="R100" s="528">
        <f t="shared" si="32"/>
        <v>43.387514496329516</v>
      </c>
      <c r="S100" s="528">
        <f t="shared" si="33"/>
        <v>127.05661046635623</v>
      </c>
      <c r="T100" s="528">
        <f t="shared" si="34"/>
        <v>85.551967685751606</v>
      </c>
      <c r="U100" s="530">
        <f t="shared" si="35"/>
        <v>0</v>
      </c>
      <c r="V100" s="528">
        <f t="shared" si="9"/>
        <v>318.17090215000923</v>
      </c>
      <c r="W100" s="649">
        <f>($N$142-$N$137)/($A$102-$A$97)+W99</f>
        <v>0.2</v>
      </c>
      <c r="X100" s="530">
        <f t="shared" si="36"/>
        <v>1213.3941881208284</v>
      </c>
      <c r="Y100" s="528">
        <f t="shared" si="77"/>
        <v>1531.5650902708376</v>
      </c>
      <c r="Z100" s="528">
        <f t="shared" si="78"/>
        <v>10161.908532167698</v>
      </c>
      <c r="AA100" s="530">
        <f t="shared" si="79"/>
        <v>1135.2430317794533</v>
      </c>
      <c r="AB100" s="1091">
        <f t="shared" si="37"/>
        <v>0.11171553337503697</v>
      </c>
      <c r="AC100" s="135" t="str">
        <f t="shared" si="38"/>
        <v>Yes</v>
      </c>
      <c r="AD100" s="1091">
        <f t="shared" si="39"/>
        <v>0.11171553337503697</v>
      </c>
      <c r="AE100" s="649">
        <f t="shared" si="10"/>
        <v>6.3097402659273327E-2</v>
      </c>
      <c r="AF100" s="530">
        <f t="shared" si="11"/>
        <v>397.49323210110077</v>
      </c>
      <c r="AG100" s="527">
        <f t="shared" si="40"/>
        <v>9026.6655003882443</v>
      </c>
      <c r="AH100" s="528">
        <f t="shared" si="80"/>
        <v>7215.5760361663397</v>
      </c>
      <c r="AI100" s="528">
        <f t="shared" si="81"/>
        <v>4617.5691834333375</v>
      </c>
      <c r="AJ100" s="528">
        <f t="shared" si="12"/>
        <v>2714.9921597943135</v>
      </c>
      <c r="AK100" s="528">
        <f t="shared" si="41"/>
        <v>23574.802879782237</v>
      </c>
      <c r="AL100" s="716">
        <f t="shared" si="13"/>
        <v>0</v>
      </c>
      <c r="AM100" s="417">
        <f t="shared" si="42"/>
        <v>0.38289463315638228</v>
      </c>
      <c r="AN100" s="417">
        <f t="shared" si="43"/>
        <v>0.30607153209134236</v>
      </c>
      <c r="AO100" s="417">
        <f t="shared" si="44"/>
        <v>0.19586883534001326</v>
      </c>
      <c r="AP100" s="417">
        <f t="shared" si="45"/>
        <v>0.11516499941226198</v>
      </c>
      <c r="AQ100" s="417">
        <f t="shared" si="46"/>
        <v>0.99999999999999989</v>
      </c>
      <c r="AR100" s="1086">
        <f t="shared" si="14"/>
        <v>2017.8652163457427</v>
      </c>
      <c r="AS100" s="938">
        <f t="shared" si="15"/>
        <v>2559.1990007498525</v>
      </c>
      <c r="AT100" s="938">
        <f t="shared" si="16"/>
        <v>557.59353532799946</v>
      </c>
      <c r="AU100" s="938">
        <f t="shared" si="17"/>
        <v>0</v>
      </c>
      <c r="AV100" s="938">
        <f t="shared" si="18"/>
        <v>0</v>
      </c>
      <c r="AW100" s="938">
        <f t="shared" si="19"/>
        <v>0</v>
      </c>
      <c r="AX100" s="938">
        <f t="shared" si="20"/>
        <v>2608.3793991678872</v>
      </c>
      <c r="AY100" s="938">
        <f t="shared" si="21"/>
        <v>338.57173496576468</v>
      </c>
      <c r="AZ100" s="938">
        <f t="shared" si="22"/>
        <v>435.26820826636424</v>
      </c>
      <c r="BA100" s="938">
        <f t="shared" si="23"/>
        <v>405.8558446188876</v>
      </c>
      <c r="BB100" s="938">
        <f t="shared" si="24"/>
        <v>103.93256094574485</v>
      </c>
      <c r="BC100" s="530">
        <f t="shared" si="47"/>
        <v>9026.6655003882424</v>
      </c>
      <c r="BD100" s="724">
        <f t="shared" si="48"/>
        <v>0</v>
      </c>
      <c r="BE100" s="436">
        <f t="shared" si="49"/>
        <v>0.22354491991078579</v>
      </c>
      <c r="BF100" s="624">
        <f t="shared" si="50"/>
        <v>0.28351543553262054</v>
      </c>
      <c r="BG100" s="624">
        <f t="shared" si="51"/>
        <v>6.1771817655591317E-2</v>
      </c>
      <c r="BH100" s="624">
        <f t="shared" si="52"/>
        <v>0</v>
      </c>
      <c r="BI100" s="624">
        <f t="shared" si="53"/>
        <v>0</v>
      </c>
      <c r="BJ100" s="624">
        <f t="shared" si="54"/>
        <v>0</v>
      </c>
      <c r="BK100" s="624">
        <f t="shared" si="55"/>
        <v>0.43116782690100253</v>
      </c>
      <c r="BL100" s="624">
        <f t="shared" si="56"/>
        <v>1.0000000000000002</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101.57777924005211</v>
      </c>
      <c r="BW100" s="114">
        <f t="shared" si="59"/>
        <v>0.36538453838790924</v>
      </c>
      <c r="BX100" s="1689">
        <f t="shared" si="25"/>
        <v>50.522212337504236</v>
      </c>
      <c r="BY100" s="527">
        <f t="shared" si="60"/>
        <v>101.57777924005211</v>
      </c>
      <c r="BZ100" s="417">
        <f t="shared" si="61"/>
        <v>0.36538453838790924</v>
      </c>
      <c r="CA100" s="544">
        <f t="shared" si="26"/>
        <v>50.522212337504236</v>
      </c>
      <c r="CB100" s="649">
        <f t="shared" si="27"/>
        <v>6.3097402659273327E-2</v>
      </c>
      <c r="CC100" s="525">
        <f t="shared" si="62"/>
        <v>9.5213595557322783E-2</v>
      </c>
      <c r="CD100" s="417">
        <f t="shared" si="28"/>
        <v>6.3097402659273327E-2</v>
      </c>
      <c r="CE100" s="525">
        <f t="shared" si="63"/>
        <v>9.5213595557322783E-2</v>
      </c>
      <c r="CG100" s="527">
        <f t="shared" si="64"/>
        <v>1364.3916529511498</v>
      </c>
      <c r="CH100" s="528">
        <f t="shared" si="65"/>
        <v>547.44573505593632</v>
      </c>
      <c r="CI100" s="528">
        <f t="shared" si="66"/>
        <v>2212.2267992546454</v>
      </c>
      <c r="CJ100" s="528">
        <f t="shared" si="67"/>
        <v>3051.3535141251637</v>
      </c>
      <c r="CK100" s="528">
        <f t="shared" si="68"/>
        <v>40.158334779443209</v>
      </c>
      <c r="CL100" s="528">
        <f t="shared" si="69"/>
        <v>7215.5760361663388</v>
      </c>
      <c r="CM100" s="646">
        <f t="shared" si="70"/>
        <v>0</v>
      </c>
    </row>
    <row r="101" spans="1:91">
      <c r="A101" s="873">
        <f>'Input data'!A121</f>
        <v>2021</v>
      </c>
      <c r="B101" s="1551">
        <f>'Input data'!B121</f>
        <v>60.097873988486953</v>
      </c>
      <c r="C101" s="1550">
        <f>'Input data'!C121</f>
        <v>3038.4599250524875</v>
      </c>
      <c r="D101" s="1550">
        <f>'Input data'!D121</f>
        <v>50478759.434739612</v>
      </c>
      <c r="E101" s="1454">
        <f t="shared" si="71"/>
        <v>0.80255384615384628</v>
      </c>
      <c r="F101" s="1504">
        <f t="shared" si="72"/>
        <v>0.31349230769230763</v>
      </c>
      <c r="G101" s="1511">
        <f>B101*F101*'Input data'!$C$9</f>
        <v>576.64435434700079</v>
      </c>
      <c r="H101" s="1542">
        <f>'Input data'!I121</f>
        <v>424.26313389388866</v>
      </c>
      <c r="I101" s="1509">
        <f>'Input data'!K121</f>
        <v>25497.312358715488</v>
      </c>
      <c r="J101" s="1509">
        <f>J97*0.65</f>
        <v>7243.6204632745166</v>
      </c>
      <c r="K101" s="1511">
        <f t="shared" si="73"/>
        <v>4605.4509670505695</v>
      </c>
      <c r="L101" s="1504">
        <f t="shared" si="74"/>
        <v>0.61692307692307702</v>
      </c>
      <c r="M101" s="1504">
        <f t="shared" si="29"/>
        <v>0.48715384615384622</v>
      </c>
      <c r="N101" s="1504">
        <f t="shared" si="75"/>
        <v>0.76984615384615374</v>
      </c>
      <c r="O101" s="1504">
        <f t="shared" si="76"/>
        <v>0.8307692307692307</v>
      </c>
      <c r="P101" s="1504">
        <f t="shared" si="30"/>
        <v>0.23600000000000002</v>
      </c>
      <c r="Q101" s="1508">
        <f t="shared" si="31"/>
        <v>84.002841555116447</v>
      </c>
      <c r="R101" s="1509">
        <f t="shared" si="32"/>
        <v>58.61979369013352</v>
      </c>
      <c r="S101" s="1509">
        <f t="shared" si="33"/>
        <v>171.66303207194642</v>
      </c>
      <c r="T101" s="1509">
        <f t="shared" si="34"/>
        <v>115.58713961243393</v>
      </c>
      <c r="U101" s="1511">
        <f t="shared" si="35"/>
        <v>0</v>
      </c>
      <c r="V101" s="1509">
        <f t="shared" si="9"/>
        <v>429.87280692963031</v>
      </c>
      <c r="W101" s="1454">
        <v>0.4</v>
      </c>
      <c r="X101" s="530">
        <f t="shared" si="36"/>
        <v>2426.7883762416568</v>
      </c>
      <c r="Y101" s="528">
        <f t="shared" si="77"/>
        <v>2856.6611831712871</v>
      </c>
      <c r="Z101" s="528">
        <f t="shared" si="78"/>
        <v>8992.410247153799</v>
      </c>
      <c r="AA101" s="530">
        <f t="shared" si="79"/>
        <v>1748.7897838792824</v>
      </c>
      <c r="AB101" s="1091">
        <f t="shared" si="37"/>
        <v>0.19447397703333147</v>
      </c>
      <c r="AC101" s="135" t="str">
        <f t="shared" si="38"/>
        <v>Yes</v>
      </c>
      <c r="AD101" s="1091">
        <f t="shared" si="39"/>
        <v>0.19447397703333147</v>
      </c>
      <c r="AE101" s="649">
        <f t="shared" si="10"/>
        <v>9.8397217928982372E-2</v>
      </c>
      <c r="AF101" s="530">
        <f t="shared" si="11"/>
        <v>382.51682184889864</v>
      </c>
      <c r="AG101" s="527">
        <f t="shared" si="40"/>
        <v>7243.6204632745166</v>
      </c>
      <c r="AH101" s="528">
        <f t="shared" si="80"/>
        <v>7419.0574372368628</v>
      </c>
      <c r="AI101" s="528">
        <f t="shared" si="81"/>
        <v>5830.9633715541659</v>
      </c>
      <c r="AJ101" s="528">
        <f t="shared" si="12"/>
        <v>2494.8064858860807</v>
      </c>
      <c r="AK101" s="528">
        <f t="shared" si="41"/>
        <v>22988.447757951624</v>
      </c>
      <c r="AL101" s="716">
        <f t="shared" si="13"/>
        <v>0</v>
      </c>
      <c r="AM101" s="417">
        <f t="shared" si="42"/>
        <v>0.31509828499703613</v>
      </c>
      <c r="AN101" s="417">
        <f t="shared" si="43"/>
        <v>0.32272981261514871</v>
      </c>
      <c r="AO101" s="417">
        <f t="shared" si="44"/>
        <v>0.25364754649592447</v>
      </c>
      <c r="AP101" s="417">
        <f t="shared" si="45"/>
        <v>0.10852435589189079</v>
      </c>
      <c r="AQ101" s="417">
        <f t="shared" si="46"/>
        <v>1</v>
      </c>
      <c r="AR101" s="1086">
        <f t="shared" si="14"/>
        <v>1429.040281160529</v>
      </c>
      <c r="AS101" s="938">
        <f t="shared" si="15"/>
        <v>1812.4096842307074</v>
      </c>
      <c r="AT101" s="938">
        <f t="shared" si="16"/>
        <v>495.45611996690928</v>
      </c>
      <c r="AU101" s="938">
        <f t="shared" si="17"/>
        <v>0</v>
      </c>
      <c r="AV101" s="938">
        <f t="shared" si="18"/>
        <v>0</v>
      </c>
      <c r="AW101" s="938">
        <f t="shared" si="19"/>
        <v>0</v>
      </c>
      <c r="AX101" s="938">
        <f t="shared" si="20"/>
        <v>2396.8400126756469</v>
      </c>
      <c r="AY101" s="938">
        <f t="shared" si="21"/>
        <v>299.30864866562246</v>
      </c>
      <c r="AZ101" s="938">
        <f t="shared" si="22"/>
        <v>365.39822719823422</v>
      </c>
      <c r="BA101" s="938">
        <f t="shared" si="23"/>
        <v>349.6638518408223</v>
      </c>
      <c r="BB101" s="938">
        <f t="shared" si="24"/>
        <v>95.503637536043001</v>
      </c>
      <c r="BC101" s="530">
        <f t="shared" si="47"/>
        <v>7243.6204632745148</v>
      </c>
      <c r="BD101" s="724">
        <f t="shared" si="48"/>
        <v>0</v>
      </c>
      <c r="BE101" s="436">
        <f t="shared" si="49"/>
        <v>0.19728260037999343</v>
      </c>
      <c r="BF101" s="624">
        <f t="shared" si="50"/>
        <v>0.25020770944857024</v>
      </c>
      <c r="BG101" s="624">
        <f t="shared" si="51"/>
        <v>6.8398961883618048E-2</v>
      </c>
      <c r="BH101" s="624">
        <f t="shared" si="52"/>
        <v>0</v>
      </c>
      <c r="BI101" s="624">
        <f t="shared" si="53"/>
        <v>0</v>
      </c>
      <c r="BJ101" s="624">
        <f t="shared" si="54"/>
        <v>0</v>
      </c>
      <c r="BK101" s="624">
        <f t="shared" si="55"/>
        <v>0.4841107282878182</v>
      </c>
      <c r="BL101" s="624">
        <f t="shared" si="56"/>
        <v>0.99999999999999989</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92.019303745198329</v>
      </c>
      <c r="BW101" s="114">
        <f t="shared" si="59"/>
        <v>0.43784153124584108</v>
      </c>
      <c r="BX101" s="1689">
        <f t="shared" si="25"/>
        <v>50.478759434739615</v>
      </c>
      <c r="BY101" s="527">
        <f t="shared" si="60"/>
        <v>92.019303745198329</v>
      </c>
      <c r="BZ101" s="417">
        <f t="shared" si="61"/>
        <v>0.43784153124584108</v>
      </c>
      <c r="CA101" s="544">
        <f t="shared" si="26"/>
        <v>50.478759434739615</v>
      </c>
      <c r="CB101" s="649">
        <f t="shared" si="27"/>
        <v>9.8397217928982372E-2</v>
      </c>
      <c r="CC101" s="525">
        <f t="shared" si="62"/>
        <v>0.20685740487956927</v>
      </c>
      <c r="CD101" s="417">
        <f t="shared" si="28"/>
        <v>9.8397217928982372E-2</v>
      </c>
      <c r="CE101" s="525">
        <f t="shared" si="63"/>
        <v>0.20685740487956927</v>
      </c>
      <c r="CG101" s="527">
        <f t="shared" si="64"/>
        <v>1403.5474776500628</v>
      </c>
      <c r="CH101" s="528">
        <f t="shared" si="65"/>
        <v>569.38520466198611</v>
      </c>
      <c r="CI101" s="528">
        <f t="shared" si="66"/>
        <v>2284.5792885319715</v>
      </c>
      <c r="CJ101" s="528">
        <f t="shared" si="67"/>
        <v>3120.8527695357297</v>
      </c>
      <c r="CK101" s="528">
        <f t="shared" si="68"/>
        <v>40.692696857112345</v>
      </c>
      <c r="CL101" s="528">
        <f t="shared" si="69"/>
        <v>7419.0574372368628</v>
      </c>
      <c r="CM101" s="646">
        <f t="shared" si="70"/>
        <v>0</v>
      </c>
    </row>
    <row r="102" spans="1:91" s="464" customFormat="1">
      <c r="A102" s="150">
        <f>'Input data'!A122</f>
        <v>2022</v>
      </c>
      <c r="B102" s="1506">
        <f>'Input data'!B122</f>
        <v>60.841582286809363</v>
      </c>
      <c r="C102" s="1507">
        <f>'Input data'!C122</f>
        <v>3105.6495314991057</v>
      </c>
      <c r="D102" s="1507">
        <f>'Input data'!D122</f>
        <v>50359792.847133152</v>
      </c>
      <c r="E102" s="1455">
        <f t="shared" si="71"/>
        <v>0.82449230769230786</v>
      </c>
      <c r="F102" s="1449">
        <f t="shared" si="72"/>
        <v>0.31946538461538454</v>
      </c>
      <c r="G102" s="1554">
        <f>B102*F102*'Input data'!$C$9</f>
        <v>594.90326763257065</v>
      </c>
      <c r="H102" s="1549">
        <f>'Input data'!I122</f>
        <v>424.26313389388866</v>
      </c>
      <c r="I102" s="1557">
        <f>'Input data'!K122</f>
        <v>25812.840372064646</v>
      </c>
      <c r="J102" s="1557">
        <f>J97*(1-$G$4)</f>
        <v>5572.0157409803969</v>
      </c>
      <c r="K102" s="1511">
        <f t="shared" si="73"/>
        <v>6423.6873780436263</v>
      </c>
      <c r="L102" s="1504">
        <f t="shared" si="74"/>
        <v>0.62615384615384628</v>
      </c>
      <c r="M102" s="1504">
        <f t="shared" si="29"/>
        <v>0.49969230769230777</v>
      </c>
      <c r="N102" s="1504">
        <f t="shared" si="75"/>
        <v>0.78430769230769215</v>
      </c>
      <c r="O102" s="1504">
        <f t="shared" si="76"/>
        <v>0.83846153846153837</v>
      </c>
      <c r="P102" s="1449">
        <f t="shared" si="30"/>
        <v>0.23600000000000002</v>
      </c>
      <c r="Q102" s="1508">
        <f t="shared" si="31"/>
        <v>106.302965845774</v>
      </c>
      <c r="R102" s="1509">
        <f t="shared" si="32"/>
        <v>74.181513519872851</v>
      </c>
      <c r="S102" s="1509">
        <f t="shared" si="33"/>
        <v>217.23419229042383</v>
      </c>
      <c r="T102" s="1509">
        <f t="shared" si="34"/>
        <v>146.27190612795357</v>
      </c>
      <c r="U102" s="1511">
        <f t="shared" si="35"/>
        <v>0</v>
      </c>
      <c r="V102" s="1509">
        <f t="shared" si="9"/>
        <v>543.99057778402425</v>
      </c>
      <c r="W102" s="1454">
        <f>$E$26</f>
        <v>0.5</v>
      </c>
      <c r="X102" s="530">
        <f t="shared" si="36"/>
        <v>3033.4854703020706</v>
      </c>
      <c r="Y102" s="528">
        <f t="shared" si="77"/>
        <v>3577.476048086095</v>
      </c>
      <c r="Z102" s="528">
        <f t="shared" si="78"/>
        <v>8418.2270709379281</v>
      </c>
      <c r="AA102" s="530">
        <f t="shared" si="79"/>
        <v>2846.2113299575312</v>
      </c>
      <c r="AB102" s="1091">
        <f t="shared" si="37"/>
        <v>0.33810104027526744</v>
      </c>
      <c r="AC102" s="135" t="str">
        <f t="shared" si="38"/>
        <v>Yes</v>
      </c>
      <c r="AD102" s="1091">
        <f t="shared" si="39"/>
        <v>0.33810104027526744</v>
      </c>
      <c r="AE102" s="649">
        <f t="shared" si="10"/>
        <v>0.15915151958679319</v>
      </c>
      <c r="AF102" s="530">
        <f t="shared" si="11"/>
        <v>356.74101143002122</v>
      </c>
      <c r="AG102" s="527">
        <f t="shared" si="40"/>
        <v>5572.0157409803969</v>
      </c>
      <c r="AH102" s="528">
        <f t="shared" si="80"/>
        <v>7619.6660315280851</v>
      </c>
      <c r="AI102" s="528">
        <f t="shared" si="81"/>
        <v>6437.6604656145792</v>
      </c>
      <c r="AJ102" s="528">
        <f t="shared" si="12"/>
        <v>2075.3453638761698</v>
      </c>
      <c r="AK102" s="528">
        <f t="shared" si="41"/>
        <v>21704.687601999234</v>
      </c>
      <c r="AL102" s="716">
        <f t="shared" si="13"/>
        <v>0</v>
      </c>
      <c r="AM102" s="417">
        <f t="shared" si="42"/>
        <v>0.2567194627794207</v>
      </c>
      <c r="AN102" s="417">
        <f t="shared" si="43"/>
        <v>0.35106084783391361</v>
      </c>
      <c r="AO102" s="417">
        <f t="shared" si="44"/>
        <v>0.2966023093104368</v>
      </c>
      <c r="AP102" s="417">
        <f t="shared" si="45"/>
        <v>9.5617380076228706E-2</v>
      </c>
      <c r="AQ102" s="417">
        <f t="shared" si="46"/>
        <v>0.99999999999999989</v>
      </c>
      <c r="AR102" s="1086">
        <f t="shared" si="14"/>
        <v>1020.4948758131897</v>
      </c>
      <c r="AS102" s="938">
        <f t="shared" si="15"/>
        <v>1294.2635837595894</v>
      </c>
      <c r="AT102" s="938">
        <f t="shared" si="16"/>
        <v>398.08086958449604</v>
      </c>
      <c r="AU102" s="938">
        <f t="shared" si="17"/>
        <v>0</v>
      </c>
      <c r="AV102" s="938">
        <f t="shared" si="18"/>
        <v>0</v>
      </c>
      <c r="AW102" s="938">
        <f t="shared" si="19"/>
        <v>0</v>
      </c>
      <c r="AX102" s="938">
        <f t="shared" si="20"/>
        <v>1993.8503592965417</v>
      </c>
      <c r="AY102" s="938">
        <f t="shared" si="21"/>
        <v>239.16463558917894</v>
      </c>
      <c r="AZ102" s="938">
        <f t="shared" si="22"/>
        <v>275.20504286557275</v>
      </c>
      <c r="BA102" s="938">
        <f t="shared" si="23"/>
        <v>271.510119416392</v>
      </c>
      <c r="BB102" s="938">
        <f t="shared" si="24"/>
        <v>79.446254655435226</v>
      </c>
      <c r="BC102" s="530">
        <f t="shared" si="47"/>
        <v>5572.0157409803951</v>
      </c>
      <c r="BD102" s="724">
        <f t="shared" si="48"/>
        <v>0</v>
      </c>
      <c r="BE102" s="436">
        <f t="shared" si="49"/>
        <v>0.18314644524561838</v>
      </c>
      <c r="BF102" s="624">
        <f t="shared" si="50"/>
        <v>0.23227924039063536</v>
      </c>
      <c r="BG102" s="624">
        <f t="shared" si="51"/>
        <v>7.1442883166452392E-2</v>
      </c>
      <c r="BH102" s="624">
        <f t="shared" si="52"/>
        <v>0</v>
      </c>
      <c r="BI102" s="624">
        <f t="shared" si="53"/>
        <v>0</v>
      </c>
      <c r="BJ102" s="624">
        <f t="shared" si="54"/>
        <v>0</v>
      </c>
      <c r="BK102" s="624">
        <f t="shared" si="55"/>
        <v>0.51313143119729399</v>
      </c>
      <c r="BL102" s="624">
        <f t="shared" si="56"/>
        <v>1</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88.740758245241665</v>
      </c>
      <c r="BW102" s="114">
        <f t="shared" si="59"/>
        <v>0.47851759273061129</v>
      </c>
      <c r="BX102" s="1689">
        <f t="shared" si="25"/>
        <v>50.35979284713315</v>
      </c>
      <c r="BY102" s="527">
        <f t="shared" si="60"/>
        <v>88.740758245241665</v>
      </c>
      <c r="BZ102" s="417">
        <f t="shared" si="61"/>
        <v>0.47851759273061129</v>
      </c>
      <c r="CA102" s="544">
        <f t="shared" si="26"/>
        <v>50.35979284713315</v>
      </c>
      <c r="CB102" s="649">
        <f t="shared" si="27"/>
        <v>0.15915151958679319</v>
      </c>
      <c r="CC102" s="525">
        <f t="shared" si="62"/>
        <v>0.23582978957214951</v>
      </c>
      <c r="CD102" s="417">
        <f t="shared" si="28"/>
        <v>0.15915151958679319</v>
      </c>
      <c r="CE102" s="525">
        <f t="shared" si="63"/>
        <v>0.23582978957214951</v>
      </c>
      <c r="CF102" s="1"/>
      <c r="CG102" s="527">
        <f t="shared" si="64"/>
        <v>1442.1769033076646</v>
      </c>
      <c r="CH102" s="528">
        <f t="shared" si="65"/>
        <v>591.26762187127986</v>
      </c>
      <c r="CI102" s="528">
        <f t="shared" si="66"/>
        <v>2356.2976857374128</v>
      </c>
      <c r="CJ102" s="528">
        <f t="shared" si="67"/>
        <v>3188.7275535893946</v>
      </c>
      <c r="CK102" s="528">
        <f t="shared" si="68"/>
        <v>41.196267022332343</v>
      </c>
      <c r="CL102" s="528">
        <f t="shared" si="69"/>
        <v>7619.6660315280833</v>
      </c>
      <c r="CM102" s="646">
        <f t="shared" si="70"/>
        <v>0</v>
      </c>
    </row>
    <row r="103" spans="1:91" s="4" customFormat="1">
      <c r="A103" s="150">
        <f>'Input data'!A123</f>
        <v>2023</v>
      </c>
      <c r="B103" s="1506">
        <f>'Input data'!B123</f>
        <v>61.537824355929828</v>
      </c>
      <c r="C103" s="1507">
        <f>'Input data'!C123</f>
        <v>3166.2503551240475</v>
      </c>
      <c r="D103" s="1507">
        <f>'Input data'!D123</f>
        <v>49907933.066043317</v>
      </c>
      <c r="E103" s="1455">
        <f t="shared" si="71"/>
        <v>0.84643076923076943</v>
      </c>
      <c r="F103" s="1449">
        <f t="shared" si="72"/>
        <v>0.32543846153846145</v>
      </c>
      <c r="G103" s="1554">
        <f>B103*F103*'Input data'!$C$9</f>
        <v>612.9613101689398</v>
      </c>
      <c r="H103" s="1549">
        <f>'Input data'!I123</f>
        <v>424.26313389388866</v>
      </c>
      <c r="I103" s="1557">
        <f>'Input data'!K123</f>
        <v>26108.230214258459</v>
      </c>
      <c r="J103" s="1557">
        <f>($J$107-$J$102)/($A$107-$A$102)+J102</f>
        <v>5237.6947965215732</v>
      </c>
      <c r="K103" s="1511">
        <f t="shared" si="73"/>
        <v>6895.2814315542964</v>
      </c>
      <c r="L103" s="1504">
        <f t="shared" si="74"/>
        <v>0.63538461538461555</v>
      </c>
      <c r="M103" s="1504">
        <f t="shared" si="29"/>
        <v>0.51223076923076927</v>
      </c>
      <c r="N103" s="1504">
        <f t="shared" si="75"/>
        <v>0.79876923076923056</v>
      </c>
      <c r="O103" s="1504">
        <f t="shared" si="76"/>
        <v>0.84615384615384603</v>
      </c>
      <c r="P103" s="1449">
        <f t="shared" si="30"/>
        <v>0.23600000000000002</v>
      </c>
      <c r="Q103" s="1508">
        <f t="shared" si="31"/>
        <v>129.02333558441796</v>
      </c>
      <c r="R103" s="1509">
        <f t="shared" si="32"/>
        <v>90.036493684668471</v>
      </c>
      <c r="S103" s="1509">
        <f t="shared" si="33"/>
        <v>263.66414021750961</v>
      </c>
      <c r="T103" s="1509">
        <f t="shared" si="34"/>
        <v>177.53492652594377</v>
      </c>
      <c r="U103" s="1511">
        <f t="shared" si="35"/>
        <v>0</v>
      </c>
      <c r="V103" s="1509">
        <f t="shared" si="9"/>
        <v>660.25889601253982</v>
      </c>
      <c r="W103" s="1454">
        <f>($N$147-$N$142)/($A$107-$A$102)+W102</f>
        <v>0.5</v>
      </c>
      <c r="X103" s="530">
        <f t="shared" si="36"/>
        <v>3033.4854703020706</v>
      </c>
      <c r="Y103" s="528">
        <f t="shared" si="77"/>
        <v>3693.7443663146105</v>
      </c>
      <c r="Z103" s="528">
        <f t="shared" si="78"/>
        <v>8439.2318617612582</v>
      </c>
      <c r="AA103" s="530">
        <f t="shared" si="79"/>
        <v>3201.537065239685</v>
      </c>
      <c r="AB103" s="1091">
        <f t="shared" si="37"/>
        <v>0.37936356266570542</v>
      </c>
      <c r="AC103" s="135" t="str">
        <f t="shared" si="38"/>
        <v>Yes</v>
      </c>
      <c r="AD103" s="1091">
        <f t="shared" si="39"/>
        <v>0.37936356266570542</v>
      </c>
      <c r="AE103" s="649">
        <f t="shared" si="10"/>
        <v>0.17801789007344582</v>
      </c>
      <c r="AF103" s="530">
        <f t="shared" si="11"/>
        <v>348.73670596215072</v>
      </c>
      <c r="AG103" s="527">
        <f t="shared" si="40"/>
        <v>5237.6947965215732</v>
      </c>
      <c r="AH103" s="528">
        <f t="shared" si="80"/>
        <v>7816.9050072111759</v>
      </c>
      <c r="AI103" s="528">
        <f t="shared" si="81"/>
        <v>6437.6604656145792</v>
      </c>
      <c r="AJ103" s="528">
        <f t="shared" si="12"/>
        <v>1968.2378886170527</v>
      </c>
      <c r="AK103" s="528">
        <f t="shared" si="41"/>
        <v>21460.498157964379</v>
      </c>
      <c r="AL103" s="716">
        <f t="shared" si="13"/>
        <v>0</v>
      </c>
      <c r="AM103" s="417">
        <f t="shared" si="42"/>
        <v>0.2440621255838728</v>
      </c>
      <c r="AN103" s="417">
        <f t="shared" si="43"/>
        <v>0.36424620480257497</v>
      </c>
      <c r="AO103" s="417">
        <f t="shared" si="44"/>
        <v>0.29997721479850398</v>
      </c>
      <c r="AP103" s="417">
        <f t="shared" si="45"/>
        <v>9.1714454815048363E-2</v>
      </c>
      <c r="AQ103" s="417">
        <f t="shared" si="46"/>
        <v>1.0000000000000002</v>
      </c>
      <c r="AR103" s="1086">
        <f t="shared" si="14"/>
        <v>977.32593663071737</v>
      </c>
      <c r="AS103" s="938">
        <f t="shared" si="15"/>
        <v>1239.5136900975713</v>
      </c>
      <c r="AT103" s="938">
        <f t="shared" si="16"/>
        <v>364.19002948179428</v>
      </c>
      <c r="AU103" s="938">
        <f t="shared" si="17"/>
        <v>0</v>
      </c>
      <c r="AV103" s="938">
        <f t="shared" si="18"/>
        <v>0</v>
      </c>
      <c r="AW103" s="938">
        <f t="shared" si="19"/>
        <v>0</v>
      </c>
      <c r="AX103" s="938">
        <f t="shared" si="20"/>
        <v>1890.9487980692227</v>
      </c>
      <c r="AY103" s="938">
        <f t="shared" si="21"/>
        <v>217.50815394767042</v>
      </c>
      <c r="AZ103" s="938">
        <f t="shared" si="22"/>
        <v>233.72859422808364</v>
      </c>
      <c r="BA103" s="938">
        <f t="shared" si="23"/>
        <v>239.13351854417559</v>
      </c>
      <c r="BB103" s="938">
        <f t="shared" si="24"/>
        <v>75.346075522337316</v>
      </c>
      <c r="BC103" s="530">
        <f t="shared" si="47"/>
        <v>5237.6947965215732</v>
      </c>
      <c r="BD103" s="724">
        <f t="shared" si="48"/>
        <v>0</v>
      </c>
      <c r="BE103" s="436">
        <f t="shared" si="49"/>
        <v>0.18659467086164952</v>
      </c>
      <c r="BF103" s="624">
        <f t="shared" si="50"/>
        <v>0.23665252334304582</v>
      </c>
      <c r="BG103" s="624">
        <f t="shared" si="51"/>
        <v>6.9532503062923412E-2</v>
      </c>
      <c r="BH103" s="624">
        <f t="shared" si="52"/>
        <v>0</v>
      </c>
      <c r="BI103" s="624">
        <f t="shared" si="53"/>
        <v>0</v>
      </c>
      <c r="BJ103" s="624">
        <f t="shared" si="54"/>
        <v>0</v>
      </c>
      <c r="BK103" s="624">
        <f t="shared" si="55"/>
        <v>0.50722030273238117</v>
      </c>
      <c r="BL103" s="624">
        <f t="shared" si="56"/>
        <v>1</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88.355442530178934</v>
      </c>
      <c r="BW103" s="114">
        <f t="shared" si="59"/>
        <v>0.49886672474079752</v>
      </c>
      <c r="BX103" s="1689">
        <f t="shared" si="25"/>
        <v>49.90793306604332</v>
      </c>
      <c r="BY103" s="527">
        <f t="shared" si="60"/>
        <v>88.355442530178934</v>
      </c>
      <c r="BZ103" s="417">
        <f t="shared" si="61"/>
        <v>0.49886672474079752</v>
      </c>
      <c r="CA103" s="544">
        <f t="shared" si="26"/>
        <v>49.90793306604332</v>
      </c>
      <c r="CB103" s="649">
        <f t="shared" si="27"/>
        <v>0.17801789007344582</v>
      </c>
      <c r="CC103" s="525">
        <f t="shared" si="62"/>
        <v>0.23984085052055193</v>
      </c>
      <c r="CD103" s="417">
        <f t="shared" si="28"/>
        <v>0.17801789007344582</v>
      </c>
      <c r="CE103" s="525">
        <f t="shared" si="63"/>
        <v>0.23984085052055193</v>
      </c>
      <c r="CF103"/>
      <c r="CG103" s="527">
        <f t="shared" si="64"/>
        <v>1480.1843776767912</v>
      </c>
      <c r="CH103" s="528">
        <f t="shared" si="65"/>
        <v>613.03988900430238</v>
      </c>
      <c r="CI103" s="528">
        <f t="shared" si="66"/>
        <v>2427.2060567541043</v>
      </c>
      <c r="CJ103" s="528">
        <f t="shared" si="67"/>
        <v>3254.80698630898</v>
      </c>
      <c r="CK103" s="528">
        <f t="shared" si="68"/>
        <v>41.667697466998575</v>
      </c>
      <c r="CL103" s="528">
        <f t="shared" si="69"/>
        <v>7816.9050072111768</v>
      </c>
      <c r="CM103" s="646">
        <f t="shared" si="70"/>
        <v>0</v>
      </c>
    </row>
    <row r="104" spans="1:91" s="4" customFormat="1">
      <c r="A104" s="150">
        <f>'Input data'!A124</f>
        <v>2024</v>
      </c>
      <c r="B104" s="1506">
        <f>'Input data'!B124</f>
        <v>62.221509701386374</v>
      </c>
      <c r="C104" s="1507">
        <f>'Input data'!C124</f>
        <v>3234.5964359714103</v>
      </c>
      <c r="D104" s="1507">
        <f>'Input data'!D124</f>
        <v>50177221.869345397</v>
      </c>
      <c r="E104" s="1455">
        <f t="shared" si="71"/>
        <v>0.868369230769231</v>
      </c>
      <c r="F104" s="1449">
        <f t="shared" si="72"/>
        <v>0.33141153846153837</v>
      </c>
      <c r="G104" s="1554">
        <f>B104*F104*'Input data'!$C$9</f>
        <v>631.14655490897758</v>
      </c>
      <c r="H104" s="1549">
        <f>'Input data'!I124</f>
        <v>424.26313389388866</v>
      </c>
      <c r="I104" s="1557">
        <f>'Input data'!K124</f>
        <v>26398.292701519178</v>
      </c>
      <c r="J104" s="1557">
        <f t="shared" ref="J104:J106" si="84">($J$107-$J$102)/($A$107-$A$102)+J103</f>
        <v>4903.3738520627494</v>
      </c>
      <c r="K104" s="1511">
        <f t="shared" si="73"/>
        <v>7364.399764947927</v>
      </c>
      <c r="L104" s="1504">
        <f t="shared" si="74"/>
        <v>0.64461538461538481</v>
      </c>
      <c r="M104" s="1504">
        <f t="shared" si="29"/>
        <v>0.52476923076923077</v>
      </c>
      <c r="N104" s="1504">
        <f t="shared" si="75"/>
        <v>0.81323076923076898</v>
      </c>
      <c r="O104" s="1504">
        <f t="shared" si="76"/>
        <v>0.8538461538461537</v>
      </c>
      <c r="P104" s="1449">
        <f t="shared" si="30"/>
        <v>0.23600000000000002</v>
      </c>
      <c r="Q104" s="1508">
        <f t="shared" si="31"/>
        <v>152.19958260241037</v>
      </c>
      <c r="R104" s="1509">
        <f t="shared" si="32"/>
        <v>106.20959918390167</v>
      </c>
      <c r="S104" s="1509">
        <f t="shared" si="33"/>
        <v>311.02569086870471</v>
      </c>
      <c r="T104" s="1509">
        <f t="shared" si="34"/>
        <v>209.42522987958955</v>
      </c>
      <c r="U104" s="1511">
        <f t="shared" si="35"/>
        <v>0</v>
      </c>
      <c r="V104" s="1509">
        <f t="shared" si="9"/>
        <v>778.86010253460631</v>
      </c>
      <c r="W104" s="1454">
        <f>($N$147-$N$142)/($A$107-$A$102)+W103</f>
        <v>0.5</v>
      </c>
      <c r="X104" s="530">
        <f t="shared" si="36"/>
        <v>3033.4854703020706</v>
      </c>
      <c r="Y104" s="528">
        <f t="shared" si="77"/>
        <v>3812.3455728366771</v>
      </c>
      <c r="Z104" s="528">
        <f t="shared" si="78"/>
        <v>8455.4280441739993</v>
      </c>
      <c r="AA104" s="530">
        <f t="shared" si="79"/>
        <v>3552.0541921112499</v>
      </c>
      <c r="AB104" s="1091">
        <f t="shared" si="37"/>
        <v>0.42009158774152228</v>
      </c>
      <c r="AC104" s="135" t="str">
        <f t="shared" si="38"/>
        <v>Yes</v>
      </c>
      <c r="AD104" s="1091">
        <f t="shared" si="39"/>
        <v>0.42009158774152228</v>
      </c>
      <c r="AE104" s="649">
        <f t="shared" si="10"/>
        <v>0.19632835817910144</v>
      </c>
      <c r="AF104" s="530">
        <f t="shared" si="11"/>
        <v>340.9682493805812</v>
      </c>
      <c r="AG104" s="527">
        <f t="shared" si="40"/>
        <v>4903.3738520627494</v>
      </c>
      <c r="AH104" s="528">
        <f t="shared" si="80"/>
        <v>8015.016565619344</v>
      </c>
      <c r="AI104" s="528">
        <f t="shared" si="81"/>
        <v>6437.6604656145792</v>
      </c>
      <c r="AJ104" s="528">
        <f t="shared" si="12"/>
        <v>1859.5083534018886</v>
      </c>
      <c r="AK104" s="528">
        <f t="shared" si="41"/>
        <v>21215.559236698562</v>
      </c>
      <c r="AL104" s="716">
        <f t="shared" si="13"/>
        <v>0</v>
      </c>
      <c r="AM104" s="417">
        <f t="shared" si="42"/>
        <v>0.23112159323054371</v>
      </c>
      <c r="AN104" s="417">
        <f t="shared" si="43"/>
        <v>0.37778954946212356</v>
      </c>
      <c r="AO104" s="417">
        <f t="shared" si="44"/>
        <v>0.3034405265395384</v>
      </c>
      <c r="AP104" s="417">
        <f t="shared" si="45"/>
        <v>8.7648330767794269E-2</v>
      </c>
      <c r="AQ104" s="417">
        <f t="shared" si="46"/>
        <v>0.99999999999999978</v>
      </c>
      <c r="AR104" s="1086">
        <f t="shared" si="14"/>
        <v>931.95272481573056</v>
      </c>
      <c r="AS104" s="938">
        <f t="shared" si="15"/>
        <v>1181.9681824010706</v>
      </c>
      <c r="AT104" s="938">
        <f t="shared" si="16"/>
        <v>331.46258719591941</v>
      </c>
      <c r="AU104" s="938">
        <f t="shared" si="17"/>
        <v>0</v>
      </c>
      <c r="AV104" s="938">
        <f t="shared" si="18"/>
        <v>0</v>
      </c>
      <c r="AW104" s="938">
        <f t="shared" si="19"/>
        <v>0</v>
      </c>
      <c r="AX104" s="938">
        <f t="shared" si="20"/>
        <v>1786.4888722041624</v>
      </c>
      <c r="AY104" s="938">
        <f t="shared" si="21"/>
        <v>196.69371899230998</v>
      </c>
      <c r="AZ104" s="938">
        <f t="shared" si="22"/>
        <v>195.05031221336972</v>
      </c>
      <c r="BA104" s="938">
        <f t="shared" si="23"/>
        <v>208.57365189590666</v>
      </c>
      <c r="BB104" s="938">
        <f t="shared" si="24"/>
        <v>71.183802344278234</v>
      </c>
      <c r="BC104" s="530">
        <f t="shared" si="47"/>
        <v>4903.3738520627467</v>
      </c>
      <c r="BD104" s="724">
        <f t="shared" si="48"/>
        <v>0</v>
      </c>
      <c r="BE104" s="436">
        <f t="shared" si="49"/>
        <v>0.19006356703225424</v>
      </c>
      <c r="BF104" s="624">
        <f t="shared" si="50"/>
        <v>0.24105202215079755</v>
      </c>
      <c r="BG104" s="624">
        <f t="shared" si="51"/>
        <v>6.7598881340952627E-2</v>
      </c>
      <c r="BH104" s="624">
        <f t="shared" si="52"/>
        <v>0</v>
      </c>
      <c r="BI104" s="624">
        <f t="shared" si="53"/>
        <v>0</v>
      </c>
      <c r="BJ104" s="624">
        <f t="shared" si="54"/>
        <v>0</v>
      </c>
      <c r="BK104" s="624">
        <f t="shared" si="55"/>
        <v>0.50128552947599581</v>
      </c>
      <c r="BL104" s="624">
        <f t="shared" si="56"/>
        <v>1.0000000000000002</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88.730240084875817</v>
      </c>
      <c r="BW104" s="114">
        <f t="shared" si="59"/>
        <v>0.51710006263319785</v>
      </c>
      <c r="BX104" s="1689">
        <f t="shared" si="25"/>
        <v>50.177221869345395</v>
      </c>
      <c r="BY104" s="527">
        <f t="shared" si="60"/>
        <v>88.730240084875817</v>
      </c>
      <c r="BZ104" s="417">
        <f t="shared" si="61"/>
        <v>0.51710006263319785</v>
      </c>
      <c r="CA104" s="544">
        <f t="shared" si="26"/>
        <v>50.177221869345395</v>
      </c>
      <c r="CB104" s="649">
        <f t="shared" si="27"/>
        <v>0.19632835817910144</v>
      </c>
      <c r="CC104" s="525">
        <f t="shared" si="62"/>
        <v>0.24219823068215074</v>
      </c>
      <c r="CD104" s="417">
        <f t="shared" si="28"/>
        <v>0.19632835817910144</v>
      </c>
      <c r="CE104" s="525">
        <f t="shared" si="63"/>
        <v>0.24219823068215074</v>
      </c>
      <c r="CF104"/>
      <c r="CG104" s="527">
        <f t="shared" si="64"/>
        <v>1518.3720264383246</v>
      </c>
      <c r="CH104" s="528">
        <f t="shared" si="65"/>
        <v>635.02356321873572</v>
      </c>
      <c r="CI104" s="528">
        <f t="shared" si="66"/>
        <v>2498.6045622066513</v>
      </c>
      <c r="CJ104" s="528">
        <f t="shared" si="67"/>
        <v>3320.8857880906467</v>
      </c>
      <c r="CK104" s="528">
        <f t="shared" si="68"/>
        <v>42.130625664985125</v>
      </c>
      <c r="CL104" s="528">
        <f t="shared" si="69"/>
        <v>8015.0165656193431</v>
      </c>
      <c r="CM104" s="646">
        <f t="shared" si="70"/>
        <v>0</v>
      </c>
    </row>
    <row r="105" spans="1:91" s="4" customFormat="1">
      <c r="A105" s="150">
        <f>'Input data'!A125</f>
        <v>2025</v>
      </c>
      <c r="B105" s="1506">
        <f>'Input data'!B125</f>
        <v>62.892038582526091</v>
      </c>
      <c r="C105" s="1507">
        <f>'Input data'!C125</f>
        <v>3296.2240257379749</v>
      </c>
      <c r="D105" s="1507">
        <f>'Input data'!D125</f>
        <v>50605741.387768611</v>
      </c>
      <c r="E105" s="1455">
        <f t="shared" si="71"/>
        <v>0.89030769230769258</v>
      </c>
      <c r="F105" s="1449">
        <f t="shared" si="72"/>
        <v>0.33738461538461528</v>
      </c>
      <c r="G105" s="1554">
        <f>B105*F105*'Input data'!$C$9</f>
        <v>649.44592190956689</v>
      </c>
      <c r="H105" s="1549">
        <f>'Input data'!I125</f>
        <v>424.26313389388866</v>
      </c>
      <c r="I105" s="1557">
        <f>'Input data'!K125</f>
        <v>26682.77338599788</v>
      </c>
      <c r="J105" s="1557">
        <f t="shared" si="84"/>
        <v>4569.0529076039256</v>
      </c>
      <c r="K105" s="1511">
        <f t="shared" si="73"/>
        <v>7830.9241316150401</v>
      </c>
      <c r="L105" s="1504">
        <f t="shared" si="74"/>
        <v>0.65384615384615408</v>
      </c>
      <c r="M105" s="1504">
        <f t="shared" si="29"/>
        <v>0.53730769230769226</v>
      </c>
      <c r="N105" s="1504">
        <f t="shared" si="75"/>
        <v>0.82769230769230739</v>
      </c>
      <c r="O105" s="1504">
        <f t="shared" si="76"/>
        <v>0.86153846153846136</v>
      </c>
      <c r="P105" s="1449">
        <f t="shared" si="30"/>
        <v>0.23600000000000002</v>
      </c>
      <c r="Q105" s="1508">
        <f t="shared" si="31"/>
        <v>175.81686677097082</v>
      </c>
      <c r="R105" s="1509">
        <f t="shared" si="32"/>
        <v>122.69047411447059</v>
      </c>
      <c r="S105" s="1509">
        <f t="shared" si="33"/>
        <v>359.2885178710485</v>
      </c>
      <c r="T105" s="1509">
        <f t="shared" si="34"/>
        <v>241.92239630778477</v>
      </c>
      <c r="U105" s="1511">
        <f t="shared" si="35"/>
        <v>0</v>
      </c>
      <c r="V105" s="1509">
        <f t="shared" si="9"/>
        <v>899.71825506427467</v>
      </c>
      <c r="W105" s="1454">
        <f>($N$147-$N$142)/($A$107-$A$102)+W104</f>
        <v>0.5</v>
      </c>
      <c r="X105" s="530">
        <f t="shared" si="36"/>
        <v>3033.4854703020706</v>
      </c>
      <c r="Y105" s="528">
        <f t="shared" si="77"/>
        <v>3933.2037253663452</v>
      </c>
      <c r="Z105" s="528">
        <f t="shared" si="78"/>
        <v>8466.77331385262</v>
      </c>
      <c r="AA105" s="530">
        <f t="shared" si="79"/>
        <v>3897.7204062486944</v>
      </c>
      <c r="AB105" s="1091">
        <f t="shared" si="37"/>
        <v>0.4603548792160968</v>
      </c>
      <c r="AC105" s="135" t="str">
        <f t="shared" si="38"/>
        <v>Yes</v>
      </c>
      <c r="AD105" s="1091">
        <f t="shared" si="39"/>
        <v>0.4603548792160968</v>
      </c>
      <c r="AE105" s="649">
        <f t="shared" si="10"/>
        <v>0.21411400479319376</v>
      </c>
      <c r="AF105" s="530">
        <f t="shared" si="11"/>
        <v>333.42245520975717</v>
      </c>
      <c r="AG105" s="527">
        <f t="shared" si="40"/>
        <v>4569.0529076039256</v>
      </c>
      <c r="AH105" s="528">
        <f t="shared" si="80"/>
        <v>8213.8550166057721</v>
      </c>
      <c r="AI105" s="528">
        <f t="shared" si="81"/>
        <v>6437.6604656145792</v>
      </c>
      <c r="AJ105" s="528">
        <f t="shared" si="12"/>
        <v>1749.0495275083481</v>
      </c>
      <c r="AK105" s="528">
        <f t="shared" si="41"/>
        <v>20969.617917332627</v>
      </c>
      <c r="AL105" s="716">
        <f t="shared" si="13"/>
        <v>0</v>
      </c>
      <c r="AM105" s="417">
        <f t="shared" si="42"/>
        <v>0.21788918260772572</v>
      </c>
      <c r="AN105" s="417">
        <f t="shared" si="43"/>
        <v>0.39170265519318481</v>
      </c>
      <c r="AO105" s="417">
        <f t="shared" si="44"/>
        <v>0.30699941653650603</v>
      </c>
      <c r="AP105" s="417">
        <f t="shared" si="45"/>
        <v>8.3408745662583356E-2</v>
      </c>
      <c r="AQ105" s="417">
        <f t="shared" si="46"/>
        <v>1</v>
      </c>
      <c r="AR105" s="1086">
        <f t="shared" si="14"/>
        <v>884.37007449923453</v>
      </c>
      <c r="AS105" s="938">
        <f t="shared" si="15"/>
        <v>1121.6205089506445</v>
      </c>
      <c r="AT105" s="938">
        <f t="shared" si="16"/>
        <v>299.91315192281752</v>
      </c>
      <c r="AU105" s="938">
        <f t="shared" si="17"/>
        <v>0</v>
      </c>
      <c r="AV105" s="938">
        <f t="shared" si="18"/>
        <v>0</v>
      </c>
      <c r="AW105" s="938">
        <f t="shared" si="19"/>
        <v>0</v>
      </c>
      <c r="AX105" s="938">
        <f t="shared" si="20"/>
        <v>1680.3675617327499</v>
      </c>
      <c r="AY105" s="938">
        <f t="shared" si="21"/>
        <v>176.73352136802538</v>
      </c>
      <c r="AZ105" s="938">
        <f t="shared" si="22"/>
        <v>159.22786402561476</v>
      </c>
      <c r="BA105" s="938">
        <f t="shared" si="23"/>
        <v>179.86489488073215</v>
      </c>
      <c r="BB105" s="938">
        <f t="shared" si="24"/>
        <v>66.955330224106234</v>
      </c>
      <c r="BC105" s="530">
        <f t="shared" si="47"/>
        <v>4569.0529076039256</v>
      </c>
      <c r="BD105" s="724">
        <f t="shared" si="48"/>
        <v>0</v>
      </c>
      <c r="BE105" s="436">
        <f t="shared" si="49"/>
        <v>0.19355654057484101</v>
      </c>
      <c r="BF105" s="624">
        <f t="shared" si="50"/>
        <v>0.24548205758003311</v>
      </c>
      <c r="BG105" s="624">
        <f t="shared" si="51"/>
        <v>6.5640113605096362E-2</v>
      </c>
      <c r="BH105" s="624">
        <f t="shared" si="52"/>
        <v>0</v>
      </c>
      <c r="BI105" s="624">
        <f t="shared" si="53"/>
        <v>0</v>
      </c>
      <c r="BJ105" s="624">
        <f t="shared" si="54"/>
        <v>0</v>
      </c>
      <c r="BK105" s="624">
        <f t="shared" si="55"/>
        <v>0.4953212882400293</v>
      </c>
      <c r="BL105" s="624">
        <f t="shared" si="56"/>
        <v>0.99999999999999978</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89.228816584605397</v>
      </c>
      <c r="BW105" s="114">
        <f t="shared" si="59"/>
        <v>0.53467894777326108</v>
      </c>
      <c r="BX105" s="1689">
        <f t="shared" si="25"/>
        <v>50.60574138776861</v>
      </c>
      <c r="BY105" s="527">
        <f t="shared" si="60"/>
        <v>89.228816584605397</v>
      </c>
      <c r="BZ105" s="417">
        <f t="shared" si="61"/>
        <v>0.53467894777326108</v>
      </c>
      <c r="CA105" s="544">
        <f t="shared" si="26"/>
        <v>50.60574138776861</v>
      </c>
      <c r="CB105" s="649">
        <f t="shared" si="27"/>
        <v>0.21411400479319376</v>
      </c>
      <c r="CC105" s="525">
        <f t="shared" si="62"/>
        <v>0.24377233346132599</v>
      </c>
      <c r="CD105" s="417">
        <f t="shared" si="28"/>
        <v>0.21411400479319376</v>
      </c>
      <c r="CE105" s="525">
        <f t="shared" si="63"/>
        <v>0.24377233346132599</v>
      </c>
      <c r="CF105"/>
      <c r="CG105" s="527">
        <f t="shared" si="64"/>
        <v>1556.7118412012981</v>
      </c>
      <c r="CH105" s="528">
        <f t="shared" si="65"/>
        <v>657.2031914797376</v>
      </c>
      <c r="CI105" s="528">
        <f t="shared" si="66"/>
        <v>2570.4417900880926</v>
      </c>
      <c r="CJ105" s="528">
        <f t="shared" si="67"/>
        <v>3386.9135483090017</v>
      </c>
      <c r="CK105" s="528">
        <f t="shared" si="68"/>
        <v>42.584645527640909</v>
      </c>
      <c r="CL105" s="528">
        <f t="shared" si="69"/>
        <v>8213.8550166057703</v>
      </c>
      <c r="CM105" s="646">
        <f t="shared" si="70"/>
        <v>0</v>
      </c>
    </row>
    <row r="106" spans="1:91" s="4" customFormat="1">
      <c r="A106" s="150">
        <f>'Input data'!A126</f>
        <v>2026</v>
      </c>
      <c r="B106" s="1506">
        <f>'Input data'!B126</f>
        <v>63.548817559440096</v>
      </c>
      <c r="C106" s="1507">
        <f>'Input data'!C126</f>
        <v>3366.4633271478065</v>
      </c>
      <c r="D106" s="1507">
        <f>'Input data'!D126</f>
        <v>48876629.54391963</v>
      </c>
      <c r="E106" s="1455">
        <f t="shared" si="71"/>
        <v>0.91224615384615415</v>
      </c>
      <c r="F106" s="1449">
        <f t="shared" si="72"/>
        <v>0.3433576923076922</v>
      </c>
      <c r="G106" s="1554">
        <f>B106*F106*'Input data'!$C$9</f>
        <v>667.84595886848376</v>
      </c>
      <c r="H106" s="1549">
        <f>'Input data'!I126</f>
        <v>424.26313389388866</v>
      </c>
      <c r="I106" s="1557">
        <f>'Input data'!K126</f>
        <v>26961.420493019035</v>
      </c>
      <c r="J106" s="1557">
        <f t="shared" si="84"/>
        <v>4234.7319631451019</v>
      </c>
      <c r="K106" s="1511">
        <f t="shared" si="73"/>
        <v>8294.737527219153</v>
      </c>
      <c r="L106" s="1504">
        <f t="shared" si="74"/>
        <v>0.66307692307692334</v>
      </c>
      <c r="M106" s="1504">
        <f t="shared" si="29"/>
        <v>0.54984615384615376</v>
      </c>
      <c r="N106" s="1504">
        <f t="shared" si="75"/>
        <v>0.84215384615384581</v>
      </c>
      <c r="O106" s="1504">
        <f t="shared" si="76"/>
        <v>0.86923076923076903</v>
      </c>
      <c r="P106" s="1449">
        <f t="shared" si="30"/>
        <v>0.23600000000000002</v>
      </c>
      <c r="Q106" s="1508">
        <f t="shared" si="31"/>
        <v>199.85952947915325</v>
      </c>
      <c r="R106" s="1509">
        <f t="shared" si="32"/>
        <v>139.46819141097887</v>
      </c>
      <c r="S106" s="1509">
        <f t="shared" si="33"/>
        <v>408.42062225184736</v>
      </c>
      <c r="T106" s="1509">
        <f t="shared" si="34"/>
        <v>275.00487970546783</v>
      </c>
      <c r="U106" s="1511">
        <f t="shared" si="35"/>
        <v>0</v>
      </c>
      <c r="V106" s="1509">
        <f t="shared" si="9"/>
        <v>1022.7532228474473</v>
      </c>
      <c r="W106" s="1454">
        <f>($N$147-$N$142)/($A$107-$A$102)+W105</f>
        <v>0.5</v>
      </c>
      <c r="X106" s="530">
        <f t="shared" si="36"/>
        <v>3033.4854703020706</v>
      </c>
      <c r="Y106" s="528">
        <f t="shared" si="77"/>
        <v>4056.238693149518</v>
      </c>
      <c r="Z106" s="528">
        <f t="shared" si="78"/>
        <v>8473.2307972147355</v>
      </c>
      <c r="AA106" s="530">
        <f t="shared" si="79"/>
        <v>4238.4988340696336</v>
      </c>
      <c r="AB106" s="1091">
        <f t="shared" si="37"/>
        <v>0.50022228067514518</v>
      </c>
      <c r="AC106" s="135" t="str">
        <f t="shared" si="38"/>
        <v>Yes</v>
      </c>
      <c r="AD106" s="1091">
        <f t="shared" si="39"/>
        <v>0.50022228067514518</v>
      </c>
      <c r="AE106" s="649">
        <f t="shared" si="10"/>
        <v>0.23140494815331936</v>
      </c>
      <c r="AF106" s="530">
        <f t="shared" si="11"/>
        <v>326.08654539180856</v>
      </c>
      <c r="AG106" s="527">
        <f t="shared" si="40"/>
        <v>4234.7319631451019</v>
      </c>
      <c r="AH106" s="528">
        <f t="shared" si="80"/>
        <v>8413.2712143112476</v>
      </c>
      <c r="AI106" s="528">
        <f t="shared" si="81"/>
        <v>6437.6604656145792</v>
      </c>
      <c r="AJ106" s="528">
        <f t="shared" si="12"/>
        <v>1636.7507386211962</v>
      </c>
      <c r="AK106" s="528">
        <f t="shared" si="41"/>
        <v>20722.414381692124</v>
      </c>
      <c r="AL106" s="716">
        <f t="shared" si="13"/>
        <v>0</v>
      </c>
      <c r="AM106" s="417">
        <f t="shared" si="42"/>
        <v>0.20435514342799796</v>
      </c>
      <c r="AN106" s="417">
        <f t="shared" si="43"/>
        <v>0.40599859935935939</v>
      </c>
      <c r="AO106" s="417">
        <f t="shared" si="44"/>
        <v>0.31066169930961979</v>
      </c>
      <c r="AP106" s="417">
        <f t="shared" si="45"/>
        <v>7.8984557903022903E-2</v>
      </c>
      <c r="AQ106" s="417">
        <f t="shared" si="46"/>
        <v>1</v>
      </c>
      <c r="AR106" s="1086">
        <f t="shared" si="14"/>
        <v>834.56842902519611</v>
      </c>
      <c r="AS106" s="938">
        <f t="shared" si="15"/>
        <v>1058.4585493210179</v>
      </c>
      <c r="AT106" s="938">
        <f t="shared" si="16"/>
        <v>269.55867446982506</v>
      </c>
      <c r="AU106" s="938">
        <f t="shared" si="17"/>
        <v>0</v>
      </c>
      <c r="AV106" s="938">
        <f t="shared" si="18"/>
        <v>0</v>
      </c>
      <c r="AW106" s="938">
        <f t="shared" si="19"/>
        <v>0</v>
      </c>
      <c r="AX106" s="938">
        <f t="shared" si="20"/>
        <v>1572.4785402385064</v>
      </c>
      <c r="AY106" s="938">
        <f t="shared" si="21"/>
        <v>157.64144982759268</v>
      </c>
      <c r="AZ106" s="938">
        <f t="shared" si="22"/>
        <v>126.32459469797368</v>
      </c>
      <c r="BA106" s="938">
        <f t="shared" si="23"/>
        <v>153.04530304786903</v>
      </c>
      <c r="BB106" s="938">
        <f t="shared" si="24"/>
        <v>62.6564225171199</v>
      </c>
      <c r="BC106" s="530">
        <f t="shared" si="47"/>
        <v>4234.731963145101</v>
      </c>
      <c r="BD106" s="724">
        <f t="shared" si="48"/>
        <v>0</v>
      </c>
      <c r="BE106" s="436">
        <f t="shared" si="49"/>
        <v>0.19707703729266704</v>
      </c>
      <c r="BF106" s="624">
        <f t="shared" si="50"/>
        <v>0.24994699984149868</v>
      </c>
      <c r="BG106" s="624">
        <f t="shared" si="51"/>
        <v>6.3654247025737618E-2</v>
      </c>
      <c r="BH106" s="624">
        <f t="shared" si="52"/>
        <v>0</v>
      </c>
      <c r="BI106" s="624">
        <f t="shared" si="53"/>
        <v>0</v>
      </c>
      <c r="BJ106" s="624">
        <f t="shared" si="54"/>
        <v>0</v>
      </c>
      <c r="BK106" s="624">
        <f t="shared" si="55"/>
        <v>0.48932171584009665</v>
      </c>
      <c r="BL106" s="624">
        <f t="shared" si="56"/>
        <v>1</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87.612656453276486</v>
      </c>
      <c r="BW106" s="114">
        <f t="shared" si="59"/>
        <v>0.55884592170559577</v>
      </c>
      <c r="BX106" s="1689">
        <f t="shared" si="25"/>
        <v>48.876629543919627</v>
      </c>
      <c r="BY106" s="527">
        <f t="shared" si="60"/>
        <v>87.612656453276486</v>
      </c>
      <c r="BZ106" s="417">
        <f t="shared" si="61"/>
        <v>0.55884592170559577</v>
      </c>
      <c r="CA106" s="544">
        <f t="shared" si="26"/>
        <v>48.876629543919627</v>
      </c>
      <c r="CB106" s="649">
        <f t="shared" si="27"/>
        <v>0.23140494815331936</v>
      </c>
      <c r="CC106" s="525">
        <f t="shared" si="62"/>
        <v>0.25160872219290298</v>
      </c>
      <c r="CD106" s="417">
        <f t="shared" si="28"/>
        <v>0.23140494815331936</v>
      </c>
      <c r="CE106" s="525">
        <f t="shared" si="63"/>
        <v>0.25160872219290298</v>
      </c>
      <c r="CF106"/>
      <c r="CG106" s="527">
        <f t="shared" si="64"/>
        <v>1595.1751334354569</v>
      </c>
      <c r="CH106" s="528">
        <f t="shared" si="65"/>
        <v>679.56280313952084</v>
      </c>
      <c r="CI106" s="528">
        <f t="shared" si="66"/>
        <v>2642.6648773127877</v>
      </c>
      <c r="CJ106" s="528">
        <f t="shared" si="67"/>
        <v>3452.8390451908876</v>
      </c>
      <c r="CK106" s="528">
        <f t="shared" si="68"/>
        <v>43.029355232593296</v>
      </c>
      <c r="CL106" s="528">
        <f t="shared" si="69"/>
        <v>8413.2712143112458</v>
      </c>
      <c r="CM106" s="646">
        <f t="shared" si="70"/>
        <v>0</v>
      </c>
    </row>
    <row r="107" spans="1:91" s="464" customFormat="1">
      <c r="A107" s="150">
        <f>'Input data'!A127</f>
        <v>2027</v>
      </c>
      <c r="B107" s="1506">
        <f>'Input data'!B127</f>
        <v>64.191260356766122</v>
      </c>
      <c r="C107" s="1507">
        <f>'Input data'!C127</f>
        <v>3436.4344789089987</v>
      </c>
      <c r="D107" s="1507">
        <f>'Input data'!D127</f>
        <v>48564316.261510797</v>
      </c>
      <c r="E107" s="1455">
        <f t="shared" si="71"/>
        <v>0.93418461538461572</v>
      </c>
      <c r="F107" s="1449">
        <f t="shared" si="72"/>
        <v>0.34933076923076911</v>
      </c>
      <c r="G107" s="1554">
        <f>B107*F107*'Input data'!$C$9</f>
        <v>686.33285611963663</v>
      </c>
      <c r="H107" s="1549">
        <f>'Input data'!I127</f>
        <v>424.26313389388866</v>
      </c>
      <c r="I107" s="1557">
        <f>'Input data'!K127</f>
        <v>27233.985287560132</v>
      </c>
      <c r="J107" s="1557">
        <f>J97*(1-$G$5)</f>
        <v>3900.4110186862777</v>
      </c>
      <c r="K107" s="1511">
        <f t="shared" si="73"/>
        <v>8755.7243600066085</v>
      </c>
      <c r="L107" s="1504">
        <f t="shared" si="74"/>
        <v>0.67230769230769261</v>
      </c>
      <c r="M107" s="1504">
        <f t="shared" si="29"/>
        <v>0.56238461538461526</v>
      </c>
      <c r="N107" s="1504">
        <f t="shared" si="75"/>
        <v>0.85661538461538422</v>
      </c>
      <c r="O107" s="1504">
        <f t="shared" si="76"/>
        <v>0.87692307692307669</v>
      </c>
      <c r="P107" s="1449">
        <f t="shared" si="30"/>
        <v>0.23600000000000002</v>
      </c>
      <c r="Q107" s="1508">
        <f t="shared" si="31"/>
        <v>224.31110766104825</v>
      </c>
      <c r="R107" s="1509">
        <f t="shared" si="32"/>
        <v>156.53126263435399</v>
      </c>
      <c r="S107" s="1509">
        <f t="shared" si="33"/>
        <v>458.38836110380407</v>
      </c>
      <c r="T107" s="1509">
        <f t="shared" si="34"/>
        <v>308.65002704492599</v>
      </c>
      <c r="U107" s="1511">
        <f t="shared" si="35"/>
        <v>0</v>
      </c>
      <c r="V107" s="1509">
        <f t="shared" si="9"/>
        <v>1147.8807584441324</v>
      </c>
      <c r="W107" s="1454">
        <f>$C$27</f>
        <v>0.5</v>
      </c>
      <c r="X107" s="530">
        <f t="shared" si="36"/>
        <v>3033.4854703020706</v>
      </c>
      <c r="Y107" s="528">
        <f t="shared" si="77"/>
        <v>4181.366228746203</v>
      </c>
      <c r="Z107" s="528">
        <f t="shared" si="78"/>
        <v>8474.7691499466837</v>
      </c>
      <c r="AA107" s="530">
        <f t="shared" si="79"/>
        <v>4574.3581312604056</v>
      </c>
      <c r="AB107" s="1091">
        <f t="shared" si="37"/>
        <v>0.53976197467150877</v>
      </c>
      <c r="AC107" s="135" t="str">
        <f t="shared" si="38"/>
        <v>Yes</v>
      </c>
      <c r="AD107" s="1091">
        <f t="shared" si="39"/>
        <v>0.53976197467150877</v>
      </c>
      <c r="AE107" s="649">
        <f t="shared" si="10"/>
        <v>0.24823041972031623</v>
      </c>
      <c r="AF107" s="530">
        <f t="shared" si="11"/>
        <v>318.94811809555193</v>
      </c>
      <c r="AG107" s="527">
        <f t="shared" si="40"/>
        <v>3900.4110186862777</v>
      </c>
      <c r="AH107" s="528">
        <f t="shared" si="80"/>
        <v>8613.112729403827</v>
      </c>
      <c r="AI107" s="528">
        <f t="shared" si="81"/>
        <v>6437.6604656145792</v>
      </c>
      <c r="AJ107" s="528">
        <f t="shared" si="12"/>
        <v>1522.4974752674802</v>
      </c>
      <c r="AK107" s="528">
        <f t="shared" si="41"/>
        <v>20473.681688972163</v>
      </c>
      <c r="AL107" s="716">
        <f t="shared" si="13"/>
        <v>0</v>
      </c>
      <c r="AM107" s="417">
        <f t="shared" si="42"/>
        <v>0.19050853080260471</v>
      </c>
      <c r="AN107" s="417">
        <f t="shared" si="43"/>
        <v>0.42069193319749371</v>
      </c>
      <c r="AO107" s="417">
        <f t="shared" si="44"/>
        <v>0.31443589694383728</v>
      </c>
      <c r="AP107" s="417">
        <f t="shared" si="45"/>
        <v>7.4363639056064371E-2</v>
      </c>
      <c r="AQ107" s="417">
        <f t="shared" si="46"/>
        <v>1.0000000000000002</v>
      </c>
      <c r="AR107" s="1086">
        <f t="shared" si="14"/>
        <v>782.53382238796212</v>
      </c>
      <c r="AS107" s="938">
        <f t="shared" si="15"/>
        <v>992.46459083870627</v>
      </c>
      <c r="AT107" s="938">
        <f t="shared" si="16"/>
        <v>240.41850115859609</v>
      </c>
      <c r="AU107" s="938">
        <f t="shared" si="17"/>
        <v>0</v>
      </c>
      <c r="AV107" s="938">
        <f t="shared" si="18"/>
        <v>0</v>
      </c>
      <c r="AW107" s="938">
        <f t="shared" si="19"/>
        <v>0</v>
      </c>
      <c r="AX107" s="938">
        <f t="shared" si="20"/>
        <v>1462.7117929039164</v>
      </c>
      <c r="AY107" s="938">
        <f t="shared" si="21"/>
        <v>139.43313624667962</v>
      </c>
      <c r="AZ107" s="938">
        <f t="shared" si="22"/>
        <v>96.409740362840495</v>
      </c>
      <c r="BA107" s="938">
        <f t="shared" si="23"/>
        <v>128.15673917567847</v>
      </c>
      <c r="BB107" s="938">
        <f t="shared" si="24"/>
        <v>58.282695611897488</v>
      </c>
      <c r="BC107" s="530">
        <f t="shared" si="47"/>
        <v>3900.4110186862772</v>
      </c>
      <c r="BD107" s="724">
        <f t="shared" si="48"/>
        <v>0</v>
      </c>
      <c r="BE107" s="436">
        <f t="shared" si="49"/>
        <v>0.20062855392392273</v>
      </c>
      <c r="BF107" s="624">
        <f t="shared" si="50"/>
        <v>0.25445128374521531</v>
      </c>
      <c r="BG107" s="624">
        <f t="shared" si="51"/>
        <v>6.1639273401389631E-2</v>
      </c>
      <c r="BH107" s="624">
        <f t="shared" si="52"/>
        <v>0</v>
      </c>
      <c r="BI107" s="624">
        <f t="shared" si="53"/>
        <v>0</v>
      </c>
      <c r="BJ107" s="624">
        <f t="shared" si="54"/>
        <v>0</v>
      </c>
      <c r="BK107" s="624">
        <f t="shared" si="55"/>
        <v>0.48328088892947224</v>
      </c>
      <c r="BL107" s="624">
        <f t="shared" si="56"/>
        <v>1</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87.410390776653131</v>
      </c>
      <c r="BW107" s="114">
        <f t="shared" si="59"/>
        <v>0.57863034728373319</v>
      </c>
      <c r="BX107" s="1689">
        <f t="shared" si="25"/>
        <v>48.564316261510797</v>
      </c>
      <c r="BY107" s="527">
        <f t="shared" si="60"/>
        <v>87.410390776653131</v>
      </c>
      <c r="BZ107" s="417">
        <f t="shared" si="61"/>
        <v>0.57863034728373319</v>
      </c>
      <c r="CA107" s="544">
        <f t="shared" si="26"/>
        <v>48.564316261510797</v>
      </c>
      <c r="CB107" s="649">
        <f t="shared" si="27"/>
        <v>0.24823041972031623</v>
      </c>
      <c r="CC107" s="525">
        <f t="shared" si="62"/>
        <v>0.25549953203324571</v>
      </c>
      <c r="CD107" s="417">
        <f t="shared" si="28"/>
        <v>0.24823041972031623</v>
      </c>
      <c r="CE107" s="525">
        <f t="shared" si="63"/>
        <v>0.25549953203324571</v>
      </c>
      <c r="CF107" s="1"/>
      <c r="CG107" s="527">
        <f t="shared" si="64"/>
        <v>1633.7325674646286</v>
      </c>
      <c r="CH107" s="528">
        <f t="shared" si="65"/>
        <v>702.08592706733941</v>
      </c>
      <c r="CI107" s="528">
        <f t="shared" si="66"/>
        <v>2715.2195687510516</v>
      </c>
      <c r="CJ107" s="528">
        <f t="shared" si="67"/>
        <v>3518.6103083121711</v>
      </c>
      <c r="CK107" s="528">
        <f t="shared" si="68"/>
        <v>43.464357808635029</v>
      </c>
      <c r="CL107" s="528">
        <f t="shared" si="69"/>
        <v>8613.1127294038251</v>
      </c>
      <c r="CM107" s="646">
        <f t="shared" si="70"/>
        <v>0</v>
      </c>
    </row>
    <row r="108" spans="1:91" s="4" customFormat="1">
      <c r="A108" s="150">
        <f>'Input data'!A128</f>
        <v>2028</v>
      </c>
      <c r="B108" s="1506">
        <f>'Input data'!B128</f>
        <v>64.818788725428234</v>
      </c>
      <c r="C108" s="1507">
        <f>'Input data'!C128</f>
        <v>3485.2345926420976</v>
      </c>
      <c r="D108" s="1507">
        <f>'Input data'!D128</f>
        <v>48196370.991930716</v>
      </c>
      <c r="E108" s="1455">
        <f t="shared" si="71"/>
        <v>0.9561230769230773</v>
      </c>
      <c r="F108" s="1449">
        <f t="shared" si="72"/>
        <v>0.35530384615384603</v>
      </c>
      <c r="G108" s="1554">
        <f>B108*F108*'Input data'!$C$9</f>
        <v>704.89246255338583</v>
      </c>
      <c r="H108" s="1549">
        <f>'Input data'!I128</f>
        <v>424.26313389388866</v>
      </c>
      <c r="I108" s="1557">
        <f>'Input data'!K128</f>
        <v>27500.222439856039</v>
      </c>
      <c r="J108" s="1557">
        <f>($J$112-$J$107)/($A$112-$A$107)+J107</f>
        <v>3566.0900742274539</v>
      </c>
      <c r="K108" s="1511">
        <f t="shared" si="73"/>
        <v>9213.7706207096853</v>
      </c>
      <c r="L108" s="1504">
        <f t="shared" si="74"/>
        <v>0.68153846153846187</v>
      </c>
      <c r="M108" s="1504">
        <f t="shared" si="29"/>
        <v>0.57492307692307676</v>
      </c>
      <c r="N108" s="1504">
        <f t="shared" si="75"/>
        <v>0.87107692307692264</v>
      </c>
      <c r="O108" s="1504">
        <f t="shared" si="76"/>
        <v>0.88461538461538436</v>
      </c>
      <c r="P108" s="1449">
        <f t="shared" si="30"/>
        <v>0.23600000000000002</v>
      </c>
      <c r="Q108" s="1508">
        <f t="shared" si="31"/>
        <v>249.15434962615245</v>
      </c>
      <c r="R108" s="1509">
        <f t="shared" si="32"/>
        <v>173.86764901877143</v>
      </c>
      <c r="S108" s="1509">
        <f t="shared" si="33"/>
        <v>509.15647993498305</v>
      </c>
      <c r="T108" s="1509">
        <f t="shared" si="34"/>
        <v>342.83410015823756</v>
      </c>
      <c r="U108" s="1511">
        <f t="shared" si="35"/>
        <v>0</v>
      </c>
      <c r="V108" s="1509">
        <f t="shared" si="9"/>
        <v>1275.0125787381444</v>
      </c>
      <c r="W108" s="1454">
        <f>W107</f>
        <v>0.5</v>
      </c>
      <c r="X108" s="530">
        <f t="shared" si="36"/>
        <v>3033.4854703020706</v>
      </c>
      <c r="Y108" s="528">
        <f t="shared" si="77"/>
        <v>4308.4980490402149</v>
      </c>
      <c r="Z108" s="528">
        <f t="shared" si="78"/>
        <v>8471.3626458969229</v>
      </c>
      <c r="AA108" s="530">
        <f t="shared" si="79"/>
        <v>4905.2725716694695</v>
      </c>
      <c r="AB108" s="1091">
        <f t="shared" si="37"/>
        <v>0.57904174059238533</v>
      </c>
      <c r="AC108" s="135" t="str">
        <f t="shared" si="38"/>
        <v>Yes</v>
      </c>
      <c r="AD108" s="1091">
        <f t="shared" si="39"/>
        <v>0.57904174059238533</v>
      </c>
      <c r="AE108" s="649">
        <f t="shared" si="10"/>
        <v>0.2646188378775074</v>
      </c>
      <c r="AF108" s="530">
        <f t="shared" si="11"/>
        <v>311.99511644861855</v>
      </c>
      <c r="AG108" s="527">
        <f t="shared" si="40"/>
        <v>3566.0900742274539</v>
      </c>
      <c r="AH108" s="528">
        <f t="shared" si="80"/>
        <v>8813.224030306008</v>
      </c>
      <c r="AI108" s="528">
        <f t="shared" si="81"/>
        <v>6437.6604656145792</v>
      </c>
      <c r="AJ108" s="528">
        <f t="shared" si="12"/>
        <v>1406.1709663003417</v>
      </c>
      <c r="AK108" s="528">
        <f t="shared" si="41"/>
        <v>20223.145536448385</v>
      </c>
      <c r="AL108" s="716">
        <f t="shared" si="13"/>
        <v>0</v>
      </c>
      <c r="AM108" s="417">
        <f t="shared" si="42"/>
        <v>0.176337062293314</v>
      </c>
      <c r="AN108" s="417">
        <f t="shared" si="43"/>
        <v>0.43579887285199242</v>
      </c>
      <c r="AO108" s="417">
        <f t="shared" si="44"/>
        <v>0.31833131270365023</v>
      </c>
      <c r="AP108" s="417">
        <f t="shared" si="45"/>
        <v>6.9532752151043223E-2</v>
      </c>
      <c r="AQ108" s="417">
        <f t="shared" si="46"/>
        <v>0.99999999999999989</v>
      </c>
      <c r="AR108" s="1086">
        <f t="shared" si="14"/>
        <v>728.24783795285452</v>
      </c>
      <c r="AS108" s="938">
        <f t="shared" si="15"/>
        <v>923.61527622856477</v>
      </c>
      <c r="AT108" s="938">
        <f t="shared" si="16"/>
        <v>212.51444043407614</v>
      </c>
      <c r="AU108" s="938">
        <f t="shared" si="17"/>
        <v>0</v>
      </c>
      <c r="AV108" s="938">
        <f t="shared" si="18"/>
        <v>0</v>
      </c>
      <c r="AW108" s="938">
        <f t="shared" si="19"/>
        <v>0</v>
      </c>
      <c r="AX108" s="938">
        <f t="shared" si="20"/>
        <v>1350.953212507135</v>
      </c>
      <c r="AY108" s="938">
        <f t="shared" si="21"/>
        <v>122.12600993275862</v>
      </c>
      <c r="AZ108" s="938">
        <f t="shared" si="22"/>
        <v>69.558673440379437</v>
      </c>
      <c r="BA108" s="938">
        <f t="shared" si="23"/>
        <v>105.24502089915943</v>
      </c>
      <c r="BB108" s="938">
        <f t="shared" si="24"/>
        <v>53.829602832525026</v>
      </c>
      <c r="BC108" s="530">
        <f t="shared" si="47"/>
        <v>3566.090074227453</v>
      </c>
      <c r="BD108" s="724">
        <f t="shared" si="48"/>
        <v>0</v>
      </c>
      <c r="BE108" s="436">
        <f t="shared" si="49"/>
        <v>0.20421465044194656</v>
      </c>
      <c r="BF108" s="624">
        <f t="shared" si="50"/>
        <v>0.25899942430047956</v>
      </c>
      <c r="BG108" s="624">
        <f t="shared" si="51"/>
        <v>5.9593121881565098E-2</v>
      </c>
      <c r="BH108" s="624">
        <f t="shared" si="52"/>
        <v>0</v>
      </c>
      <c r="BI108" s="624">
        <f t="shared" si="53"/>
        <v>0</v>
      </c>
      <c r="BJ108" s="624">
        <f t="shared" si="54"/>
        <v>0</v>
      </c>
      <c r="BK108" s="624">
        <f t="shared" si="55"/>
        <v>0.47719280337600883</v>
      </c>
      <c r="BL108" s="624">
        <f t="shared" si="56"/>
        <v>1</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87.042134181946935</v>
      </c>
      <c r="BW108" s="114">
        <f t="shared" si="59"/>
        <v>0.59797082493887088</v>
      </c>
      <c r="BX108" s="1689">
        <f t="shared" si="25"/>
        <v>48.196370991930714</v>
      </c>
      <c r="BY108" s="527">
        <f t="shared" si="60"/>
        <v>87.042134181946935</v>
      </c>
      <c r="BZ108" s="417">
        <f t="shared" si="61"/>
        <v>0.59797082493887088</v>
      </c>
      <c r="CA108" s="544">
        <f t="shared" si="26"/>
        <v>48.196370991930714</v>
      </c>
      <c r="CB108" s="649">
        <f t="shared" si="27"/>
        <v>0.2646188378775074</v>
      </c>
      <c r="CC108" s="525">
        <f t="shared" si="62"/>
        <v>0.25861615901728963</v>
      </c>
      <c r="CD108" s="417">
        <f t="shared" si="28"/>
        <v>0.2646188378775074</v>
      </c>
      <c r="CE108" s="525">
        <f t="shared" si="63"/>
        <v>0.25861615901728963</v>
      </c>
      <c r="CF108"/>
      <c r="CG108" s="527">
        <f t="shared" si="64"/>
        <v>1672.354195217958</v>
      </c>
      <c r="CH108" s="528">
        <f t="shared" si="65"/>
        <v>724.75561002024438</v>
      </c>
      <c r="CI108" s="528">
        <f t="shared" si="66"/>
        <v>2788.0502798760949</v>
      </c>
      <c r="CJ108" s="528">
        <f t="shared" si="67"/>
        <v>3584.1746834724963</v>
      </c>
      <c r="CK108" s="528">
        <f t="shared" si="68"/>
        <v>43.889261719214254</v>
      </c>
      <c r="CL108" s="528">
        <f t="shared" si="69"/>
        <v>8813.224030306008</v>
      </c>
      <c r="CM108" s="646">
        <f t="shared" si="70"/>
        <v>0</v>
      </c>
    </row>
    <row r="109" spans="1:91" s="4" customFormat="1">
      <c r="A109" s="150">
        <f>'Input data'!A129</f>
        <v>2029</v>
      </c>
      <c r="B109" s="1506">
        <f>'Input data'!B129</f>
        <v>65.435442210930105</v>
      </c>
      <c r="C109" s="1507">
        <f>'Input data'!C129</f>
        <v>3537.8042151577115</v>
      </c>
      <c r="D109" s="1507">
        <f>'Input data'!D129</f>
        <v>46504880.945737489</v>
      </c>
      <c r="E109" s="1455">
        <f t="shared" si="71"/>
        <v>0.97806153846153887</v>
      </c>
      <c r="F109" s="1449">
        <f t="shared" si="72"/>
        <v>0.36127692307692294</v>
      </c>
      <c r="G109" s="1554">
        <f>B109*F109*'Input data'!$C$9</f>
        <v>723.56126609065177</v>
      </c>
      <c r="H109" s="1549">
        <f>'Input data'!I129</f>
        <v>424.26313389388866</v>
      </c>
      <c r="I109" s="1557">
        <f>'Input data'!K129</f>
        <v>27761.845780141652</v>
      </c>
      <c r="J109" s="1557">
        <f t="shared" ref="J109:J111" si="85">($J$112-$J$107)/($A$112-$A$107)+J108</f>
        <v>3231.7691297686301</v>
      </c>
      <c r="K109" s="1511">
        <f t="shared" si="73"/>
        <v>9669.6727578554637</v>
      </c>
      <c r="L109" s="1504">
        <f t="shared" si="74"/>
        <v>0.69076923076923114</v>
      </c>
      <c r="M109" s="1504">
        <f>($M$110-$M$97)/($A$110-$A$97)+M108</f>
        <v>0.58746153846153826</v>
      </c>
      <c r="N109" s="1504">
        <f t="shared" si="75"/>
        <v>0.88553846153846105</v>
      </c>
      <c r="O109" s="1504">
        <f t="shared" si="76"/>
        <v>0.89230769230769202</v>
      </c>
      <c r="P109" s="1449">
        <f t="shared" si="30"/>
        <v>0.23600000000000002</v>
      </c>
      <c r="Q109" s="1508">
        <f t="shared" si="31"/>
        <v>274.3905592327651</v>
      </c>
      <c r="R109" s="1509">
        <f t="shared" si="32"/>
        <v>191.47826043707619</v>
      </c>
      <c r="S109" s="1509">
        <f t="shared" si="33"/>
        <v>560.72764322988087</v>
      </c>
      <c r="T109" s="1509">
        <f t="shared" si="34"/>
        <v>377.55889314246406</v>
      </c>
      <c r="U109" s="1511">
        <f t="shared" si="35"/>
        <v>0</v>
      </c>
      <c r="V109" s="1509">
        <f t="shared" si="9"/>
        <v>1404.1553560421862</v>
      </c>
      <c r="W109" s="1454">
        <f t="shared" ref="W109:W130" si="86">W108</f>
        <v>0.5</v>
      </c>
      <c r="X109" s="530">
        <f t="shared" si="36"/>
        <v>3033.4854703020706</v>
      </c>
      <c r="Y109" s="528">
        <f t="shared" si="77"/>
        <v>4437.6408263442572</v>
      </c>
      <c r="Z109" s="528">
        <f t="shared" si="78"/>
        <v>8463.8010612798371</v>
      </c>
      <c r="AA109" s="530">
        <f t="shared" si="79"/>
        <v>5232.0319315112065</v>
      </c>
      <c r="AB109" s="1091">
        <f t="shared" si="37"/>
        <v>0.61816575007258678</v>
      </c>
      <c r="AC109" s="135" t="str">
        <f t="shared" si="38"/>
        <v>Yes</v>
      </c>
      <c r="AD109" s="1091">
        <f t="shared" si="39"/>
        <v>0.61816575007258678</v>
      </c>
      <c r="AE109" s="649">
        <f t="shared" si="10"/>
        <v>0.28062685187122149</v>
      </c>
      <c r="AF109" s="530">
        <f t="shared" si="11"/>
        <v>305.20350626422811</v>
      </c>
      <c r="AG109" s="527">
        <f t="shared" si="40"/>
        <v>3231.7691297686301</v>
      </c>
      <c r="AH109" s="528">
        <f t="shared" si="80"/>
        <v>9014.0815751560822</v>
      </c>
      <c r="AI109" s="528">
        <f t="shared" si="81"/>
        <v>6437.6604656145792</v>
      </c>
      <c r="AJ109" s="528">
        <f t="shared" si="12"/>
        <v>1287.6152261868533</v>
      </c>
      <c r="AK109" s="528">
        <f t="shared" si="41"/>
        <v>19971.126396726144</v>
      </c>
      <c r="AL109" s="716">
        <f t="shared" si="13"/>
        <v>0</v>
      </c>
      <c r="AM109" s="417">
        <f t="shared" si="42"/>
        <v>0.16182207580932503</v>
      </c>
      <c r="AN109" s="417">
        <f t="shared" si="43"/>
        <v>0.4513556920171391</v>
      </c>
      <c r="AO109" s="417">
        <f t="shared" si="44"/>
        <v>0.32234839125898784</v>
      </c>
      <c r="AP109" s="417">
        <f t="shared" si="45"/>
        <v>6.4473840914548081E-2</v>
      </c>
      <c r="AQ109" s="417">
        <f t="shared" si="46"/>
        <v>1</v>
      </c>
      <c r="AR109" s="1086">
        <f t="shared" si="14"/>
        <v>671.70655630519491</v>
      </c>
      <c r="AS109" s="938">
        <f t="shared" si="15"/>
        <v>851.90563461243539</v>
      </c>
      <c r="AT109" s="938">
        <f t="shared" si="16"/>
        <v>185.86615029872368</v>
      </c>
      <c r="AU109" s="938">
        <f t="shared" si="17"/>
        <v>0</v>
      </c>
      <c r="AV109" s="938">
        <f t="shared" si="18"/>
        <v>0</v>
      </c>
      <c r="AW109" s="938">
        <f t="shared" si="19"/>
        <v>0</v>
      </c>
      <c r="AX109" s="938">
        <f t="shared" si="20"/>
        <v>1237.0529387809111</v>
      </c>
      <c r="AY109" s="938">
        <f t="shared" si="21"/>
        <v>105.73669222201615</v>
      </c>
      <c r="AZ109" s="938">
        <f t="shared" si="22"/>
        <v>45.85202424494895</v>
      </c>
      <c r="BA109" s="938">
        <f t="shared" si="23"/>
        <v>84.35796040448507</v>
      </c>
      <c r="BB109" s="938">
        <f t="shared" si="24"/>
        <v>49.291172899914642</v>
      </c>
      <c r="BC109" s="530">
        <f t="shared" si="47"/>
        <v>3231.7691297686301</v>
      </c>
      <c r="BD109" s="724">
        <f t="shared" si="48"/>
        <v>0</v>
      </c>
      <c r="BE109" s="436">
        <f t="shared" si="49"/>
        <v>0.2078448457589184</v>
      </c>
      <c r="BF109" s="624">
        <f t="shared" si="50"/>
        <v>0.26360349406314965</v>
      </c>
      <c r="BG109" s="624">
        <f t="shared" si="51"/>
        <v>5.7512199304914538E-2</v>
      </c>
      <c r="BH109" s="624">
        <f t="shared" si="52"/>
        <v>0</v>
      </c>
      <c r="BI109" s="624">
        <f t="shared" si="53"/>
        <v>0</v>
      </c>
      <c r="BJ109" s="624">
        <f t="shared" si="54"/>
        <v>0</v>
      </c>
      <c r="BK109" s="624">
        <f t="shared" si="55"/>
        <v>0.4710394608730174</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85.368178153064562</v>
      </c>
      <c r="BW109" s="114">
        <f t="shared" si="59"/>
        <v>0.62110656247266083</v>
      </c>
      <c r="BX109" s="1689">
        <f t="shared" si="25"/>
        <v>46.50488094573749</v>
      </c>
      <c r="BY109" s="527">
        <f t="shared" si="60"/>
        <v>85.368178153064562</v>
      </c>
      <c r="BZ109" s="417">
        <f t="shared" si="61"/>
        <v>0.62110656247266083</v>
      </c>
      <c r="CA109" s="544">
        <f t="shared" si="26"/>
        <v>46.50488094573749</v>
      </c>
      <c r="CB109" s="649">
        <f t="shared" si="27"/>
        <v>0.28062685187122149</v>
      </c>
      <c r="CC109" s="525">
        <f t="shared" si="62"/>
        <v>0.26576566386252065</v>
      </c>
      <c r="CD109" s="417">
        <f t="shared" si="28"/>
        <v>0.28062685187122149</v>
      </c>
      <c r="CE109" s="525">
        <f t="shared" si="63"/>
        <v>0.26576566386252065</v>
      </c>
      <c r="CF109"/>
      <c r="CG109" s="527">
        <f t="shared" si="64"/>
        <v>1711.1300152154326</v>
      </c>
      <c r="CH109" s="528">
        <f t="shared" si="65"/>
        <v>747.60709353678567</v>
      </c>
      <c r="CI109" s="528">
        <f t="shared" si="66"/>
        <v>2861.3016971907805</v>
      </c>
      <c r="CJ109" s="528">
        <f t="shared" si="67"/>
        <v>3649.7359670438304</v>
      </c>
      <c r="CK109" s="528">
        <f t="shared" si="68"/>
        <v>44.306802169251078</v>
      </c>
      <c r="CL109" s="528">
        <f t="shared" si="69"/>
        <v>9014.0815751560804</v>
      </c>
      <c r="CM109" s="646">
        <f t="shared" si="70"/>
        <v>0</v>
      </c>
    </row>
    <row r="110" spans="1:91" s="464" customFormat="1">
      <c r="A110" s="150">
        <f>'Input data'!A130</f>
        <v>2030</v>
      </c>
      <c r="B110" s="1506">
        <f>'Input data'!B130</f>
        <v>66.040790860694059</v>
      </c>
      <c r="C110" s="1507">
        <f>'Input data'!C130</f>
        <v>3601.1809165553482</v>
      </c>
      <c r="D110" s="1507">
        <f>'Input data'!D130</f>
        <v>44627656.242225982</v>
      </c>
      <c r="E110" s="1455">
        <f>C52</f>
        <v>1</v>
      </c>
      <c r="F110" s="1449">
        <f>D52</f>
        <v>0.36725000000000002</v>
      </c>
      <c r="G110" s="1554">
        <f>B110*F110*'Input data'!$C$9</f>
        <v>742.32846947961411</v>
      </c>
      <c r="H110" s="1549">
        <f>'Input data'!I130</f>
        <v>424.26313389388866</v>
      </c>
      <c r="I110" s="1557">
        <f>'Input data'!K130</f>
        <v>28018.672895388943</v>
      </c>
      <c r="J110" s="1557">
        <f t="shared" si="85"/>
        <v>2897.4481853098064</v>
      </c>
      <c r="K110" s="1511">
        <f t="shared" si="73"/>
        <v>10123.346000744647</v>
      </c>
      <c r="L110" s="1449">
        <f>C19</f>
        <v>0.7</v>
      </c>
      <c r="M110" s="1449">
        <f>D19</f>
        <v>0.6</v>
      </c>
      <c r="N110" s="1449">
        <f>E19</f>
        <v>0.9</v>
      </c>
      <c r="O110" s="1449">
        <f>F19</f>
        <v>0.9</v>
      </c>
      <c r="P110" s="1449">
        <f>G19</f>
        <v>0.23600000000000002</v>
      </c>
      <c r="Q110" s="1508">
        <f t="shared" si="31"/>
        <v>300.00638289969538</v>
      </c>
      <c r="R110" s="1509">
        <f t="shared" si="32"/>
        <v>209.35377834527856</v>
      </c>
      <c r="S110" s="1509">
        <f t="shared" si="33"/>
        <v>613.0745624326164</v>
      </c>
      <c r="T110" s="1509">
        <f t="shared" si="34"/>
        <v>412.8060315923517</v>
      </c>
      <c r="U110" s="1511">
        <f t="shared" si="35"/>
        <v>0</v>
      </c>
      <c r="V110" s="1509">
        <f t="shared" si="9"/>
        <v>1535.2407552699419</v>
      </c>
      <c r="W110" s="1454">
        <f t="shared" si="86"/>
        <v>0.5</v>
      </c>
      <c r="X110" s="530">
        <f t="shared" si="36"/>
        <v>3033.4854703020706</v>
      </c>
      <c r="Y110" s="528">
        <f t="shared" si="77"/>
        <v>4568.7262255720125</v>
      </c>
      <c r="Z110" s="528">
        <f t="shared" si="78"/>
        <v>8452.06796048244</v>
      </c>
      <c r="AA110" s="530">
        <f t="shared" si="79"/>
        <v>5554.619775172634</v>
      </c>
      <c r="AB110" s="1091">
        <f t="shared" si="37"/>
        <v>0.65719061904651077</v>
      </c>
      <c r="AC110" s="135" t="str">
        <f t="shared" si="38"/>
        <v>Yes</v>
      </c>
      <c r="AD110" s="1091">
        <f t="shared" si="39"/>
        <v>0.65719061904651077</v>
      </c>
      <c r="AE110" s="649">
        <f t="shared" si="10"/>
        <v>0.29627693816720957</v>
      </c>
      <c r="AF110" s="530">
        <f t="shared" si="11"/>
        <v>298.56375160658246</v>
      </c>
      <c r="AG110" s="527">
        <f t="shared" si="40"/>
        <v>2897.4481853098064</v>
      </c>
      <c r="AH110" s="528">
        <f t="shared" si="80"/>
        <v>9215.5670268003014</v>
      </c>
      <c r="AI110" s="528">
        <f t="shared" si="81"/>
        <v>6437.6604656145792</v>
      </c>
      <c r="AJ110" s="528">
        <f t="shared" si="12"/>
        <v>1166.7106007098362</v>
      </c>
      <c r="AK110" s="528">
        <f t="shared" si="41"/>
        <v>19717.386278434522</v>
      </c>
      <c r="AL110" s="716">
        <f t="shared" si="13"/>
        <v>0</v>
      </c>
      <c r="AM110" s="417">
        <f t="shared" si="42"/>
        <v>0.14694889801285832</v>
      </c>
      <c r="AN110" s="417">
        <f t="shared" si="43"/>
        <v>0.46738279083570194</v>
      </c>
      <c r="AO110" s="417">
        <f t="shared" si="44"/>
        <v>0.32649664487506824</v>
      </c>
      <c r="AP110" s="417">
        <f t="shared" si="45"/>
        <v>5.9171666276371604E-2</v>
      </c>
      <c r="AQ110" s="417">
        <f t="shared" si="46"/>
        <v>1</v>
      </c>
      <c r="AR110" s="1086">
        <f t="shared" si="14"/>
        <v>612.87582041758969</v>
      </c>
      <c r="AS110" s="938">
        <f t="shared" si="15"/>
        <v>777.292345638857</v>
      </c>
      <c r="AT110" s="938">
        <f t="shared" si="16"/>
        <v>160.50251758170836</v>
      </c>
      <c r="AU110" s="938">
        <f t="shared" si="17"/>
        <v>0</v>
      </c>
      <c r="AV110" s="938">
        <f t="shared" si="18"/>
        <v>0</v>
      </c>
      <c r="AW110" s="938">
        <f t="shared" si="19"/>
        <v>0</v>
      </c>
      <c r="AX110" s="938">
        <f t="shared" si="20"/>
        <v>1120.8960161096306</v>
      </c>
      <c r="AY110" s="938">
        <f t="shared" si="21"/>
        <v>90.287568375093656</v>
      </c>
      <c r="AZ110" s="938">
        <f t="shared" si="22"/>
        <v>25.379859191228938</v>
      </c>
      <c r="BA110" s="938">
        <f t="shared" si="23"/>
        <v>65.551232662341533</v>
      </c>
      <c r="BB110" s="938">
        <f t="shared" si="24"/>
        <v>44.662825333355002</v>
      </c>
      <c r="BC110" s="530">
        <f t="shared" si="47"/>
        <v>2897.448185309805</v>
      </c>
      <c r="BD110" s="724">
        <f t="shared" si="48"/>
        <v>0</v>
      </c>
      <c r="BE110" s="436">
        <f t="shared" si="49"/>
        <v>0.21152261618513082</v>
      </c>
      <c r="BF110" s="624">
        <f t="shared" si="50"/>
        <v>0.26826790193514582</v>
      </c>
      <c r="BG110" s="624">
        <f t="shared" si="51"/>
        <v>5.5394439284700059E-2</v>
      </c>
      <c r="BH110" s="624">
        <f t="shared" si="52"/>
        <v>0</v>
      </c>
      <c r="BI110" s="624">
        <f t="shared" si="53"/>
        <v>0</v>
      </c>
      <c r="BJ110" s="624">
        <f t="shared" si="54"/>
        <v>0</v>
      </c>
      <c r="BK110" s="624">
        <f t="shared" si="55"/>
        <v>0.46481504259502315</v>
      </c>
      <c r="BL110" s="624">
        <f t="shared" si="56"/>
        <v>0.99999999999999989</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83.562180282260599</v>
      </c>
      <c r="BW110" s="114">
        <f t="shared" si="59"/>
        <v>0.64488669598602022</v>
      </c>
      <c r="BX110" s="1689">
        <f t="shared" si="25"/>
        <v>44.627656242225981</v>
      </c>
      <c r="BY110" s="527">
        <f t="shared" si="60"/>
        <v>83.562180282260599</v>
      </c>
      <c r="BZ110" s="417">
        <f t="shared" si="61"/>
        <v>0.64488669598602022</v>
      </c>
      <c r="CA110" s="544">
        <f t="shared" si="26"/>
        <v>44.627656242225981</v>
      </c>
      <c r="CB110" s="649">
        <f t="shared" si="27"/>
        <v>0.29627693816720957</v>
      </c>
      <c r="CC110" s="525">
        <f t="shared" si="62"/>
        <v>0.27410846670370259</v>
      </c>
      <c r="CD110" s="417">
        <f t="shared" si="28"/>
        <v>0.29627693816720957</v>
      </c>
      <c r="CE110" s="525">
        <f t="shared" si="63"/>
        <v>0.27410846670370259</v>
      </c>
      <c r="CF110" s="1"/>
      <c r="CG110" s="527">
        <f t="shared" si="64"/>
        <v>1750.0372335815559</v>
      </c>
      <c r="CH110" s="528">
        <f t="shared" si="65"/>
        <v>770.627404951946</v>
      </c>
      <c r="CI110" s="528">
        <f t="shared" si="66"/>
        <v>2934.931415900824</v>
      </c>
      <c r="CJ110" s="528">
        <f t="shared" si="67"/>
        <v>3715.2542843311703</v>
      </c>
      <c r="CK110" s="528">
        <f t="shared" si="68"/>
        <v>44.716688034804761</v>
      </c>
      <c r="CL110" s="528">
        <f t="shared" si="69"/>
        <v>9215.5670268003014</v>
      </c>
      <c r="CM110" s="646">
        <f t="shared" si="70"/>
        <v>0</v>
      </c>
    </row>
    <row r="111" spans="1:91" s="4" customFormat="1">
      <c r="A111" s="150">
        <f>'Input data'!A131</f>
        <v>2031</v>
      </c>
      <c r="B111" s="1506">
        <f>'Input data'!B131</f>
        <v>66.6344094187031</v>
      </c>
      <c r="C111" s="1507">
        <f>'Input data'!C131</f>
        <v>3689.3743282354972</v>
      </c>
      <c r="D111" s="1507">
        <f>'Input data'!D131</f>
        <v>43830165.240535274</v>
      </c>
      <c r="E111" s="1455">
        <f>E110</f>
        <v>1</v>
      </c>
      <c r="F111" s="1449">
        <f>F110</f>
        <v>0.36725000000000002</v>
      </c>
      <c r="G111" s="1554">
        <f>B111*F111*'Input data'!$C$9</f>
        <v>749.00101155366463</v>
      </c>
      <c r="H111" s="1549">
        <f>'Input data'!I131</f>
        <v>424.26313389388866</v>
      </c>
      <c r="I111" s="1557">
        <f>'Input data'!K131</f>
        <v>28270.52336514743</v>
      </c>
      <c r="J111" s="1557">
        <f t="shared" si="85"/>
        <v>2563.1272408509826</v>
      </c>
      <c r="K111" s="1511">
        <f t="shared" si="73"/>
        <v>10574.706504665477</v>
      </c>
      <c r="L111" s="1449">
        <f>L110</f>
        <v>0.7</v>
      </c>
      <c r="M111" s="1449">
        <f t="shared" ref="M111:P126" si="87">M110</f>
        <v>0.6</v>
      </c>
      <c r="N111" s="1449">
        <f t="shared" si="87"/>
        <v>0.9</v>
      </c>
      <c r="O111" s="1449">
        <f t="shared" si="87"/>
        <v>0.9</v>
      </c>
      <c r="P111" s="1449">
        <f t="shared" si="87"/>
        <v>0.23600000000000002</v>
      </c>
      <c r="Q111" s="1508">
        <f t="shared" si="31"/>
        <v>302.70303983080453</v>
      </c>
      <c r="R111" s="1509">
        <f t="shared" si="32"/>
        <v>211.23558936533766</v>
      </c>
      <c r="S111" s="1509">
        <f t="shared" si="33"/>
        <v>618.58528441156659</v>
      </c>
      <c r="T111" s="1509">
        <f t="shared" si="34"/>
        <v>416.51660679924453</v>
      </c>
      <c r="U111" s="1511">
        <f t="shared" si="35"/>
        <v>0</v>
      </c>
      <c r="V111" s="1509">
        <f t="shared" si="9"/>
        <v>1549.0405204069534</v>
      </c>
      <c r="W111" s="1454">
        <f t="shared" si="86"/>
        <v>0.5</v>
      </c>
      <c r="X111" s="530">
        <f t="shared" si="36"/>
        <v>3033.4854703020706</v>
      </c>
      <c r="Y111" s="528">
        <f t="shared" si="77"/>
        <v>4582.525990709024</v>
      </c>
      <c r="Z111" s="528">
        <f t="shared" si="78"/>
        <v>8555.3077548074361</v>
      </c>
      <c r="AA111" s="530">
        <f t="shared" si="79"/>
        <v>5992.1805139564531</v>
      </c>
      <c r="AB111" s="1091">
        <f t="shared" si="37"/>
        <v>0.70040502173510943</v>
      </c>
      <c r="AC111" s="135" t="str">
        <f t="shared" si="38"/>
        <v>Yes</v>
      </c>
      <c r="AD111" s="1091">
        <f t="shared" si="39"/>
        <v>0.70040502173510943</v>
      </c>
      <c r="AE111" s="649">
        <f t="shared" si="10"/>
        <v>0.31632001082729411</v>
      </c>
      <c r="AF111" s="530">
        <f t="shared" si="11"/>
        <v>290.06021478695209</v>
      </c>
      <c r="AG111" s="527">
        <f t="shared" si="40"/>
        <v>2563.1272408509826</v>
      </c>
      <c r="AH111" s="528">
        <f t="shared" si="80"/>
        <v>9298.4026733512983</v>
      </c>
      <c r="AI111" s="528">
        <f t="shared" si="81"/>
        <v>6437.6604656145792</v>
      </c>
      <c r="AJ111" s="528">
        <f t="shared" si="12"/>
        <v>1028.8007283738625</v>
      </c>
      <c r="AK111" s="528">
        <f t="shared" si="41"/>
        <v>19327.991108190723</v>
      </c>
      <c r="AL111" s="716">
        <f t="shared" si="13"/>
        <v>0</v>
      </c>
      <c r="AM111" s="417">
        <f t="shared" si="42"/>
        <v>0.13261219060499221</v>
      </c>
      <c r="AN111" s="417">
        <f t="shared" si="43"/>
        <v>0.48108479672317656</v>
      </c>
      <c r="AO111" s="417">
        <f t="shared" si="44"/>
        <v>0.33307447367804605</v>
      </c>
      <c r="AP111" s="417">
        <f t="shared" si="45"/>
        <v>5.322853899378515E-2</v>
      </c>
      <c r="AQ111" s="417">
        <f t="shared" si="46"/>
        <v>0.99999999999999989</v>
      </c>
      <c r="AR111" s="1086">
        <f t="shared" si="14"/>
        <v>544.03288550003936</v>
      </c>
      <c r="AS111" s="938">
        <f t="shared" si="15"/>
        <v>689.98087962888189</v>
      </c>
      <c r="AT111" s="938">
        <f t="shared" si="16"/>
        <v>141.53047627529642</v>
      </c>
      <c r="AU111" s="938">
        <f t="shared" si="17"/>
        <v>0</v>
      </c>
      <c r="AV111" s="938">
        <f t="shared" si="18"/>
        <v>0</v>
      </c>
      <c r="AW111" s="938">
        <f t="shared" si="19"/>
        <v>0</v>
      </c>
      <c r="AX111" s="938">
        <f t="shared" si="20"/>
        <v>988.40161142218619</v>
      </c>
      <c r="AY111" s="938">
        <f t="shared" si="21"/>
        <v>79.615215676353216</v>
      </c>
      <c r="AZ111" s="938">
        <f t="shared" si="22"/>
        <v>22.379858043696803</v>
      </c>
      <c r="BA111" s="938">
        <f t="shared" si="23"/>
        <v>57.802814054994414</v>
      </c>
      <c r="BB111" s="938">
        <f t="shared" si="24"/>
        <v>39.383500249534364</v>
      </c>
      <c r="BC111" s="530">
        <f t="shared" si="47"/>
        <v>2563.1272408509831</v>
      </c>
      <c r="BD111" s="724">
        <f t="shared" si="48"/>
        <v>0</v>
      </c>
      <c r="BE111" s="436">
        <f t="shared" si="49"/>
        <v>0.21225356152019015</v>
      </c>
      <c r="BF111" s="624">
        <f t="shared" si="50"/>
        <v>0.26919493836747704</v>
      </c>
      <c r="BG111" s="624">
        <f t="shared" si="51"/>
        <v>5.5217889310991419E-2</v>
      </c>
      <c r="BH111" s="624">
        <f t="shared" si="52"/>
        <v>0</v>
      </c>
      <c r="BI111" s="624">
        <f t="shared" si="53"/>
        <v>0</v>
      </c>
      <c r="BJ111" s="624">
        <f t="shared" si="54"/>
        <v>0</v>
      </c>
      <c r="BK111" s="624">
        <f t="shared" si="55"/>
        <v>0.46333361080134122</v>
      </c>
      <c r="BL111" s="624">
        <f t="shared" si="56"/>
        <v>0.99999999999999978</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82.827509884575605</v>
      </c>
      <c r="BW111" s="114">
        <f t="shared" si="59"/>
        <v>0.65155023463349604</v>
      </c>
      <c r="BX111" s="1689">
        <f t="shared" si="25"/>
        <v>43.830165240535273</v>
      </c>
      <c r="BY111" s="527">
        <f t="shared" si="60"/>
        <v>82.827509884575605</v>
      </c>
      <c r="BZ111" s="417">
        <f t="shared" si="61"/>
        <v>0.65155023463349604</v>
      </c>
      <c r="CA111" s="544">
        <f t="shared" si="26"/>
        <v>43.830165240535273</v>
      </c>
      <c r="CB111" s="649">
        <f t="shared" si="27"/>
        <v>0.31632001082729411</v>
      </c>
      <c r="CC111" s="525">
        <f t="shared" si="62"/>
        <v>0.28019114672951217</v>
      </c>
      <c r="CD111" s="417">
        <f t="shared" si="28"/>
        <v>0.31632001082729411</v>
      </c>
      <c r="CE111" s="525">
        <f t="shared" si="63"/>
        <v>0.28019114672951217</v>
      </c>
      <c r="CF111"/>
      <c r="CG111" s="527">
        <f t="shared" si="64"/>
        <v>1765.7677323463599</v>
      </c>
      <c r="CH111" s="528">
        <f t="shared" si="65"/>
        <v>777.55431668222479</v>
      </c>
      <c r="CI111" s="528">
        <f t="shared" si="66"/>
        <v>2961.3125317575</v>
      </c>
      <c r="CJ111" s="528">
        <f t="shared" si="67"/>
        <v>3748.6494611932058</v>
      </c>
      <c r="CK111" s="528">
        <f t="shared" si="68"/>
        <v>45.118631372009098</v>
      </c>
      <c r="CL111" s="528">
        <f t="shared" si="69"/>
        <v>9298.4026733513019</v>
      </c>
      <c r="CM111" s="646">
        <f t="shared" si="70"/>
        <v>0</v>
      </c>
    </row>
    <row r="112" spans="1:91" s="4" customFormat="1">
      <c r="A112" s="150">
        <f>'Input data'!A132</f>
        <v>2032</v>
      </c>
      <c r="B112" s="1506">
        <f>'Input data'!B132</f>
        <v>67.215877817791679</v>
      </c>
      <c r="C112" s="1507">
        <f>'Input data'!C132</f>
        <v>3770.9504220066083</v>
      </c>
      <c r="D112" s="1507">
        <f>'Input data'!D132</f>
        <v>42600148.259036541</v>
      </c>
      <c r="E112" s="1455">
        <f t="shared" ref="E112:E130" si="88">E111</f>
        <v>1</v>
      </c>
      <c r="F112" s="1449">
        <f t="shared" ref="F112:F130" si="89">F111</f>
        <v>0.36725000000000002</v>
      </c>
      <c r="G112" s="1554">
        <f>B112*F112*'Input data'!$C$9</f>
        <v>755.53698032570264</v>
      </c>
      <c r="H112" s="1549">
        <f>'Input data'!I132</f>
        <v>424.26313389388866</v>
      </c>
      <c r="I112" s="1557">
        <f>'Input data'!K132</f>
        <v>28517.218970405011</v>
      </c>
      <c r="J112" s="1557">
        <f>J97*(1-$G$6)</f>
        <v>2228.8062963921584</v>
      </c>
      <c r="K112" s="1511">
        <f t="shared" si="73"/>
        <v>11023.671447955228</v>
      </c>
      <c r="L112" s="1449">
        <f t="shared" ref="L112:P127" si="90">L111</f>
        <v>0.7</v>
      </c>
      <c r="M112" s="1449">
        <f t="shared" si="87"/>
        <v>0.6</v>
      </c>
      <c r="N112" s="1449">
        <f t="shared" si="87"/>
        <v>0.9</v>
      </c>
      <c r="O112" s="1449">
        <f t="shared" si="87"/>
        <v>0.9</v>
      </c>
      <c r="P112" s="1449">
        <f t="shared" si="87"/>
        <v>0.23600000000000002</v>
      </c>
      <c r="Q112" s="1508">
        <f t="shared" si="31"/>
        <v>305.34450170470927</v>
      </c>
      <c r="R112" s="1509">
        <f t="shared" si="32"/>
        <v>213.07888355898774</v>
      </c>
      <c r="S112" s="1509">
        <f t="shared" si="33"/>
        <v>623.98321317186219</v>
      </c>
      <c r="T112" s="1509">
        <f t="shared" si="34"/>
        <v>420.1512341136031</v>
      </c>
      <c r="U112" s="1511">
        <f t="shared" si="35"/>
        <v>0</v>
      </c>
      <c r="V112" s="1509">
        <f t="shared" si="9"/>
        <v>1562.5578325491624</v>
      </c>
      <c r="W112" s="1454">
        <f t="shared" si="86"/>
        <v>0.5</v>
      </c>
      <c r="X112" s="530">
        <f t="shared" si="36"/>
        <v>3033.4854703020706</v>
      </c>
      <c r="Y112" s="528">
        <f t="shared" si="77"/>
        <v>4596.0433028512325</v>
      </c>
      <c r="Z112" s="528">
        <f t="shared" si="78"/>
        <v>8656.4344414961542</v>
      </c>
      <c r="AA112" s="530">
        <f t="shared" si="79"/>
        <v>6427.6281451039958</v>
      </c>
      <c r="AB112" s="1091">
        <f t="shared" si="37"/>
        <v>0.74252605833783247</v>
      </c>
      <c r="AC112" s="135" t="str">
        <f t="shared" si="38"/>
        <v>Yes</v>
      </c>
      <c r="AD112" s="1091">
        <f t="shared" si="39"/>
        <v>0.74252605833783247</v>
      </c>
      <c r="AE112" s="649">
        <f t="shared" si="10"/>
        <v>0.33591409165143815</v>
      </c>
      <c r="AF112" s="530">
        <f t="shared" si="11"/>
        <v>281.7471686507306</v>
      </c>
      <c r="AG112" s="527">
        <f t="shared" si="40"/>
        <v>2228.8062963921584</v>
      </c>
      <c r="AH112" s="528">
        <f t="shared" si="80"/>
        <v>9379.5428434784317</v>
      </c>
      <c r="AI112" s="528">
        <f t="shared" si="81"/>
        <v>6437.6604656145792</v>
      </c>
      <c r="AJ112" s="528">
        <f t="shared" si="12"/>
        <v>891.87365805108493</v>
      </c>
      <c r="AK112" s="528">
        <f t="shared" si="41"/>
        <v>18937.883263536252</v>
      </c>
      <c r="AL112" s="716">
        <f t="shared" si="13"/>
        <v>0</v>
      </c>
      <c r="AM112" s="417">
        <f t="shared" si="42"/>
        <v>0.11769035986633153</v>
      </c>
      <c r="AN112" s="417">
        <f t="shared" si="43"/>
        <v>0.49527936744325451</v>
      </c>
      <c r="AO112" s="417">
        <f t="shared" si="44"/>
        <v>0.33993558709963667</v>
      </c>
      <c r="AP112" s="417">
        <f t="shared" si="45"/>
        <v>4.7094685590777383E-2</v>
      </c>
      <c r="AQ112" s="417">
        <f t="shared" si="46"/>
        <v>1</v>
      </c>
      <c r="AR112" s="1086">
        <f t="shared" si="14"/>
        <v>474.63019042376499</v>
      </c>
      <c r="AS112" s="938">
        <f t="shared" si="15"/>
        <v>601.95948630202702</v>
      </c>
      <c r="AT112" s="938">
        <f t="shared" si="16"/>
        <v>122.69363747523548</v>
      </c>
      <c r="AU112" s="938">
        <f t="shared" si="17"/>
        <v>0</v>
      </c>
      <c r="AV112" s="938">
        <f t="shared" si="18"/>
        <v>0</v>
      </c>
      <c r="AW112" s="938">
        <f t="shared" si="19"/>
        <v>0</v>
      </c>
      <c r="AX112" s="938">
        <f t="shared" si="20"/>
        <v>856.85141591613205</v>
      </c>
      <c r="AY112" s="938">
        <f t="shared" si="21"/>
        <v>69.018918516931308</v>
      </c>
      <c r="AZ112" s="938">
        <f t="shared" si="22"/>
        <v>19.401236128249021</v>
      </c>
      <c r="BA112" s="938">
        <f t="shared" si="23"/>
        <v>50.109613839756527</v>
      </c>
      <c r="BB112" s="938">
        <f t="shared" si="24"/>
        <v>34.141797790061133</v>
      </c>
      <c r="BC112" s="530">
        <f t="shared" si="47"/>
        <v>2228.8062963921575</v>
      </c>
      <c r="BD112" s="724">
        <f t="shared" si="48"/>
        <v>0</v>
      </c>
      <c r="BE112" s="436">
        <f t="shared" si="49"/>
        <v>0.21295264249390564</v>
      </c>
      <c r="BF112" s="624">
        <f t="shared" si="50"/>
        <v>0.27008156216914803</v>
      </c>
      <c r="BG112" s="624">
        <f t="shared" si="51"/>
        <v>5.5049035743412841E-2</v>
      </c>
      <c r="BH112" s="624">
        <f t="shared" si="52"/>
        <v>0</v>
      </c>
      <c r="BI112" s="624">
        <f t="shared" si="53"/>
        <v>0</v>
      </c>
      <c r="BJ112" s="624">
        <f t="shared" si="54"/>
        <v>0</v>
      </c>
      <c r="BK112" s="624">
        <f t="shared" si="55"/>
        <v>0.46191675959353351</v>
      </c>
      <c r="BL112" s="624">
        <f t="shared" si="56"/>
        <v>1</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81.625670230774517</v>
      </c>
      <c r="BW112" s="114">
        <f t="shared" si="59"/>
        <v>0.65955691177483156</v>
      </c>
      <c r="BX112" s="1689">
        <f t="shared" si="25"/>
        <v>42.600148259036544</v>
      </c>
      <c r="BY112" s="527">
        <f t="shared" si="60"/>
        <v>81.625670230774517</v>
      </c>
      <c r="BZ112" s="417">
        <f t="shared" si="61"/>
        <v>0.65955691177483156</v>
      </c>
      <c r="CA112" s="544">
        <f t="shared" si="26"/>
        <v>42.600148259036544</v>
      </c>
      <c r="CB112" s="649">
        <f t="shared" si="27"/>
        <v>0.33591409165143815</v>
      </c>
      <c r="CC112" s="525">
        <f t="shared" si="62"/>
        <v>0.28738471154494827</v>
      </c>
      <c r="CD112" s="417">
        <f t="shared" si="28"/>
        <v>0.33591409165143815</v>
      </c>
      <c r="CE112" s="525">
        <f t="shared" si="63"/>
        <v>0.28738471154494827</v>
      </c>
      <c r="CF112"/>
      <c r="CG112" s="527">
        <f t="shared" si="64"/>
        <v>1781.1762599441377</v>
      </c>
      <c r="CH112" s="528">
        <f t="shared" si="65"/>
        <v>784.33944868339051</v>
      </c>
      <c r="CI112" s="528">
        <f t="shared" si="66"/>
        <v>2987.153680078065</v>
      </c>
      <c r="CJ112" s="528">
        <f t="shared" si="67"/>
        <v>3781.361107022431</v>
      </c>
      <c r="CK112" s="528">
        <f t="shared" si="68"/>
        <v>45.512347750406022</v>
      </c>
      <c r="CL112" s="528">
        <f t="shared" si="69"/>
        <v>9379.5428434784299</v>
      </c>
      <c r="CM112" s="646">
        <f t="shared" si="70"/>
        <v>0</v>
      </c>
    </row>
    <row r="113" spans="1:91">
      <c r="A113" s="873">
        <f>'Input data'!A133</f>
        <v>2033</v>
      </c>
      <c r="B113" s="1551">
        <f>'Input data'!B133</f>
        <v>67.784781669940756</v>
      </c>
      <c r="C113" s="1550">
        <f>'Input data'!C133</f>
        <v>3867.5085984126213</v>
      </c>
      <c r="D113" s="1550">
        <f>'Input data'!D133</f>
        <v>41720520.537816472</v>
      </c>
      <c r="E113" s="1454">
        <f t="shared" si="88"/>
        <v>1</v>
      </c>
      <c r="F113" s="1504">
        <f t="shared" si="89"/>
        <v>0.36725000000000002</v>
      </c>
      <c r="G113" s="1511">
        <f>B113*F113*'Input data'!$C$9</f>
        <v>761.93171788627637</v>
      </c>
      <c r="H113" s="1542">
        <f>'Input data'!I133</f>
        <v>424.26313389388866</v>
      </c>
      <c r="I113" s="1509">
        <f>'Input data'!K133</f>
        <v>28758.583901602084</v>
      </c>
      <c r="J113" s="1509">
        <f>J112</f>
        <v>2228.8062963921584</v>
      </c>
      <c r="K113" s="1511">
        <f t="shared" si="73"/>
        <v>11135.838184209373</v>
      </c>
      <c r="L113" s="1504">
        <f t="shared" si="90"/>
        <v>0.7</v>
      </c>
      <c r="M113" s="1504">
        <f t="shared" si="87"/>
        <v>0.6</v>
      </c>
      <c r="N113" s="1504">
        <f t="shared" si="87"/>
        <v>0.9</v>
      </c>
      <c r="O113" s="1504">
        <f t="shared" si="87"/>
        <v>0.9</v>
      </c>
      <c r="P113" s="1504">
        <f t="shared" si="87"/>
        <v>0.23600000000000002</v>
      </c>
      <c r="Q113" s="1508">
        <f t="shared" si="31"/>
        <v>307.92888606287011</v>
      </c>
      <c r="R113" s="1509">
        <f t="shared" si="32"/>
        <v>214.88234728815212</v>
      </c>
      <c r="S113" s="1509">
        <f t="shared" si="33"/>
        <v>629.26450183719999</v>
      </c>
      <c r="T113" s="1509">
        <f t="shared" si="34"/>
        <v>423.70732328974054</v>
      </c>
      <c r="U113" s="1511">
        <f t="shared" si="35"/>
        <v>0</v>
      </c>
      <c r="V113" s="1509">
        <f t="shared" si="9"/>
        <v>1575.7830584779626</v>
      </c>
      <c r="W113" s="1454">
        <f t="shared" si="86"/>
        <v>0.5</v>
      </c>
      <c r="X113" s="530">
        <f t="shared" si="36"/>
        <v>3033.4854703020706</v>
      </c>
      <c r="Y113" s="528">
        <f t="shared" si="77"/>
        <v>4609.2685287800332</v>
      </c>
      <c r="Z113" s="528">
        <f t="shared" si="78"/>
        <v>8755.3759518214974</v>
      </c>
      <c r="AA113" s="530">
        <f t="shared" si="79"/>
        <v>6526.569655429339</v>
      </c>
      <c r="AB113" s="1091">
        <f t="shared" si="37"/>
        <v>0.74543568332682841</v>
      </c>
      <c r="AC113" s="135" t="str">
        <f t="shared" si="38"/>
        <v>Yes</v>
      </c>
      <c r="AD113" s="1091">
        <f t="shared" si="39"/>
        <v>0.74543568332682841</v>
      </c>
      <c r="AE113" s="649">
        <f t="shared" si="10"/>
        <v>0.33881811423292751</v>
      </c>
      <c r="AF113" s="530">
        <f t="shared" si="11"/>
        <v>280.51509892940925</v>
      </c>
      <c r="AG113" s="527">
        <f t="shared" si="40"/>
        <v>2228.8062963921584</v>
      </c>
      <c r="AH113" s="528">
        <f t="shared" si="80"/>
        <v>9458.9297120025185</v>
      </c>
      <c r="AI113" s="528">
        <f t="shared" si="81"/>
        <v>6437.6604656145792</v>
      </c>
      <c r="AJ113" s="528">
        <f t="shared" si="12"/>
        <v>889.25826204258135</v>
      </c>
      <c r="AK113" s="528">
        <f t="shared" si="41"/>
        <v>19014.654736051838</v>
      </c>
      <c r="AL113" s="716">
        <f t="shared" si="13"/>
        <v>0</v>
      </c>
      <c r="AM113" s="417">
        <f t="shared" si="42"/>
        <v>0.11721518625138828</v>
      </c>
      <c r="AN113" s="417">
        <f t="shared" si="43"/>
        <v>0.49745471812687514</v>
      </c>
      <c r="AO113" s="417">
        <f t="shared" si="44"/>
        <v>0.33856310067038753</v>
      </c>
      <c r="AP113" s="417">
        <f t="shared" si="45"/>
        <v>4.6766994951349034E-2</v>
      </c>
      <c r="AQ113" s="417">
        <f t="shared" si="46"/>
        <v>1</v>
      </c>
      <c r="AR113" s="1086">
        <f t="shared" si="14"/>
        <v>476.11980325034273</v>
      </c>
      <c r="AS113" s="938">
        <f t="shared" si="15"/>
        <v>603.84871836093794</v>
      </c>
      <c r="AT113" s="938">
        <f t="shared" si="16"/>
        <v>122.33384161533446</v>
      </c>
      <c r="AU113" s="938">
        <f t="shared" si="17"/>
        <v>0</v>
      </c>
      <c r="AV113" s="938">
        <f t="shared" si="18"/>
        <v>0</v>
      </c>
      <c r="AW113" s="938">
        <f t="shared" si="19"/>
        <v>0</v>
      </c>
      <c r="AX113" s="938">
        <f t="shared" si="20"/>
        <v>854.33872171013354</v>
      </c>
      <c r="AY113" s="938">
        <f t="shared" si="21"/>
        <v>68.816522356476412</v>
      </c>
      <c r="AZ113" s="938">
        <f t="shared" si="22"/>
        <v>19.344342514370201</v>
      </c>
      <c r="BA113" s="938">
        <f t="shared" si="23"/>
        <v>49.962668717158607</v>
      </c>
      <c r="BB113" s="938">
        <f t="shared" si="24"/>
        <v>34.041677867404836</v>
      </c>
      <c r="BC113" s="530">
        <f t="shared" si="47"/>
        <v>2228.8062963921584</v>
      </c>
      <c r="BD113" s="724">
        <f t="shared" si="48"/>
        <v>0</v>
      </c>
      <c r="BE113" s="436">
        <f t="shared" si="49"/>
        <v>0.21362098806928778</v>
      </c>
      <c r="BF113" s="624">
        <f t="shared" si="50"/>
        <v>0.27092920517068153</v>
      </c>
      <c r="BG113" s="624">
        <f t="shared" si="51"/>
        <v>5.4887605896196658E-2</v>
      </c>
      <c r="BH113" s="624">
        <f t="shared" si="52"/>
        <v>0</v>
      </c>
      <c r="BI113" s="624">
        <f t="shared" si="53"/>
        <v>0</v>
      </c>
      <c r="BJ113" s="624">
        <f t="shared" si="54"/>
        <v>0</v>
      </c>
      <c r="BK113" s="624">
        <f t="shared" si="55"/>
        <v>0.4605622008638342</v>
      </c>
      <c r="BL113" s="624">
        <f t="shared" si="56"/>
        <v>1.0000000000000002</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81.317920472132201</v>
      </c>
      <c r="BW113" s="114">
        <f t="shared" si="59"/>
        <v>0.66475878304801861</v>
      </c>
      <c r="BX113" s="1689">
        <f t="shared" si="25"/>
        <v>41.720520537816469</v>
      </c>
      <c r="BY113" s="527">
        <f t="shared" si="60"/>
        <v>81.317920472132201</v>
      </c>
      <c r="BZ113" s="417">
        <f t="shared" si="61"/>
        <v>0.66475878304801861</v>
      </c>
      <c r="CA113" s="544">
        <f t="shared" si="26"/>
        <v>41.720520537816469</v>
      </c>
      <c r="CB113" s="649">
        <f t="shared" si="27"/>
        <v>0.33881811423292751</v>
      </c>
      <c r="CC113" s="525">
        <f t="shared" si="62"/>
        <v>0.29401952941936627</v>
      </c>
      <c r="CD113" s="417">
        <f t="shared" si="28"/>
        <v>0.33881811423292751</v>
      </c>
      <c r="CE113" s="525">
        <f t="shared" si="63"/>
        <v>0.29401952941936627</v>
      </c>
      <c r="CG113" s="527">
        <f t="shared" si="64"/>
        <v>1796.2518353667424</v>
      </c>
      <c r="CH113" s="528">
        <f t="shared" si="65"/>
        <v>790.97796547786072</v>
      </c>
      <c r="CI113" s="528">
        <f t="shared" si="66"/>
        <v>3012.4364449653203</v>
      </c>
      <c r="CJ113" s="528">
        <f t="shared" si="67"/>
        <v>3813.3659096076676</v>
      </c>
      <c r="CK113" s="528">
        <f t="shared" si="68"/>
        <v>45.897556584927869</v>
      </c>
      <c r="CL113" s="528">
        <f t="shared" si="69"/>
        <v>9458.9297120025203</v>
      </c>
      <c r="CM113" s="646">
        <f t="shared" si="70"/>
        <v>0</v>
      </c>
    </row>
    <row r="114" spans="1:91">
      <c r="A114" s="873">
        <f>'Input data'!A134</f>
        <v>2034</v>
      </c>
      <c r="B114" s="1551">
        <f>'Input data'!B134</f>
        <v>68.342055626742408</v>
      </c>
      <c r="C114" s="1550">
        <f>'Input data'!C134</f>
        <v>3988.7128287659275</v>
      </c>
      <c r="D114" s="1550">
        <f>'Input data'!D134</f>
        <v>41169489.630995624</v>
      </c>
      <c r="E114" s="1454">
        <f t="shared" si="88"/>
        <v>1</v>
      </c>
      <c r="F114" s="1504">
        <f t="shared" si="89"/>
        <v>0.36725000000000002</v>
      </c>
      <c r="G114" s="1511">
        <f>B114*F114*'Input data'!$C$9</f>
        <v>768.19573014358014</v>
      </c>
      <c r="H114" s="1542">
        <f>'Input data'!I134</f>
        <v>424.26313389388866</v>
      </c>
      <c r="I114" s="1509">
        <f>'Input data'!K134</f>
        <v>28995.014696952203</v>
      </c>
      <c r="J114" s="1509">
        <f t="shared" ref="J114:J130" si="91">J113</f>
        <v>2228.8062963921584</v>
      </c>
      <c r="K114" s="1511">
        <f t="shared" si="73"/>
        <v>11245.711936509959</v>
      </c>
      <c r="L114" s="1504">
        <f t="shared" si="90"/>
        <v>0.7</v>
      </c>
      <c r="M114" s="1504">
        <f t="shared" si="87"/>
        <v>0.6</v>
      </c>
      <c r="N114" s="1504">
        <f t="shared" si="87"/>
        <v>0.9</v>
      </c>
      <c r="O114" s="1504">
        <f t="shared" si="87"/>
        <v>0.9</v>
      </c>
      <c r="P114" s="1504">
        <f t="shared" si="87"/>
        <v>0.23600000000000002</v>
      </c>
      <c r="Q114" s="1508">
        <f t="shared" si="31"/>
        <v>310.460438787866</v>
      </c>
      <c r="R114" s="1509">
        <f t="shared" si="32"/>
        <v>216.64894346165863</v>
      </c>
      <c r="S114" s="1509">
        <f t="shared" si="33"/>
        <v>634.4378270316538</v>
      </c>
      <c r="T114" s="1509">
        <f t="shared" si="34"/>
        <v>427.19071662314718</v>
      </c>
      <c r="U114" s="1511">
        <f t="shared" si="35"/>
        <v>0</v>
      </c>
      <c r="V114" s="1509">
        <f t="shared" si="9"/>
        <v>1588.7379259043255</v>
      </c>
      <c r="W114" s="1454">
        <f t="shared" si="86"/>
        <v>0.5</v>
      </c>
      <c r="X114" s="530">
        <f t="shared" si="36"/>
        <v>3033.4854703020706</v>
      </c>
      <c r="Y114" s="528">
        <f t="shared" si="77"/>
        <v>4622.2233962063965</v>
      </c>
      <c r="Z114" s="528">
        <f t="shared" si="78"/>
        <v>8852.2948366957207</v>
      </c>
      <c r="AA114" s="530">
        <f t="shared" si="79"/>
        <v>6623.4885403035623</v>
      </c>
      <c r="AB114" s="1091">
        <f t="shared" si="37"/>
        <v>0.74822276737179927</v>
      </c>
      <c r="AC114" s="135" t="str">
        <f t="shared" si="38"/>
        <v>Yes</v>
      </c>
      <c r="AD114" s="1091">
        <f t="shared" si="39"/>
        <v>0.74822276737179927</v>
      </c>
      <c r="AE114" s="649">
        <f t="shared" si="10"/>
        <v>0.34161394017639757</v>
      </c>
      <c r="AF114" s="530">
        <f t="shared" si="11"/>
        <v>279.32893305281084</v>
      </c>
      <c r="AG114" s="527">
        <f t="shared" si="40"/>
        <v>2228.8062963921584</v>
      </c>
      <c r="AH114" s="528">
        <f t="shared" si="80"/>
        <v>9536.6937035335832</v>
      </c>
      <c r="AI114" s="528">
        <f t="shared" si="81"/>
        <v>6437.6604656145792</v>
      </c>
      <c r="AJ114" s="528">
        <f t="shared" si="12"/>
        <v>886.75301531348384</v>
      </c>
      <c r="AK114" s="528">
        <f t="shared" si="41"/>
        <v>19089.913480853804</v>
      </c>
      <c r="AL114" s="716">
        <f t="shared" si="13"/>
        <v>0</v>
      </c>
      <c r="AM114" s="417">
        <f t="shared" si="42"/>
        <v>0.11675308526817242</v>
      </c>
      <c r="AN114" s="417">
        <f t="shared" si="43"/>
        <v>0.49956715168449528</v>
      </c>
      <c r="AO114" s="417">
        <f t="shared" si="44"/>
        <v>0.33722837309195874</v>
      </c>
      <c r="AP114" s="417">
        <f t="shared" si="45"/>
        <v>4.6451389955373623E-2</v>
      </c>
      <c r="AQ114" s="417">
        <f t="shared" si="46"/>
        <v>1</v>
      </c>
      <c r="AR114" s="1086">
        <f t="shared" si="14"/>
        <v>477.54667996395307</v>
      </c>
      <c r="AS114" s="938">
        <f t="shared" si="15"/>
        <v>605.65838405619081</v>
      </c>
      <c r="AT114" s="938">
        <f t="shared" si="16"/>
        <v>121.98919881622143</v>
      </c>
      <c r="AU114" s="938">
        <f t="shared" si="17"/>
        <v>0</v>
      </c>
      <c r="AV114" s="938">
        <f t="shared" si="18"/>
        <v>0</v>
      </c>
      <c r="AW114" s="938">
        <f t="shared" si="19"/>
        <v>0</v>
      </c>
      <c r="AX114" s="938">
        <f t="shared" si="20"/>
        <v>851.93185142344146</v>
      </c>
      <c r="AY114" s="938">
        <f t="shared" si="21"/>
        <v>68.622650255535333</v>
      </c>
      <c r="AZ114" s="938">
        <f t="shared" si="22"/>
        <v>19.289845015860141</v>
      </c>
      <c r="BA114" s="938">
        <f t="shared" si="23"/>
        <v>49.821912293829932</v>
      </c>
      <c r="BB114" s="938">
        <f t="shared" si="24"/>
        <v>33.945774567125774</v>
      </c>
      <c r="BC114" s="530">
        <f t="shared" si="47"/>
        <v>2228.8062963921579</v>
      </c>
      <c r="BD114" s="724">
        <f t="shared" si="48"/>
        <v>0</v>
      </c>
      <c r="BE114" s="436">
        <f t="shared" si="49"/>
        <v>0.21426118579123435</v>
      </c>
      <c r="BF114" s="624">
        <f t="shared" si="50"/>
        <v>0.27174114907903391</v>
      </c>
      <c r="BG114" s="624">
        <f t="shared" si="51"/>
        <v>5.4732974782819556E-2</v>
      </c>
      <c r="BH114" s="624">
        <f t="shared" si="52"/>
        <v>0</v>
      </c>
      <c r="BI114" s="624">
        <f t="shared" si="53"/>
        <v>0</v>
      </c>
      <c r="BJ114" s="624">
        <f t="shared" si="54"/>
        <v>0</v>
      </c>
      <c r="BK114" s="624">
        <f t="shared" si="55"/>
        <v>0.45926469034691214</v>
      </c>
      <c r="BL114" s="624">
        <f t="shared" si="56"/>
        <v>1</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81.463628575218806</v>
      </c>
      <c r="BW114" s="114">
        <f t="shared" si="59"/>
        <v>0.66941688522843712</v>
      </c>
      <c r="BX114" s="1689">
        <f t="shared" si="25"/>
        <v>41.169489630995621</v>
      </c>
      <c r="BY114" s="527">
        <f t="shared" si="60"/>
        <v>81.463628575218806</v>
      </c>
      <c r="BZ114" s="417">
        <f t="shared" si="61"/>
        <v>0.66941688522843712</v>
      </c>
      <c r="CA114" s="544">
        <f t="shared" si="26"/>
        <v>41.169489630995621</v>
      </c>
      <c r="CB114" s="649">
        <f t="shared" si="27"/>
        <v>0.34161394017639757</v>
      </c>
      <c r="CC114" s="525">
        <f t="shared" si="62"/>
        <v>0.3004127271051904</v>
      </c>
      <c r="CD114" s="417">
        <f t="shared" si="28"/>
        <v>0.34161394017639757</v>
      </c>
      <c r="CE114" s="525">
        <f t="shared" si="63"/>
        <v>0.3004127271051904</v>
      </c>
      <c r="CG114" s="527">
        <f t="shared" si="64"/>
        <v>1811.0192262625512</v>
      </c>
      <c r="CH114" s="528">
        <f t="shared" si="65"/>
        <v>797.48077347849846</v>
      </c>
      <c r="CI114" s="528">
        <f t="shared" si="66"/>
        <v>3037.2023634494067</v>
      </c>
      <c r="CJ114" s="528">
        <f t="shared" si="67"/>
        <v>3844.7164496083296</v>
      </c>
      <c r="CK114" s="528">
        <f t="shared" si="68"/>
        <v>46.27489073479876</v>
      </c>
      <c r="CL114" s="528">
        <f t="shared" si="69"/>
        <v>9536.693703533585</v>
      </c>
      <c r="CM114" s="646">
        <f t="shared" si="70"/>
        <v>0</v>
      </c>
    </row>
    <row r="115" spans="1:91">
      <c r="A115" s="873">
        <f>'Input data'!A135</f>
        <v>2035</v>
      </c>
      <c r="B115" s="1551">
        <f>'Input data'!B135</f>
        <v>68.88733085860035</v>
      </c>
      <c r="C115" s="1550">
        <f>'Input data'!C135</f>
        <v>4088.0370257470286</v>
      </c>
      <c r="D115" s="1550">
        <f>'Input data'!D135</f>
        <v>33008995.481321324</v>
      </c>
      <c r="E115" s="1454">
        <f t="shared" si="88"/>
        <v>1</v>
      </c>
      <c r="F115" s="1504">
        <f t="shared" si="89"/>
        <v>0.36725000000000002</v>
      </c>
      <c r="G115" s="1511">
        <f>B115*F115*'Input data'!$C$9</f>
        <v>774.32487128551588</v>
      </c>
      <c r="H115" s="1542">
        <f>'Input data'!I135</f>
        <v>424.26313389388866</v>
      </c>
      <c r="I115" s="1509">
        <f>'Input data'!K135</f>
        <v>29226.354875654968</v>
      </c>
      <c r="J115" s="1509">
        <f t="shared" si="91"/>
        <v>2228.8062963921584</v>
      </c>
      <c r="K115" s="1511">
        <f t="shared" si="73"/>
        <v>11353.219985342261</v>
      </c>
      <c r="L115" s="1504">
        <f t="shared" si="90"/>
        <v>0.7</v>
      </c>
      <c r="M115" s="1504">
        <f t="shared" si="87"/>
        <v>0.6</v>
      </c>
      <c r="N115" s="1504">
        <f t="shared" si="87"/>
        <v>0.9</v>
      </c>
      <c r="O115" s="1504">
        <f t="shared" si="87"/>
        <v>0.9</v>
      </c>
      <c r="P115" s="1504">
        <f t="shared" si="87"/>
        <v>0.23600000000000002</v>
      </c>
      <c r="Q115" s="1508">
        <f t="shared" si="31"/>
        <v>312.93748438139255</v>
      </c>
      <c r="R115" s="1509">
        <f t="shared" si="32"/>
        <v>218.37750286471544</v>
      </c>
      <c r="S115" s="1509">
        <f t="shared" si="33"/>
        <v>639.49976481010617</v>
      </c>
      <c r="T115" s="1509">
        <f t="shared" si="34"/>
        <v>430.59910864352287</v>
      </c>
      <c r="U115" s="1511">
        <f t="shared" si="35"/>
        <v>0</v>
      </c>
      <c r="V115" s="1509">
        <f t="shared" si="9"/>
        <v>1601.4138606997371</v>
      </c>
      <c r="W115" s="1454">
        <f t="shared" si="86"/>
        <v>0.5</v>
      </c>
      <c r="X115" s="530">
        <f t="shared" si="36"/>
        <v>3033.4854703020706</v>
      </c>
      <c r="Y115" s="528">
        <f t="shared" si="77"/>
        <v>4634.8993310018077</v>
      </c>
      <c r="Z115" s="528">
        <f t="shared" si="78"/>
        <v>8947.1269507326106</v>
      </c>
      <c r="AA115" s="530">
        <f t="shared" si="79"/>
        <v>6718.3206543404522</v>
      </c>
      <c r="AB115" s="1091">
        <f t="shared" si="37"/>
        <v>0.7508913969070643</v>
      </c>
      <c r="AC115" s="135" t="str">
        <f t="shared" si="38"/>
        <v>Yes</v>
      </c>
      <c r="AD115" s="1091">
        <f t="shared" si="39"/>
        <v>0.7508913969070643</v>
      </c>
      <c r="AE115" s="649">
        <f t="shared" si="10"/>
        <v>0.34430398732661904</v>
      </c>
      <c r="AF115" s="530">
        <f t="shared" si="11"/>
        <v>278.18764521853552</v>
      </c>
      <c r="AG115" s="527">
        <f t="shared" si="40"/>
        <v>2228.8062963921584</v>
      </c>
      <c r="AH115" s="528">
        <f t="shared" si="80"/>
        <v>9612.7833502769245</v>
      </c>
      <c r="AI115" s="528">
        <f t="shared" si="81"/>
        <v>6437.6604656145792</v>
      </c>
      <c r="AJ115" s="528">
        <f t="shared" si="12"/>
        <v>884.35424466052859</v>
      </c>
      <c r="AK115" s="528">
        <f t="shared" si="41"/>
        <v>19163.60435694419</v>
      </c>
      <c r="AL115" s="716">
        <f t="shared" si="13"/>
        <v>0</v>
      </c>
      <c r="AM115" s="417">
        <f t="shared" si="42"/>
        <v>0.11630412812110268</v>
      </c>
      <c r="AN115" s="417">
        <f t="shared" si="43"/>
        <v>0.50161666726299337</v>
      </c>
      <c r="AO115" s="417">
        <f t="shared" si="44"/>
        <v>0.33593161003043803</v>
      </c>
      <c r="AP115" s="417">
        <f t="shared" si="45"/>
        <v>4.6147594585465912E-2</v>
      </c>
      <c r="AQ115" s="417">
        <f t="shared" si="46"/>
        <v>1</v>
      </c>
      <c r="AR115" s="1086">
        <f t="shared" si="14"/>
        <v>478.91291265722015</v>
      </c>
      <c r="AS115" s="938">
        <f t="shared" si="15"/>
        <v>607.39113672722056</v>
      </c>
      <c r="AT115" s="938">
        <f t="shared" si="16"/>
        <v>121.65920376117852</v>
      </c>
      <c r="AU115" s="938">
        <f t="shared" si="17"/>
        <v>0</v>
      </c>
      <c r="AV115" s="938">
        <f t="shared" si="18"/>
        <v>0</v>
      </c>
      <c r="AW115" s="938">
        <f t="shared" si="19"/>
        <v>0</v>
      </c>
      <c r="AX115" s="938">
        <f t="shared" si="20"/>
        <v>849.62727609274475</v>
      </c>
      <c r="AY115" s="938">
        <f t="shared" si="21"/>
        <v>68.437017958020348</v>
      </c>
      <c r="AZ115" s="938">
        <f t="shared" si="22"/>
        <v>19.237663728258159</v>
      </c>
      <c r="BA115" s="938">
        <f t="shared" si="23"/>
        <v>49.687138192111945</v>
      </c>
      <c r="BB115" s="938">
        <f t="shared" si="24"/>
        <v>33.85394727540276</v>
      </c>
      <c r="BC115" s="530">
        <f t="shared" si="47"/>
        <v>2228.8062963921575</v>
      </c>
      <c r="BD115" s="724">
        <f t="shared" si="48"/>
        <v>0</v>
      </c>
      <c r="BE115" s="436">
        <f t="shared" si="49"/>
        <v>0.21487417432033118</v>
      </c>
      <c r="BF115" s="624">
        <f t="shared" si="50"/>
        <v>0.27251858436976989</v>
      </c>
      <c r="BG115" s="624">
        <f t="shared" si="51"/>
        <v>5.4584915682494392E-2</v>
      </c>
      <c r="BH115" s="624">
        <f t="shared" si="52"/>
        <v>0</v>
      </c>
      <c r="BI115" s="624">
        <f t="shared" si="53"/>
        <v>0</v>
      </c>
      <c r="BJ115" s="624">
        <f t="shared" si="54"/>
        <v>0</v>
      </c>
      <c r="BK115" s="624">
        <f t="shared" si="55"/>
        <v>0.45802232562740441</v>
      </c>
      <c r="BL115" s="624">
        <f t="shared" si="56"/>
        <v>0.99999999999999989</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73.88611468940023</v>
      </c>
      <c r="BW115" s="114">
        <f t="shared" si="59"/>
        <v>0.70178153665527632</v>
      </c>
      <c r="BX115" s="1689">
        <f t="shared" si="25"/>
        <v>33.008995481321321</v>
      </c>
      <c r="BY115" s="527">
        <f t="shared" si="60"/>
        <v>73.88611468940023</v>
      </c>
      <c r="BZ115" s="417">
        <f t="shared" si="61"/>
        <v>0.70178153665527632</v>
      </c>
      <c r="CA115" s="544">
        <f t="shared" si="26"/>
        <v>33.008995481321321</v>
      </c>
      <c r="CB115" s="649">
        <f t="shared" si="27"/>
        <v>0.34430398732661904</v>
      </c>
      <c r="CC115" s="525">
        <f t="shared" si="62"/>
        <v>0.3342141124349175</v>
      </c>
      <c r="CD115" s="417">
        <f t="shared" si="28"/>
        <v>0.34430398732661904</v>
      </c>
      <c r="CE115" s="525">
        <f t="shared" si="63"/>
        <v>0.3342141124349175</v>
      </c>
      <c r="CG115" s="527">
        <f t="shared" si="64"/>
        <v>1825.4686588914558</v>
      </c>
      <c r="CH115" s="528">
        <f t="shared" si="65"/>
        <v>803.8435688271735</v>
      </c>
      <c r="CI115" s="528">
        <f t="shared" si="66"/>
        <v>3061.4350443037024</v>
      </c>
      <c r="CJ115" s="528">
        <f t="shared" si="67"/>
        <v>3875.3919777917085</v>
      </c>
      <c r="CK115" s="528">
        <f t="shared" si="68"/>
        <v>46.644100462882278</v>
      </c>
      <c r="CL115" s="528">
        <f t="shared" si="69"/>
        <v>9612.7833502769226</v>
      </c>
      <c r="CM115" s="646">
        <f t="shared" si="70"/>
        <v>0</v>
      </c>
    </row>
    <row r="116" spans="1:91">
      <c r="A116" s="873">
        <f>'Input data'!A136</f>
        <v>2036</v>
      </c>
      <c r="B116" s="1551">
        <f>'Input data'!B136</f>
        <v>69.420244147098416</v>
      </c>
      <c r="C116" s="1550">
        <f>'Input data'!C136</f>
        <v>4188.173572206083</v>
      </c>
      <c r="D116" s="1550">
        <f>'Input data'!D136</f>
        <v>23988684.664399058</v>
      </c>
      <c r="E116" s="1454">
        <f t="shared" si="88"/>
        <v>1</v>
      </c>
      <c r="F116" s="1504">
        <f t="shared" si="89"/>
        <v>0.36725000000000002</v>
      </c>
      <c r="G116" s="1511">
        <f>B116*F116*'Input data'!$C$9</f>
        <v>780.31505857219713</v>
      </c>
      <c r="H116" s="1542">
        <f>'Input data'!I136</f>
        <v>424.26313389388866</v>
      </c>
      <c r="I116" s="1509">
        <f>'Input data'!K136</f>
        <v>29452.450337526854</v>
      </c>
      <c r="J116" s="1509">
        <f t="shared" si="91"/>
        <v>2228.8062963921584</v>
      </c>
      <c r="K116" s="1511">
        <f t="shared" si="73"/>
        <v>11458.290717508138</v>
      </c>
      <c r="L116" s="1504">
        <f t="shared" si="90"/>
        <v>0.7</v>
      </c>
      <c r="M116" s="1504">
        <f t="shared" si="87"/>
        <v>0.6</v>
      </c>
      <c r="N116" s="1504">
        <f t="shared" si="87"/>
        <v>0.9</v>
      </c>
      <c r="O116" s="1504">
        <f t="shared" si="87"/>
        <v>0.9</v>
      </c>
      <c r="P116" s="1504">
        <f t="shared" si="87"/>
        <v>0.23600000000000002</v>
      </c>
      <c r="Q116" s="1508">
        <f t="shared" si="31"/>
        <v>315.35837283529872</v>
      </c>
      <c r="R116" s="1509">
        <f t="shared" si="32"/>
        <v>220.06687407035122</v>
      </c>
      <c r="S116" s="1509">
        <f t="shared" si="33"/>
        <v>644.44694331754863</v>
      </c>
      <c r="T116" s="1509">
        <f t="shared" si="34"/>
        <v>433.93022895478225</v>
      </c>
      <c r="U116" s="1511">
        <f t="shared" si="35"/>
        <v>0</v>
      </c>
      <c r="V116" s="1509">
        <f t="shared" si="9"/>
        <v>1613.8024191779809</v>
      </c>
      <c r="W116" s="1454">
        <f t="shared" si="86"/>
        <v>0.5</v>
      </c>
      <c r="X116" s="530">
        <f t="shared" si="36"/>
        <v>3033.4854703020706</v>
      </c>
      <c r="Y116" s="528">
        <f t="shared" si="77"/>
        <v>4647.2878894800515</v>
      </c>
      <c r="Z116" s="528">
        <f t="shared" si="78"/>
        <v>9039.8091244202442</v>
      </c>
      <c r="AA116" s="530">
        <f t="shared" si="79"/>
        <v>6811.0028280280858</v>
      </c>
      <c r="AB116" s="1091">
        <f t="shared" si="37"/>
        <v>0.75344542503986778</v>
      </c>
      <c r="AC116" s="135" t="str">
        <f t="shared" si="38"/>
        <v>Yes</v>
      </c>
      <c r="AD116" s="1091">
        <f t="shared" si="39"/>
        <v>0.75344542503986778</v>
      </c>
      <c r="AE116" s="649">
        <f t="shared" si="10"/>
        <v>0.34689056443115873</v>
      </c>
      <c r="AF116" s="530">
        <f t="shared" si="11"/>
        <v>277.09025591010533</v>
      </c>
      <c r="AG116" s="527">
        <f t="shared" si="40"/>
        <v>2228.8062963921584</v>
      </c>
      <c r="AH116" s="528">
        <f t="shared" si="80"/>
        <v>9687.1479674418806</v>
      </c>
      <c r="AI116" s="528">
        <f t="shared" si="81"/>
        <v>6437.6604656145792</v>
      </c>
      <c r="AJ116" s="528">
        <f t="shared" si="12"/>
        <v>882.05848661287541</v>
      </c>
      <c r="AK116" s="528">
        <f t="shared" si="41"/>
        <v>19235.673216061492</v>
      </c>
      <c r="AL116" s="716">
        <f t="shared" si="13"/>
        <v>0</v>
      </c>
      <c r="AM116" s="417">
        <f t="shared" si="42"/>
        <v>0.11586838013712665</v>
      </c>
      <c r="AN116" s="417">
        <f t="shared" si="43"/>
        <v>0.50360327182899223</v>
      </c>
      <c r="AO116" s="417">
        <f t="shared" si="44"/>
        <v>0.33467300017548807</v>
      </c>
      <c r="AP116" s="417">
        <f t="shared" si="45"/>
        <v>4.5855347858393132E-2</v>
      </c>
      <c r="AQ116" s="417">
        <f t="shared" si="46"/>
        <v>1</v>
      </c>
      <c r="AR116" s="1086">
        <f t="shared" si="14"/>
        <v>480.22047396854117</v>
      </c>
      <c r="AS116" s="938">
        <f t="shared" si="15"/>
        <v>609.04947821318558</v>
      </c>
      <c r="AT116" s="938">
        <f t="shared" si="16"/>
        <v>121.34337998604298</v>
      </c>
      <c r="AU116" s="938">
        <f t="shared" si="17"/>
        <v>0</v>
      </c>
      <c r="AV116" s="938">
        <f t="shared" si="18"/>
        <v>0</v>
      </c>
      <c r="AW116" s="938">
        <f t="shared" si="19"/>
        <v>0</v>
      </c>
      <c r="AX116" s="938">
        <f t="shared" si="20"/>
        <v>847.42166825134825</v>
      </c>
      <c r="AY116" s="938">
        <f t="shared" si="21"/>
        <v>68.25935743828731</v>
      </c>
      <c r="AZ116" s="938">
        <f t="shared" si="22"/>
        <v>19.187723309484795</v>
      </c>
      <c r="BA116" s="938">
        <f t="shared" si="23"/>
        <v>49.558151818090394</v>
      </c>
      <c r="BB116" s="938">
        <f t="shared" si="24"/>
        <v>33.766063407177349</v>
      </c>
      <c r="BC116" s="530">
        <f t="shared" si="47"/>
        <v>2228.806296392157</v>
      </c>
      <c r="BD116" s="724">
        <f t="shared" si="48"/>
        <v>0</v>
      </c>
      <c r="BE116" s="436">
        <f t="shared" si="49"/>
        <v>0.21546083872155694</v>
      </c>
      <c r="BF116" s="624">
        <f t="shared" si="50"/>
        <v>0.27326263354472491</v>
      </c>
      <c r="BG116" s="624">
        <f t="shared" si="51"/>
        <v>5.444321481972908E-2</v>
      </c>
      <c r="BH116" s="624">
        <f t="shared" si="52"/>
        <v>0</v>
      </c>
      <c r="BI116" s="624">
        <f t="shared" si="53"/>
        <v>0</v>
      </c>
      <c r="BJ116" s="624">
        <f t="shared" si="54"/>
        <v>0</v>
      </c>
      <c r="BK116" s="624">
        <f t="shared" si="55"/>
        <v>0.45683331291398949</v>
      </c>
      <c r="BL116" s="624">
        <f t="shared" si="56"/>
        <v>1.0000000000000004</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65.451327478667324</v>
      </c>
      <c r="BW116" s="114">
        <f t="shared" si="59"/>
        <v>0.74604003103757921</v>
      </c>
      <c r="BX116" s="1689">
        <f t="shared" si="25"/>
        <v>23.988684664399056</v>
      </c>
      <c r="BY116" s="527">
        <f t="shared" si="60"/>
        <v>65.451327478667324</v>
      </c>
      <c r="BZ116" s="417">
        <f t="shared" si="61"/>
        <v>0.74604003103757921</v>
      </c>
      <c r="CA116" s="544">
        <f t="shared" si="26"/>
        <v>23.988684664399056</v>
      </c>
      <c r="CB116" s="649">
        <f t="shared" si="27"/>
        <v>0.34689056443115873</v>
      </c>
      <c r="CC116" s="525">
        <f t="shared" si="62"/>
        <v>0.37862802337948709</v>
      </c>
      <c r="CD116" s="417">
        <f t="shared" si="28"/>
        <v>0.34689056443115873</v>
      </c>
      <c r="CE116" s="525">
        <f t="shared" si="63"/>
        <v>0.37862802337948709</v>
      </c>
      <c r="CG116" s="527">
        <f t="shared" si="64"/>
        <v>1839.5905082059085</v>
      </c>
      <c r="CH116" s="528">
        <f t="shared" si="65"/>
        <v>810.06211314239749</v>
      </c>
      <c r="CI116" s="528">
        <f t="shared" si="66"/>
        <v>3085.1183456691142</v>
      </c>
      <c r="CJ116" s="528">
        <f t="shared" si="67"/>
        <v>3905.3720605930471</v>
      </c>
      <c r="CK116" s="528">
        <f t="shared" si="68"/>
        <v>47.004939831411896</v>
      </c>
      <c r="CL116" s="528">
        <f t="shared" si="69"/>
        <v>9687.1479674418788</v>
      </c>
      <c r="CM116" s="646">
        <f t="shared" si="70"/>
        <v>0</v>
      </c>
    </row>
    <row r="117" spans="1:91" s="1" customFormat="1">
      <c r="A117" s="873">
        <f>'Input data'!A137</f>
        <v>2037</v>
      </c>
      <c r="B117" s="1551">
        <f>'Input data'!B137</f>
        <v>69.940438284968707</v>
      </c>
      <c r="C117" s="1550">
        <f>'Input data'!C137</f>
        <v>4308.5353934667492</v>
      </c>
      <c r="D117" s="1550">
        <f>'Input data'!D137</f>
        <v>19936802.299321227</v>
      </c>
      <c r="E117" s="1454">
        <f t="shared" si="88"/>
        <v>1</v>
      </c>
      <c r="F117" s="1504">
        <f t="shared" si="89"/>
        <v>0.36725000000000002</v>
      </c>
      <c r="G117" s="1511">
        <f>B117*F117*'Input data'!$C$9</f>
        <v>786.16227683177374</v>
      </c>
      <c r="H117" s="1542">
        <f>'Input data'!I137</f>
        <v>424.26313389388866</v>
      </c>
      <c r="I117" s="1509">
        <f>'Input data'!K137</f>
        <v>29673.149532692936</v>
      </c>
      <c r="J117" s="1509">
        <f t="shared" si="91"/>
        <v>2228.8062963921584</v>
      </c>
      <c r="K117" s="1511">
        <f t="shared" si="73"/>
        <v>11560.853704984906</v>
      </c>
      <c r="L117" s="1504">
        <f t="shared" si="90"/>
        <v>0.7</v>
      </c>
      <c r="M117" s="1504">
        <f t="shared" si="87"/>
        <v>0.6</v>
      </c>
      <c r="N117" s="1504">
        <f t="shared" si="87"/>
        <v>0.9</v>
      </c>
      <c r="O117" s="1504">
        <f t="shared" si="87"/>
        <v>0.9</v>
      </c>
      <c r="P117" s="1504">
        <f>P116</f>
        <v>0.23600000000000002</v>
      </c>
      <c r="Q117" s="1508">
        <f t="shared" si="31"/>
        <v>317.72148144853873</v>
      </c>
      <c r="R117" s="1509">
        <f t="shared" si="32"/>
        <v>221.7159247073422</v>
      </c>
      <c r="S117" s="1509">
        <f t="shared" si="33"/>
        <v>649.27604650208696</v>
      </c>
      <c r="T117" s="1509">
        <f t="shared" si="34"/>
        <v>437.18184473516885</v>
      </c>
      <c r="U117" s="1511">
        <f t="shared" si="35"/>
        <v>0</v>
      </c>
      <c r="V117" s="1509">
        <f t="shared" si="9"/>
        <v>1625.8952973931368</v>
      </c>
      <c r="W117" s="1454">
        <f t="shared" si="86"/>
        <v>0.5</v>
      </c>
      <c r="X117" s="530">
        <f t="shared" si="36"/>
        <v>3033.4854703020706</v>
      </c>
      <c r="Y117" s="528">
        <f t="shared" si="77"/>
        <v>4659.3807676952074</v>
      </c>
      <c r="Z117" s="528">
        <f t="shared" si="78"/>
        <v>9130.2792336818566</v>
      </c>
      <c r="AA117" s="530">
        <f t="shared" si="79"/>
        <v>6901.4729372896982</v>
      </c>
      <c r="AB117" s="1091">
        <f t="shared" si="37"/>
        <v>0.75588848496878069</v>
      </c>
      <c r="AC117" s="135" t="str">
        <f t="shared" si="38"/>
        <v>Yes</v>
      </c>
      <c r="AD117" s="1091">
        <f t="shared" si="39"/>
        <v>0.75588848496878069</v>
      </c>
      <c r="AE117" s="649">
        <f t="shared" si="10"/>
        <v>0.34937587514391233</v>
      </c>
      <c r="AF117" s="530">
        <f t="shared" si="11"/>
        <v>276.0358301984125</v>
      </c>
      <c r="AG117" s="527">
        <f t="shared" si="40"/>
        <v>2228.8062963921584</v>
      </c>
      <c r="AH117" s="528">
        <f t="shared" si="80"/>
        <v>9759.7377090548234</v>
      </c>
      <c r="AI117" s="528">
        <f t="shared" si="81"/>
        <v>6437.6604656145792</v>
      </c>
      <c r="AJ117" s="528">
        <f t="shared" si="12"/>
        <v>879.86247537060865</v>
      </c>
      <c r="AK117" s="528">
        <f t="shared" si="41"/>
        <v>19306.066946432169</v>
      </c>
      <c r="AL117" s="716">
        <f t="shared" si="13"/>
        <v>0</v>
      </c>
      <c r="AM117" s="417">
        <f t="shared" si="42"/>
        <v>0.11544590115513144</v>
      </c>
      <c r="AN117" s="417">
        <f t="shared" si="43"/>
        <v>0.50552697947929048</v>
      </c>
      <c r="AO117" s="417">
        <f t="shared" si="44"/>
        <v>0.33345271636511559</v>
      </c>
      <c r="AP117" s="417">
        <f t="shared" si="45"/>
        <v>4.5574403000462525E-2</v>
      </c>
      <c r="AQ117" s="417">
        <f t="shared" si="46"/>
        <v>1</v>
      </c>
      <c r="AR117" s="1086">
        <f t="shared" si="14"/>
        <v>481.4712239517757</v>
      </c>
      <c r="AS117" s="938">
        <f t="shared" si="15"/>
        <v>610.63576756559269</v>
      </c>
      <c r="AT117" s="938">
        <f t="shared" si="16"/>
        <v>121.04127821992627</v>
      </c>
      <c r="AU117" s="938">
        <f t="shared" si="17"/>
        <v>0</v>
      </c>
      <c r="AV117" s="938">
        <f t="shared" si="18"/>
        <v>0</v>
      </c>
      <c r="AW117" s="938">
        <f t="shared" si="19"/>
        <v>0</v>
      </c>
      <c r="AX117" s="938">
        <f t="shared" si="20"/>
        <v>845.31189034130682</v>
      </c>
      <c r="AY117" s="938">
        <f t="shared" si="21"/>
        <v>68.089415967739228</v>
      </c>
      <c r="AZ117" s="938">
        <f t="shared" si="22"/>
        <v>19.139952717465615</v>
      </c>
      <c r="BA117" s="938">
        <f t="shared" si="23"/>
        <v>49.4347696839233</v>
      </c>
      <c r="BB117" s="938">
        <f t="shared" si="24"/>
        <v>33.681997944427827</v>
      </c>
      <c r="BC117" s="530">
        <f t="shared" si="47"/>
        <v>2228.806296392157</v>
      </c>
      <c r="BD117" s="724">
        <f t="shared" si="48"/>
        <v>0</v>
      </c>
      <c r="BE117" s="436">
        <f t="shared" si="49"/>
        <v>0.21602201354651107</v>
      </c>
      <c r="BF117" s="624">
        <f t="shared" si="50"/>
        <v>0.2739743550411039</v>
      </c>
      <c r="BG117" s="624">
        <f t="shared" si="51"/>
        <v>5.430767061985594E-2</v>
      </c>
      <c r="BH117" s="624">
        <f t="shared" si="52"/>
        <v>0</v>
      </c>
      <c r="BI117" s="624">
        <f t="shared" si="53"/>
        <v>0</v>
      </c>
      <c r="BJ117" s="624">
        <f t="shared" si="54"/>
        <v>0</v>
      </c>
      <c r="BK117" s="624">
        <f t="shared" si="55"/>
        <v>0.45569596079252928</v>
      </c>
      <c r="BL117" s="624">
        <f t="shared" si="56"/>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63.812859907632571</v>
      </c>
      <c r="BW117" s="114">
        <f t="shared" si="59"/>
        <v>0.75057146805590114</v>
      </c>
      <c r="BX117" s="1689">
        <f t="shared" si="25"/>
        <v>19.936802299321226</v>
      </c>
      <c r="BY117" s="527">
        <f t="shared" si="60"/>
        <v>63.812859907632571</v>
      </c>
      <c r="BZ117" s="417">
        <f t="shared" si="61"/>
        <v>0.75057146805590114</v>
      </c>
      <c r="CA117" s="544">
        <f t="shared" si="26"/>
        <v>19.936802299321226</v>
      </c>
      <c r="CB117" s="649">
        <f t="shared" si="27"/>
        <v>0.34937587514391233</v>
      </c>
      <c r="CC117" s="525">
        <f t="shared" si="62"/>
        <v>0.37989494271290059</v>
      </c>
      <c r="CD117" s="417">
        <f t="shared" si="28"/>
        <v>0.34937587514391233</v>
      </c>
      <c r="CE117" s="525">
        <f t="shared" si="63"/>
        <v>0.37989494271290059</v>
      </c>
      <c r="CG117" s="527">
        <f t="shared" si="64"/>
        <v>1853.3753084498092</v>
      </c>
      <c r="CH117" s="528">
        <f t="shared" si="65"/>
        <v>816.13223818653591</v>
      </c>
      <c r="CI117" s="528">
        <f t="shared" si="66"/>
        <v>3108.2363928291411</v>
      </c>
      <c r="CJ117" s="528">
        <f t="shared" si="67"/>
        <v>3934.6366026165256</v>
      </c>
      <c r="CK117" s="528">
        <f t="shared" si="68"/>
        <v>47.357166972812244</v>
      </c>
      <c r="CL117" s="528">
        <f t="shared" si="69"/>
        <v>9759.7377090548234</v>
      </c>
      <c r="CM117" s="646">
        <f t="shared" si="70"/>
        <v>0</v>
      </c>
    </row>
    <row r="118" spans="1:91">
      <c r="A118" s="873">
        <f>'Input data'!A138</f>
        <v>2038</v>
      </c>
      <c r="B118" s="1551">
        <f>'Input data'!B138</f>
        <v>70.447562472153166</v>
      </c>
      <c r="C118" s="1550">
        <f>'Input data'!C138</f>
        <v>4436.6736831338776</v>
      </c>
      <c r="D118" s="1550">
        <f>'Input data'!D138</f>
        <v>16174143.168204505</v>
      </c>
      <c r="E118" s="1454">
        <f t="shared" si="88"/>
        <v>1</v>
      </c>
      <c r="F118" s="1504">
        <f t="shared" si="89"/>
        <v>0.36725000000000002</v>
      </c>
      <c r="G118" s="1511">
        <f>B118*F118*'Input data'!$C$9</f>
        <v>791.86258291234162</v>
      </c>
      <c r="H118" s="1542">
        <f>'Input data'!I138</f>
        <v>424.26313389388866</v>
      </c>
      <c r="I118" s="1509">
        <f>'Input data'!K138</f>
        <v>29888.303629621205</v>
      </c>
      <c r="J118" s="1509">
        <f t="shared" si="91"/>
        <v>2228.8062963921584</v>
      </c>
      <c r="K118" s="1511">
        <f t="shared" si="73"/>
        <v>11660.839783013977</v>
      </c>
      <c r="L118" s="1504">
        <f t="shared" si="90"/>
        <v>0.7</v>
      </c>
      <c r="M118" s="1504">
        <f t="shared" si="87"/>
        <v>0.6</v>
      </c>
      <c r="N118" s="1504">
        <f t="shared" si="87"/>
        <v>0.9</v>
      </c>
      <c r="O118" s="1504">
        <f t="shared" si="87"/>
        <v>0.9</v>
      </c>
      <c r="P118" s="1504">
        <f t="shared" si="87"/>
        <v>0.23600000000000002</v>
      </c>
      <c r="Q118" s="1508">
        <f t="shared" si="31"/>
        <v>320.02521662637878</v>
      </c>
      <c r="R118" s="1509">
        <f t="shared" si="32"/>
        <v>223.32354271575309</v>
      </c>
      <c r="S118" s="1509">
        <f t="shared" si="33"/>
        <v>653.98381779169677</v>
      </c>
      <c r="T118" s="1509">
        <f t="shared" si="34"/>
        <v>440.3517632129433</v>
      </c>
      <c r="U118" s="1511">
        <f t="shared" si="35"/>
        <v>0</v>
      </c>
      <c r="V118" s="1509">
        <f t="shared" si="9"/>
        <v>1637.6843403467719</v>
      </c>
      <c r="W118" s="1454">
        <f t="shared" si="86"/>
        <v>0.5</v>
      </c>
      <c r="X118" s="530">
        <f t="shared" si="36"/>
        <v>3033.4854703020706</v>
      </c>
      <c r="Y118" s="528">
        <f t="shared" si="77"/>
        <v>4671.169810648842</v>
      </c>
      <c r="Z118" s="528">
        <f t="shared" si="78"/>
        <v>9218.4762687572929</v>
      </c>
      <c r="AA118" s="530">
        <f t="shared" si="79"/>
        <v>6989.6699723651345</v>
      </c>
      <c r="AB118" s="1091">
        <f t="shared" si="37"/>
        <v>0.75822400238248755</v>
      </c>
      <c r="AC118" s="135" t="str">
        <f t="shared" si="38"/>
        <v>Yes</v>
      </c>
      <c r="AD118" s="1091">
        <f t="shared" si="39"/>
        <v>0.75822400238248755</v>
      </c>
      <c r="AE118" s="649">
        <f t="shared" si="10"/>
        <v>0.35176202179330474</v>
      </c>
      <c r="AF118" s="530">
        <f t="shared" si="11"/>
        <v>275.02347614301084</v>
      </c>
      <c r="AG118" s="527">
        <f t="shared" si="40"/>
        <v>2228.8062963921584</v>
      </c>
      <c r="AH118" s="528">
        <f t="shared" si="80"/>
        <v>9830.5036232269922</v>
      </c>
      <c r="AI118" s="528">
        <f t="shared" si="81"/>
        <v>6437.6604656145792</v>
      </c>
      <c r="AJ118" s="528">
        <f t="shared" si="12"/>
        <v>877.76313165975205</v>
      </c>
      <c r="AK118" s="528">
        <f t="shared" si="41"/>
        <v>19374.733516893481</v>
      </c>
      <c r="AL118" s="716">
        <f t="shared" si="13"/>
        <v>0</v>
      </c>
      <c r="AM118" s="417">
        <f t="shared" si="42"/>
        <v>0.11503674589633903</v>
      </c>
      <c r="AN118" s="417">
        <f t="shared" si="43"/>
        <v>0.50738781076165229</v>
      </c>
      <c r="AO118" s="417">
        <f t="shared" si="44"/>
        <v>0.33227091665551772</v>
      </c>
      <c r="AP118" s="417">
        <f t="shared" si="45"/>
        <v>4.5304526686490987E-2</v>
      </c>
      <c r="AQ118" s="417">
        <f t="shared" si="46"/>
        <v>1</v>
      </c>
      <c r="AR118" s="1086">
        <f t="shared" si="14"/>
        <v>482.66691642393636</v>
      </c>
      <c r="AS118" s="938">
        <f t="shared" si="15"/>
        <v>612.15222909888519</v>
      </c>
      <c r="AT118" s="938">
        <f t="shared" si="16"/>
        <v>120.75247485201581</v>
      </c>
      <c r="AU118" s="938">
        <f t="shared" si="17"/>
        <v>0</v>
      </c>
      <c r="AV118" s="938">
        <f t="shared" si="18"/>
        <v>0</v>
      </c>
      <c r="AW118" s="938">
        <f t="shared" si="19"/>
        <v>0</v>
      </c>
      <c r="AX118" s="938">
        <f t="shared" si="20"/>
        <v>843.29498400608338</v>
      </c>
      <c r="AY118" s="938">
        <f t="shared" si="21"/>
        <v>67.926955252355754</v>
      </c>
      <c r="AZ118" s="938">
        <f t="shared" si="22"/>
        <v>19.094284967688523</v>
      </c>
      <c r="BA118" s="938">
        <f t="shared" si="23"/>
        <v>49.316818781664416</v>
      </c>
      <c r="BB118" s="938">
        <f t="shared" si="24"/>
        <v>33.601633009528264</v>
      </c>
      <c r="BC118" s="530">
        <f t="shared" si="47"/>
        <v>2228.8062963921575</v>
      </c>
      <c r="BD118" s="724">
        <f t="shared" si="48"/>
        <v>0</v>
      </c>
      <c r="BE118" s="436">
        <f t="shared" si="49"/>
        <v>0.2165584856814364</v>
      </c>
      <c r="BF118" s="624">
        <f t="shared" si="50"/>
        <v>0.27465474684354413</v>
      </c>
      <c r="BG118" s="624">
        <f t="shared" si="51"/>
        <v>5.4178093021130566E-2</v>
      </c>
      <c r="BH118" s="624">
        <f t="shared" si="52"/>
        <v>0</v>
      </c>
      <c r="BI118" s="624">
        <f t="shared" si="53"/>
        <v>0</v>
      </c>
      <c r="BJ118" s="624">
        <f t="shared" si="54"/>
        <v>0</v>
      </c>
      <c r="BK118" s="624">
        <f t="shared" si="55"/>
        <v>0.45460867445388897</v>
      </c>
      <c r="BL118" s="624">
        <f t="shared" si="56"/>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63.033497798769481</v>
      </c>
      <c r="BW118" s="114">
        <f t="shared" si="59"/>
        <v>0.74748747060287746</v>
      </c>
      <c r="BX118" s="1689">
        <f t="shared" si="25"/>
        <v>16.174143168204505</v>
      </c>
      <c r="BY118" s="527">
        <f t="shared" si="60"/>
        <v>63.033497798769481</v>
      </c>
      <c r="BZ118" s="417">
        <f t="shared" si="61"/>
        <v>0.74748747060287746</v>
      </c>
      <c r="CA118" s="544">
        <f t="shared" si="26"/>
        <v>16.174143168204505</v>
      </c>
      <c r="CB118" s="649">
        <f t="shared" si="27"/>
        <v>0.35176202179330474</v>
      </c>
      <c r="CC118" s="525">
        <f t="shared" si="62"/>
        <v>0.37228569708247661</v>
      </c>
      <c r="CD118" s="417">
        <f t="shared" si="28"/>
        <v>0.35176202179330474</v>
      </c>
      <c r="CE118" s="525">
        <f t="shared" si="63"/>
        <v>0.37228569708247661</v>
      </c>
      <c r="CG118" s="527">
        <f t="shared" si="64"/>
        <v>1866.8137636538759</v>
      </c>
      <c r="CH118" s="528">
        <f t="shared" si="65"/>
        <v>822.04985048743458</v>
      </c>
      <c r="CI118" s="528">
        <f t="shared" si="66"/>
        <v>3130.7735958113162</v>
      </c>
      <c r="CJ118" s="528">
        <f t="shared" si="67"/>
        <v>3963.1658689164906</v>
      </c>
      <c r="CK118" s="528">
        <f t="shared" si="68"/>
        <v>47.700544357875145</v>
      </c>
      <c r="CL118" s="528">
        <f t="shared" si="69"/>
        <v>9830.5036232269922</v>
      </c>
      <c r="CM118" s="646">
        <f t="shared" si="70"/>
        <v>0</v>
      </c>
    </row>
    <row r="119" spans="1:91">
      <c r="A119" s="873">
        <f>'Input data'!A139</f>
        <v>2039</v>
      </c>
      <c r="B119" s="1551">
        <f>'Input data'!B139</f>
        <v>70.942722252264574</v>
      </c>
      <c r="C119" s="1550">
        <f>'Input data'!C139</f>
        <v>4572.7379558768307</v>
      </c>
      <c r="D119" s="1550">
        <f>'Input data'!D139</f>
        <v>12411484.037087778</v>
      </c>
      <c r="E119" s="1454">
        <f t="shared" si="88"/>
        <v>1</v>
      </c>
      <c r="F119" s="1504">
        <f t="shared" si="89"/>
        <v>0.36725000000000002</v>
      </c>
      <c r="G119" s="1511">
        <f>B119*F119*'Input data'!$C$9</f>
        <v>797.4284036259869</v>
      </c>
      <c r="H119" s="1542">
        <f>'Input data'!I139</f>
        <v>424.26313389388866</v>
      </c>
      <c r="I119" s="1509">
        <f>'Input data'!K139</f>
        <v>30098.381669709481</v>
      </c>
      <c r="J119" s="1509">
        <f t="shared" si="91"/>
        <v>2228.8062963921584</v>
      </c>
      <c r="K119" s="1511">
        <f t="shared" si="73"/>
        <v>11758.466923785847</v>
      </c>
      <c r="L119" s="1504">
        <f t="shared" si="90"/>
        <v>0.7</v>
      </c>
      <c r="M119" s="1504">
        <f t="shared" si="87"/>
        <v>0.6</v>
      </c>
      <c r="N119" s="1504">
        <f t="shared" si="87"/>
        <v>0.9</v>
      </c>
      <c r="O119" s="1504">
        <f t="shared" si="87"/>
        <v>0.9</v>
      </c>
      <c r="P119" s="1504">
        <f t="shared" si="87"/>
        <v>0.23600000000000002</v>
      </c>
      <c r="Q119" s="1508">
        <f t="shared" si="31"/>
        <v>322.2746005700385</v>
      </c>
      <c r="R119" s="1509">
        <f t="shared" si="32"/>
        <v>224.89323274368758</v>
      </c>
      <c r="S119" s="1509">
        <f t="shared" si="33"/>
        <v>658.58052024740164</v>
      </c>
      <c r="T119" s="1509">
        <f t="shared" si="34"/>
        <v>443.44689489092525</v>
      </c>
      <c r="U119" s="1511">
        <f t="shared" si="35"/>
        <v>0</v>
      </c>
      <c r="V119" s="1509">
        <f t="shared" si="9"/>
        <v>1649.195248452053</v>
      </c>
      <c r="W119" s="1454">
        <f t="shared" si="86"/>
        <v>0.5</v>
      </c>
      <c r="X119" s="530">
        <f t="shared" si="36"/>
        <v>3033.4854703020706</v>
      </c>
      <c r="Y119" s="528">
        <f t="shared" si="77"/>
        <v>4682.6807187541235</v>
      </c>
      <c r="Z119" s="528">
        <f t="shared" si="78"/>
        <v>9304.5925014238819</v>
      </c>
      <c r="AA119" s="530">
        <f t="shared" si="79"/>
        <v>7075.7862050317235</v>
      </c>
      <c r="AB119" s="1091">
        <f t="shared" si="37"/>
        <v>0.76046169716179568</v>
      </c>
      <c r="AC119" s="135" t="str">
        <f t="shared" si="38"/>
        <v>Yes</v>
      </c>
      <c r="AD119" s="1091">
        <f t="shared" si="39"/>
        <v>0.76046169716179568</v>
      </c>
      <c r="AE119" s="649">
        <f t="shared" si="10"/>
        <v>0.35405768073166866</v>
      </c>
      <c r="AF119" s="530">
        <f t="shared" si="11"/>
        <v>274.04951268746902</v>
      </c>
      <c r="AG119" s="527">
        <f t="shared" si="40"/>
        <v>2228.8062963921584</v>
      </c>
      <c r="AH119" s="528">
        <f t="shared" si="80"/>
        <v>9899.5999814492607</v>
      </c>
      <c r="AI119" s="528">
        <f t="shared" si="81"/>
        <v>6437.6604656145792</v>
      </c>
      <c r="AJ119" s="528">
        <f t="shared" si="12"/>
        <v>875.75171849957303</v>
      </c>
      <c r="AK119" s="528">
        <f t="shared" si="41"/>
        <v>19441.818461955572</v>
      </c>
      <c r="AL119" s="716">
        <f t="shared" si="13"/>
        <v>0</v>
      </c>
      <c r="AM119" s="417">
        <f t="shared" si="42"/>
        <v>0.11463980598078129</v>
      </c>
      <c r="AN119" s="417">
        <f t="shared" si="43"/>
        <v>0.50919105128057562</v>
      </c>
      <c r="AO119" s="417">
        <f t="shared" si="44"/>
        <v>0.33112439961375101</v>
      </c>
      <c r="AP119" s="417">
        <f t="shared" si="45"/>
        <v>4.5044743124892074E-2</v>
      </c>
      <c r="AQ119" s="417">
        <f t="shared" si="46"/>
        <v>0.99999999999999989</v>
      </c>
      <c r="AR119" s="1086">
        <f t="shared" si="14"/>
        <v>483.81252757926717</v>
      </c>
      <c r="AS119" s="938">
        <f t="shared" si="15"/>
        <v>613.60517397360763</v>
      </c>
      <c r="AT119" s="938">
        <f t="shared" si="16"/>
        <v>120.47576794979919</v>
      </c>
      <c r="AU119" s="938">
        <f t="shared" si="17"/>
        <v>0</v>
      </c>
      <c r="AV119" s="938">
        <f t="shared" si="18"/>
        <v>0</v>
      </c>
      <c r="AW119" s="938">
        <f t="shared" si="19"/>
        <v>0</v>
      </c>
      <c r="AX119" s="938">
        <f t="shared" si="20"/>
        <v>841.36255535014811</v>
      </c>
      <c r="AY119" s="938">
        <f t="shared" si="21"/>
        <v>67.771299168387969</v>
      </c>
      <c r="AZ119" s="938">
        <f t="shared" si="22"/>
        <v>19.050530001590058</v>
      </c>
      <c r="BA119" s="938">
        <f t="shared" si="23"/>
        <v>49.203808227065274</v>
      </c>
      <c r="BB119" s="938">
        <f t="shared" si="24"/>
        <v>33.52463414229279</v>
      </c>
      <c r="BC119" s="530">
        <f t="shared" si="47"/>
        <v>2228.8062963921579</v>
      </c>
      <c r="BD119" s="724">
        <f t="shared" si="48"/>
        <v>0</v>
      </c>
      <c r="BE119" s="436">
        <f t="shared" si="49"/>
        <v>0.21707248779870661</v>
      </c>
      <c r="BF119" s="624">
        <f t="shared" si="50"/>
        <v>0.27530664058463516</v>
      </c>
      <c r="BG119" s="624">
        <f t="shared" si="51"/>
        <v>5.4053942751695054E-2</v>
      </c>
      <c r="BH119" s="624">
        <f t="shared" si="52"/>
        <v>0</v>
      </c>
      <c r="BI119" s="624">
        <f t="shared" si="53"/>
        <v>0</v>
      </c>
      <c r="BJ119" s="624">
        <f t="shared" si="54"/>
        <v>0</v>
      </c>
      <c r="BK119" s="624">
        <f t="shared" si="55"/>
        <v>0.45356692886496325</v>
      </c>
      <c r="BL119" s="624">
        <f t="shared" si="56"/>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62.293194907230429</v>
      </c>
      <c r="BW119" s="114">
        <f t="shared" si="59"/>
        <v>0.74448656888414377</v>
      </c>
      <c r="BX119" s="1689">
        <f t="shared" si="25"/>
        <v>12.411484037087778</v>
      </c>
      <c r="BY119" s="527">
        <f t="shared" si="60"/>
        <v>62.293194907230429</v>
      </c>
      <c r="BZ119" s="417">
        <f t="shared" si="61"/>
        <v>0.74448656888414377</v>
      </c>
      <c r="CA119" s="544">
        <f t="shared" si="26"/>
        <v>12.411484037087778</v>
      </c>
      <c r="CB119" s="649">
        <f t="shared" si="27"/>
        <v>0.35405768073166866</v>
      </c>
      <c r="CC119" s="525">
        <f t="shared" si="62"/>
        <v>0.36447091826744249</v>
      </c>
      <c r="CD119" s="417">
        <f t="shared" si="28"/>
        <v>0.35405768073166866</v>
      </c>
      <c r="CE119" s="525">
        <f t="shared" si="63"/>
        <v>0.36447091826744249</v>
      </c>
      <c r="CG119" s="527">
        <f t="shared" si="64"/>
        <v>1879.9351699918909</v>
      </c>
      <c r="CH119" s="528">
        <f t="shared" si="65"/>
        <v>827.82785059026116</v>
      </c>
      <c r="CI119" s="528">
        <f t="shared" si="66"/>
        <v>3152.7790862907536</v>
      </c>
      <c r="CJ119" s="528">
        <f t="shared" si="67"/>
        <v>3991.0220540183304</v>
      </c>
      <c r="CK119" s="528">
        <f t="shared" si="68"/>
        <v>48.03582055802439</v>
      </c>
      <c r="CL119" s="528">
        <f t="shared" si="69"/>
        <v>9899.5999814492607</v>
      </c>
      <c r="CM119" s="646">
        <f t="shared" si="70"/>
        <v>0</v>
      </c>
    </row>
    <row r="120" spans="1:91">
      <c r="A120" s="873">
        <f>'Input data'!A140</f>
        <v>2040</v>
      </c>
      <c r="B120" s="1551">
        <f>'Input data'!B140</f>
        <v>71.425610993241406</v>
      </c>
      <c r="C120" s="1550">
        <f>'Input data'!C140</f>
        <v>4714.8820680263625</v>
      </c>
      <c r="D120" s="1550">
        <f>'Input data'!D140</f>
        <v>8648824.905971054</v>
      </c>
      <c r="E120" s="1454">
        <f t="shared" si="88"/>
        <v>1</v>
      </c>
      <c r="F120" s="1504">
        <f t="shared" si="89"/>
        <v>0.36725000000000002</v>
      </c>
      <c r="G120" s="1511">
        <f>B120*F120*'Input data'!$C$9</f>
        <v>802.85629228913763</v>
      </c>
      <c r="H120" s="1542">
        <f>'Input data'!I140</f>
        <v>424.26313389388866</v>
      </c>
      <c r="I120" s="1509">
        <f>'Input data'!K140</f>
        <v>30303.253560278386</v>
      </c>
      <c r="J120" s="1509">
        <f t="shared" si="91"/>
        <v>2228.8062963921584</v>
      </c>
      <c r="K120" s="1511">
        <f t="shared" si="73"/>
        <v>11853.674670832446</v>
      </c>
      <c r="L120" s="1504">
        <f t="shared" si="90"/>
        <v>0.7</v>
      </c>
      <c r="M120" s="1504">
        <f t="shared" si="87"/>
        <v>0.6</v>
      </c>
      <c r="N120" s="1504">
        <f t="shared" si="87"/>
        <v>0.9</v>
      </c>
      <c r="O120" s="1504">
        <f t="shared" si="87"/>
        <v>0.9</v>
      </c>
      <c r="P120" s="1504">
        <f t="shared" si="87"/>
        <v>0.23600000000000002</v>
      </c>
      <c r="Q120" s="1508">
        <f t="shared" si="31"/>
        <v>324.46824032866948</v>
      </c>
      <c r="R120" s="1509">
        <f t="shared" si="32"/>
        <v>226.42402274674998</v>
      </c>
      <c r="S120" s="1509">
        <f t="shared" si="33"/>
        <v>663.06330732065908</v>
      </c>
      <c r="T120" s="1509">
        <f t="shared" si="34"/>
        <v>446.46532308152291</v>
      </c>
      <c r="U120" s="1511">
        <f t="shared" si="35"/>
        <v>0</v>
      </c>
      <c r="V120" s="1509">
        <f t="shared" si="9"/>
        <v>1660.4208934776016</v>
      </c>
      <c r="W120" s="1454">
        <f t="shared" si="86"/>
        <v>0.5</v>
      </c>
      <c r="X120" s="530">
        <f t="shared" si="36"/>
        <v>3033.4854703020706</v>
      </c>
      <c r="Y120" s="528">
        <f t="shared" si="77"/>
        <v>4693.9063637796717</v>
      </c>
      <c r="Z120" s="528">
        <f t="shared" si="78"/>
        <v>9388.574603444933</v>
      </c>
      <c r="AA120" s="530">
        <f t="shared" si="79"/>
        <v>7159.7683070527746</v>
      </c>
      <c r="AB120" s="1091">
        <f t="shared" si="37"/>
        <v>0.76260440050459344</v>
      </c>
      <c r="AC120" s="135" t="str">
        <f t="shared" si="38"/>
        <v>Yes</v>
      </c>
      <c r="AD120" s="1091">
        <f t="shared" si="39"/>
        <v>0.76260440050459344</v>
      </c>
      <c r="AE120" s="649">
        <f t="shared" si="10"/>
        <v>0.35626461992319958</v>
      </c>
      <c r="AF120" s="530">
        <f t="shared" si="11"/>
        <v>273.11318974975688</v>
      </c>
      <c r="AG120" s="527">
        <f t="shared" si="40"/>
        <v>2228.8062963921584</v>
      </c>
      <c r="AH120" s="528">
        <f t="shared" si="80"/>
        <v>9966.983995192315</v>
      </c>
      <c r="AI120" s="528">
        <f t="shared" si="81"/>
        <v>6437.6604656145792</v>
      </c>
      <c r="AJ120" s="528">
        <f t="shared" si="12"/>
        <v>873.82569099040768</v>
      </c>
      <c r="AK120" s="528">
        <f t="shared" si="41"/>
        <v>19507.276448189463</v>
      </c>
      <c r="AL120" s="716">
        <f t="shared" si="13"/>
        <v>0</v>
      </c>
      <c r="AM120" s="417">
        <f t="shared" si="42"/>
        <v>0.11425512435381627</v>
      </c>
      <c r="AN120" s="417">
        <f t="shared" si="43"/>
        <v>0.51093672772127985</v>
      </c>
      <c r="AO120" s="417">
        <f t="shared" si="44"/>
        <v>0.33001328928273227</v>
      </c>
      <c r="AP120" s="417">
        <f t="shared" si="45"/>
        <v>4.4794858642171469E-2</v>
      </c>
      <c r="AQ120" s="417">
        <f t="shared" si="46"/>
        <v>0.99999999999999989</v>
      </c>
      <c r="AR120" s="1086">
        <f t="shared" si="14"/>
        <v>484.90950687902318</v>
      </c>
      <c r="AS120" s="938">
        <f t="shared" si="15"/>
        <v>614.99644049876406</v>
      </c>
      <c r="AT120" s="938">
        <f t="shared" si="16"/>
        <v>120.2108074154862</v>
      </c>
      <c r="AU120" s="938">
        <f t="shared" si="17"/>
        <v>0</v>
      </c>
      <c r="AV120" s="938">
        <f t="shared" si="18"/>
        <v>0</v>
      </c>
      <c r="AW120" s="938">
        <f t="shared" si="19"/>
        <v>0</v>
      </c>
      <c r="AX120" s="938">
        <f t="shared" si="20"/>
        <v>839.51215940737745</v>
      </c>
      <c r="AY120" s="938">
        <f t="shared" si="21"/>
        <v>67.622250775135797</v>
      </c>
      <c r="AZ120" s="938">
        <f t="shared" si="22"/>
        <v>19.008632459087814</v>
      </c>
      <c r="BA120" s="938">
        <f t="shared" si="23"/>
        <v>49.095595035815762</v>
      </c>
      <c r="BB120" s="938">
        <f t="shared" si="24"/>
        <v>33.450903921467891</v>
      </c>
      <c r="BC120" s="530">
        <f t="shared" si="47"/>
        <v>2228.8062963921579</v>
      </c>
      <c r="BD120" s="724">
        <f t="shared" si="48"/>
        <v>0</v>
      </c>
      <c r="BE120" s="436">
        <f t="shared" si="49"/>
        <v>0.21756467022906484</v>
      </c>
      <c r="BF120" s="624">
        <f t="shared" si="50"/>
        <v>0.27593086105969777</v>
      </c>
      <c r="BG120" s="624">
        <f t="shared" si="51"/>
        <v>5.3935062732941567E-2</v>
      </c>
      <c r="BH120" s="624">
        <f t="shared" si="52"/>
        <v>0</v>
      </c>
      <c r="BI120" s="624">
        <f t="shared" si="53"/>
        <v>0</v>
      </c>
      <c r="BJ120" s="624">
        <f t="shared" si="54"/>
        <v>0</v>
      </c>
      <c r="BK120" s="624">
        <f t="shared" si="55"/>
        <v>0.45256940597829592</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61.582439713021515</v>
      </c>
      <c r="BW120" s="114">
        <f t="shared" si="59"/>
        <v>0.74153755453521497</v>
      </c>
      <c r="BX120" s="1689">
        <f t="shared" si="25"/>
        <v>8.648824905971054</v>
      </c>
      <c r="BY120" s="527">
        <f t="shared" si="60"/>
        <v>61.582439713021515</v>
      </c>
      <c r="BZ120" s="417">
        <f t="shared" si="61"/>
        <v>0.74153755453521497</v>
      </c>
      <c r="CA120" s="544">
        <f t="shared" si="26"/>
        <v>8.648824905971054</v>
      </c>
      <c r="CB120" s="649">
        <f t="shared" si="27"/>
        <v>0.35626461992319958</v>
      </c>
      <c r="CC120" s="525">
        <f t="shared" si="62"/>
        <v>0.35639090656888506</v>
      </c>
      <c r="CD120" s="417">
        <f t="shared" si="28"/>
        <v>0.35626461992319958</v>
      </c>
      <c r="CE120" s="525">
        <f t="shared" si="63"/>
        <v>0.35639090656888506</v>
      </c>
      <c r="CG120" s="527">
        <f t="shared" si="64"/>
        <v>1892.7314019172379</v>
      </c>
      <c r="CH120" s="528">
        <f t="shared" si="65"/>
        <v>833.46266041748527</v>
      </c>
      <c r="CI120" s="528">
        <f t="shared" si="66"/>
        <v>3174.2392371733686</v>
      </c>
      <c r="CJ120" s="528">
        <f t="shared" si="67"/>
        <v>4018.187907733708</v>
      </c>
      <c r="CK120" s="528">
        <f t="shared" si="68"/>
        <v>48.362787950515632</v>
      </c>
      <c r="CL120" s="528">
        <f t="shared" si="69"/>
        <v>9966.9839951923132</v>
      </c>
      <c r="CM120" s="646">
        <f t="shared" si="70"/>
        <v>0</v>
      </c>
    </row>
    <row r="121" spans="1:91">
      <c r="A121" s="873">
        <f>'Input data'!A141</f>
        <v>2041</v>
      </c>
      <c r="B121" s="1551">
        <f>'Input data'!B141</f>
        <v>71.895928013305991</v>
      </c>
      <c r="C121" s="1550">
        <f>'Input data'!C141</f>
        <v>4861.7822977789338</v>
      </c>
      <c r="D121" s="1550">
        <f>'Input data'!D141</f>
        <v>7702881.2953237193</v>
      </c>
      <c r="E121" s="1454">
        <f t="shared" si="88"/>
        <v>1</v>
      </c>
      <c r="F121" s="1504">
        <f t="shared" si="89"/>
        <v>0.36725000000000002</v>
      </c>
      <c r="G121" s="1511">
        <f>B121*F121*'Input data'!$C$9</f>
        <v>808.14286910211388</v>
      </c>
      <c r="H121" s="1542">
        <f>'Input data'!I141</f>
        <v>424.26313389388866</v>
      </c>
      <c r="I121" s="1509">
        <f>'Input data'!K141</f>
        <v>30502.791733134622</v>
      </c>
      <c r="J121" s="1509">
        <f t="shared" si="91"/>
        <v>2228.8062963921584</v>
      </c>
      <c r="K121" s="1511">
        <f t="shared" si="73"/>
        <v>11946.403740860955</v>
      </c>
      <c r="L121" s="1504">
        <f t="shared" si="90"/>
        <v>0.7</v>
      </c>
      <c r="M121" s="1504">
        <f t="shared" si="87"/>
        <v>0.6</v>
      </c>
      <c r="N121" s="1504">
        <f t="shared" si="87"/>
        <v>0.9</v>
      </c>
      <c r="O121" s="1504">
        <f t="shared" si="87"/>
        <v>0.9</v>
      </c>
      <c r="P121" s="1504">
        <f t="shared" si="87"/>
        <v>0.23600000000000002</v>
      </c>
      <c r="Q121" s="1508">
        <f t="shared" si="31"/>
        <v>326.60476998203717</v>
      </c>
      <c r="R121" s="1509">
        <f t="shared" si="32"/>
        <v>227.91495954334766</v>
      </c>
      <c r="S121" s="1509">
        <f t="shared" si="33"/>
        <v>667.42938770102455</v>
      </c>
      <c r="T121" s="1509">
        <f t="shared" si="34"/>
        <v>449.40516829101944</v>
      </c>
      <c r="U121" s="1511">
        <f t="shared" si="35"/>
        <v>0</v>
      </c>
      <c r="V121" s="1509">
        <f t="shared" si="9"/>
        <v>1671.3542855174287</v>
      </c>
      <c r="W121" s="1454">
        <f t="shared" si="86"/>
        <v>0.5</v>
      </c>
      <c r="X121" s="530">
        <f t="shared" si="36"/>
        <v>3033.4854703020706</v>
      </c>
      <c r="Y121" s="528">
        <f t="shared" si="77"/>
        <v>4704.8397558194993</v>
      </c>
      <c r="Z121" s="528">
        <f t="shared" si="78"/>
        <v>9470.3702814336139</v>
      </c>
      <c r="AA121" s="530">
        <f t="shared" si="79"/>
        <v>7241.5639850414555</v>
      </c>
      <c r="AB121" s="1091">
        <f t="shared" si="37"/>
        <v>0.76465478855017222</v>
      </c>
      <c r="AC121" s="135" t="str">
        <f t="shared" si="38"/>
        <v>Yes</v>
      </c>
      <c r="AD121" s="1091">
        <f t="shared" si="39"/>
        <v>0.76465478855017222</v>
      </c>
      <c r="AE121" s="649">
        <f t="shared" si="10"/>
        <v>0.35838452810832588</v>
      </c>
      <c r="AF121" s="530">
        <f t="shared" si="11"/>
        <v>272.21379085956789</v>
      </c>
      <c r="AG121" s="527">
        <f t="shared" si="40"/>
        <v>2228.8062963921584</v>
      </c>
      <c r="AH121" s="528">
        <f t="shared" si="80"/>
        <v>10032.613706250633</v>
      </c>
      <c r="AI121" s="528">
        <f t="shared" si="81"/>
        <v>6437.6604656145792</v>
      </c>
      <c r="AJ121" s="528">
        <f t="shared" si="12"/>
        <v>871.98264361125325</v>
      </c>
      <c r="AK121" s="528">
        <f t="shared" si="41"/>
        <v>19571.063111868625</v>
      </c>
      <c r="AL121" s="716">
        <f t="shared" si="13"/>
        <v>0</v>
      </c>
      <c r="AM121" s="417">
        <f t="shared" si="42"/>
        <v>0.11388274022991254</v>
      </c>
      <c r="AN121" s="417">
        <f t="shared" si="43"/>
        <v>0.51262487116330846</v>
      </c>
      <c r="AO121" s="417">
        <f t="shared" si="44"/>
        <v>0.32893769892911645</v>
      </c>
      <c r="AP121" s="417">
        <f t="shared" si="45"/>
        <v>4.4554689677662442E-2</v>
      </c>
      <c r="AQ121" s="417">
        <f t="shared" si="46"/>
        <v>0.99999999999999989</v>
      </c>
      <c r="AR121" s="1086">
        <f t="shared" si="14"/>
        <v>485.95922440059604</v>
      </c>
      <c r="AS121" s="938">
        <f t="shared" si="15"/>
        <v>616.32776630314243</v>
      </c>
      <c r="AT121" s="938">
        <f t="shared" si="16"/>
        <v>119.95726232538708</v>
      </c>
      <c r="AU121" s="938">
        <f t="shared" si="17"/>
        <v>0</v>
      </c>
      <c r="AV121" s="938">
        <f t="shared" si="18"/>
        <v>0</v>
      </c>
      <c r="AW121" s="938">
        <f t="shared" si="19"/>
        <v>0</v>
      </c>
      <c r="AX121" s="938">
        <f t="shared" si="20"/>
        <v>837.74148511716487</v>
      </c>
      <c r="AY121" s="938">
        <f t="shared" si="21"/>
        <v>67.479623917916271</v>
      </c>
      <c r="AZ121" s="938">
        <f t="shared" si="22"/>
        <v>18.968540012051516</v>
      </c>
      <c r="BA121" s="938">
        <f t="shared" si="23"/>
        <v>48.992044054548408</v>
      </c>
      <c r="BB121" s="938">
        <f t="shared" si="24"/>
        <v>33.380350261351836</v>
      </c>
      <c r="BC121" s="530">
        <f t="shared" si="47"/>
        <v>2228.8062963921584</v>
      </c>
      <c r="BD121" s="724">
        <f t="shared" si="48"/>
        <v>0</v>
      </c>
      <c r="BE121" s="436">
        <f t="shared" si="49"/>
        <v>0.21803564768604347</v>
      </c>
      <c r="BF121" s="624">
        <f t="shared" si="50"/>
        <v>0.27652818789179318</v>
      </c>
      <c r="BG121" s="624">
        <f t="shared" si="51"/>
        <v>5.38213044891186E-2</v>
      </c>
      <c r="BH121" s="624">
        <f t="shared" si="52"/>
        <v>0</v>
      </c>
      <c r="BI121" s="624">
        <f t="shared" si="53"/>
        <v>0</v>
      </c>
      <c r="BJ121" s="624">
        <f t="shared" si="54"/>
        <v>0</v>
      </c>
      <c r="BK121" s="624">
        <f t="shared" si="55"/>
        <v>0.45161485993304479</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62.021086616180682</v>
      </c>
      <c r="BW121" s="114">
        <f t="shared" si="59"/>
        <v>0.74336554171621483</v>
      </c>
      <c r="BX121" s="1689">
        <f t="shared" si="25"/>
        <v>7.7028812953237189</v>
      </c>
      <c r="BY121" s="527">
        <f t="shared" si="60"/>
        <v>62.021086616180682</v>
      </c>
      <c r="BZ121" s="417">
        <f t="shared" si="61"/>
        <v>0.74336554171621483</v>
      </c>
      <c r="CA121" s="544">
        <f t="shared" si="26"/>
        <v>7.7028812953237189</v>
      </c>
      <c r="CB121" s="649">
        <f t="shared" si="27"/>
        <v>0.35838452810832588</v>
      </c>
      <c r="CC121" s="525">
        <f t="shared" si="62"/>
        <v>0.35871453382957752</v>
      </c>
      <c r="CD121" s="417">
        <f t="shared" si="28"/>
        <v>0.35838452810832588</v>
      </c>
      <c r="CE121" s="525">
        <f t="shared" si="63"/>
        <v>0.35871453382957752</v>
      </c>
      <c r="CG121" s="527">
        <f t="shared" si="64"/>
        <v>1905.1944915618835</v>
      </c>
      <c r="CH121" s="528">
        <f t="shared" si="65"/>
        <v>838.95077132520623</v>
      </c>
      <c r="CI121" s="528">
        <f t="shared" si="66"/>
        <v>3195.1406858027785</v>
      </c>
      <c r="CJ121" s="528">
        <f t="shared" si="67"/>
        <v>4044.6465146191808</v>
      </c>
      <c r="CK121" s="528">
        <f t="shared" si="68"/>
        <v>48.68124294158396</v>
      </c>
      <c r="CL121" s="528">
        <f t="shared" si="69"/>
        <v>10032.613706250633</v>
      </c>
      <c r="CM121" s="646">
        <f t="shared" si="70"/>
        <v>0</v>
      </c>
    </row>
    <row r="122" spans="1:91">
      <c r="A122" s="873">
        <f>'Input data'!A142</f>
        <v>2042</v>
      </c>
      <c r="B122" s="1551">
        <f>'Input data'!B142</f>
        <v>72.353378891150228</v>
      </c>
      <c r="C122" s="1550">
        <f>'Input data'!C142</f>
        <v>4999.630924015547</v>
      </c>
      <c r="D122" s="1550">
        <f>'Input data'!D142</f>
        <v>6756937.6846763855</v>
      </c>
      <c r="E122" s="1454">
        <f t="shared" si="88"/>
        <v>1</v>
      </c>
      <c r="F122" s="1504">
        <f t="shared" si="89"/>
        <v>0.36725000000000002</v>
      </c>
      <c r="G122" s="1511">
        <f>B122*F122*'Input data'!$C$9</f>
        <v>813.28482463575551</v>
      </c>
      <c r="H122" s="1542">
        <f>'Input data'!I142</f>
        <v>424.26313389388866</v>
      </c>
      <c r="I122" s="1509">
        <f>'Input data'!K142</f>
        <v>30696.871276171329</v>
      </c>
      <c r="J122" s="1509">
        <f t="shared" si="91"/>
        <v>2228.8062963921584</v>
      </c>
      <c r="K122" s="1511">
        <f t="shared" si="73"/>
        <v>12036.596084910925</v>
      </c>
      <c r="L122" s="1504">
        <f t="shared" si="90"/>
        <v>0.7</v>
      </c>
      <c r="M122" s="1504">
        <f t="shared" si="87"/>
        <v>0.6</v>
      </c>
      <c r="N122" s="1504">
        <f t="shared" si="87"/>
        <v>0.9</v>
      </c>
      <c r="O122" s="1504">
        <f t="shared" si="87"/>
        <v>0.9</v>
      </c>
      <c r="P122" s="1504">
        <f t="shared" si="87"/>
        <v>0.23600000000000002</v>
      </c>
      <c r="Q122" s="1508">
        <f t="shared" si="31"/>
        <v>328.68285204961626</v>
      </c>
      <c r="R122" s="1509">
        <f t="shared" si="32"/>
        <v>229.36510979799971</v>
      </c>
      <c r="S122" s="1509">
        <f t="shared" si="33"/>
        <v>671.67602819569038</v>
      </c>
      <c r="T122" s="1509">
        <f t="shared" si="34"/>
        <v>452.26459015847831</v>
      </c>
      <c r="U122" s="1511">
        <f t="shared" si="35"/>
        <v>0</v>
      </c>
      <c r="V122" s="1509">
        <f t="shared" si="9"/>
        <v>1681.9885802017848</v>
      </c>
      <c r="W122" s="1454">
        <f t="shared" si="86"/>
        <v>0.5</v>
      </c>
      <c r="X122" s="530">
        <f t="shared" si="36"/>
        <v>3033.4854703020706</v>
      </c>
      <c r="Y122" s="528">
        <f t="shared" si="77"/>
        <v>4715.4740505038553</v>
      </c>
      <c r="Z122" s="528">
        <f t="shared" si="78"/>
        <v>9549.9283307992282</v>
      </c>
      <c r="AA122" s="530">
        <f t="shared" si="79"/>
        <v>7321.1220344070698</v>
      </c>
      <c r="AB122" s="1091">
        <f t="shared" si="37"/>
        <v>0.76661539027428172</v>
      </c>
      <c r="AC122" s="135" t="str">
        <f t="shared" si="38"/>
        <v>Yes</v>
      </c>
      <c r="AD122" s="1091">
        <f t="shared" si="39"/>
        <v>0.76661539027428172</v>
      </c>
      <c r="AE122" s="649">
        <f t="shared" si="10"/>
        <v>0.36041901734796378</v>
      </c>
      <c r="AF122" s="530">
        <f t="shared" si="11"/>
        <v>271.35063207888572</v>
      </c>
      <c r="AG122" s="527">
        <f t="shared" si="40"/>
        <v>2228.8062963921584</v>
      </c>
      <c r="AH122" s="528">
        <f t="shared" si="80"/>
        <v>10096.448030026901</v>
      </c>
      <c r="AI122" s="528">
        <f t="shared" si="81"/>
        <v>6437.6604656145792</v>
      </c>
      <c r="AJ122" s="528">
        <f t="shared" si="12"/>
        <v>870.22030312308186</v>
      </c>
      <c r="AK122" s="528">
        <f t="shared" si="41"/>
        <v>19633.135095156722</v>
      </c>
      <c r="AL122" s="716">
        <f t="shared" si="13"/>
        <v>0</v>
      </c>
      <c r="AM122" s="417">
        <f t="shared" si="42"/>
        <v>0.11352268935092187</v>
      </c>
      <c r="AN122" s="417">
        <f t="shared" si="43"/>
        <v>0.51425551655871726</v>
      </c>
      <c r="AO122" s="417">
        <f t="shared" si="44"/>
        <v>0.32789773178928916</v>
      </c>
      <c r="AP122" s="417">
        <f t="shared" si="45"/>
        <v>4.4324062301071603E-2</v>
      </c>
      <c r="AQ122" s="417">
        <f t="shared" si="46"/>
        <v>0.99999999999999989</v>
      </c>
      <c r="AR122" s="1086">
        <f t="shared" si="14"/>
        <v>486.96297487946799</v>
      </c>
      <c r="AS122" s="938">
        <f t="shared" si="15"/>
        <v>617.60079346160808</v>
      </c>
      <c r="AT122" s="938">
        <f t="shared" si="16"/>
        <v>119.71481995363217</v>
      </c>
      <c r="AU122" s="938">
        <f t="shared" si="17"/>
        <v>0</v>
      </c>
      <c r="AV122" s="938">
        <f t="shared" si="18"/>
        <v>0</v>
      </c>
      <c r="AW122" s="938">
        <f t="shared" si="19"/>
        <v>0</v>
      </c>
      <c r="AX122" s="938">
        <f t="shared" si="20"/>
        <v>836.04834850640793</v>
      </c>
      <c r="AY122" s="938">
        <f t="shared" si="21"/>
        <v>67.343242678876209</v>
      </c>
      <c r="AZ122" s="938">
        <f t="shared" si="22"/>
        <v>18.930203209926265</v>
      </c>
      <c r="BA122" s="938">
        <f t="shared" si="23"/>
        <v>48.893027562112145</v>
      </c>
      <c r="BB122" s="938">
        <f t="shared" si="24"/>
        <v>33.312886140126572</v>
      </c>
      <c r="BC122" s="530">
        <f t="shared" si="47"/>
        <v>2228.8062963921575</v>
      </c>
      <c r="BD122" s="724">
        <f t="shared" si="48"/>
        <v>0</v>
      </c>
      <c r="BE122" s="436">
        <f t="shared" si="49"/>
        <v>0.21848600107947069</v>
      </c>
      <c r="BF122" s="624">
        <f t="shared" si="50"/>
        <v>0.27709935783174111</v>
      </c>
      <c r="BG122" s="624">
        <f t="shared" si="51"/>
        <v>5.3712527709302738E-2</v>
      </c>
      <c r="BH122" s="624">
        <f t="shared" si="52"/>
        <v>0</v>
      </c>
      <c r="BI122" s="624">
        <f t="shared" si="53"/>
        <v>0</v>
      </c>
      <c r="BJ122" s="624">
        <f t="shared" si="54"/>
        <v>0</v>
      </c>
      <c r="BK122" s="624">
        <f t="shared" si="55"/>
        <v>0.4507021133794854</v>
      </c>
      <c r="BL122" s="624">
        <f t="shared" si="56"/>
        <v>0.99999999999999989</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62.411606325653402</v>
      </c>
      <c r="BW122" s="114">
        <f t="shared" si="59"/>
        <v>0.74497134582846192</v>
      </c>
      <c r="BX122" s="1689">
        <f t="shared" si="25"/>
        <v>6.7569376846763856</v>
      </c>
      <c r="BY122" s="527">
        <f t="shared" si="60"/>
        <v>62.411606325653402</v>
      </c>
      <c r="BZ122" s="417">
        <f t="shared" si="61"/>
        <v>0.74497134582846192</v>
      </c>
      <c r="CA122" s="544">
        <f t="shared" si="26"/>
        <v>6.7569376846763856</v>
      </c>
      <c r="CB122" s="649">
        <f t="shared" si="27"/>
        <v>0.36041901734796378</v>
      </c>
      <c r="CC122" s="525">
        <f t="shared" si="62"/>
        <v>0.36063480048691077</v>
      </c>
      <c r="CD122" s="417">
        <f t="shared" si="28"/>
        <v>0.36041901734796378</v>
      </c>
      <c r="CE122" s="525">
        <f t="shared" si="63"/>
        <v>0.36063480048691077</v>
      </c>
      <c r="CG122" s="527">
        <f t="shared" si="64"/>
        <v>1917.3166369560943</v>
      </c>
      <c r="CH122" s="528">
        <f t="shared" si="65"/>
        <v>844.2887477226983</v>
      </c>
      <c r="CI122" s="528">
        <f t="shared" si="66"/>
        <v>3215.4703477453268</v>
      </c>
      <c r="CJ122" s="528">
        <f t="shared" si="67"/>
        <v>4070.3813114263066</v>
      </c>
      <c r="CK122" s="528">
        <f t="shared" si="68"/>
        <v>48.990986176472788</v>
      </c>
      <c r="CL122" s="528">
        <f t="shared" si="69"/>
        <v>10096.448030026901</v>
      </c>
      <c r="CM122" s="646">
        <f t="shared" si="70"/>
        <v>0</v>
      </c>
    </row>
    <row r="123" spans="1:91">
      <c r="A123" s="873">
        <f>'Input data'!A143</f>
        <v>2043</v>
      </c>
      <c r="B123" s="1551">
        <f>'Input data'!B143</f>
        <v>72.797675771420302</v>
      </c>
      <c r="C123" s="1550">
        <f>'Input data'!C143</f>
        <v>5140.3990299017887</v>
      </c>
      <c r="D123" s="1550">
        <f>'Input data'!D143</f>
        <v>5810994.0740290517</v>
      </c>
      <c r="E123" s="1454">
        <f t="shared" si="88"/>
        <v>1</v>
      </c>
      <c r="F123" s="1504">
        <f t="shared" si="89"/>
        <v>0.36725000000000002</v>
      </c>
      <c r="G123" s="1511">
        <f>B123*F123*'Input data'!$C$9</f>
        <v>818.27892326520953</v>
      </c>
      <c r="H123" s="1542">
        <f>'Input data'!I143</f>
        <v>424.26313389388866</v>
      </c>
      <c r="I123" s="1509">
        <f>'Input data'!K143</f>
        <v>30885.370062973987</v>
      </c>
      <c r="J123" s="1509">
        <f t="shared" si="91"/>
        <v>2228.8062963921584</v>
      </c>
      <c r="K123" s="1511">
        <f t="shared" si="73"/>
        <v>12124.194948584523</v>
      </c>
      <c r="L123" s="1504">
        <f t="shared" si="90"/>
        <v>0.7</v>
      </c>
      <c r="M123" s="1504">
        <f t="shared" si="87"/>
        <v>0.6</v>
      </c>
      <c r="N123" s="1504">
        <f t="shared" si="87"/>
        <v>0.9</v>
      </c>
      <c r="O123" s="1504">
        <f t="shared" si="87"/>
        <v>0.9</v>
      </c>
      <c r="P123" s="1504">
        <f t="shared" si="87"/>
        <v>0.23600000000000002</v>
      </c>
      <c r="Q123" s="1508">
        <f t="shared" si="31"/>
        <v>330.70117887832748</v>
      </c>
      <c r="R123" s="1509">
        <f t="shared" si="32"/>
        <v>230.77356098974508</v>
      </c>
      <c r="S123" s="1509">
        <f t="shared" si="33"/>
        <v>675.80055656538116</v>
      </c>
      <c r="T123" s="1509">
        <f t="shared" si="34"/>
        <v>455.04178936525341</v>
      </c>
      <c r="U123" s="1511">
        <f t="shared" si="35"/>
        <v>0</v>
      </c>
      <c r="V123" s="1509">
        <f t="shared" si="9"/>
        <v>1692.317085798707</v>
      </c>
      <c r="W123" s="1454">
        <f t="shared" si="86"/>
        <v>0.5</v>
      </c>
      <c r="X123" s="530">
        <f t="shared" si="36"/>
        <v>3033.4854703020706</v>
      </c>
      <c r="Y123" s="528">
        <f t="shared" si="77"/>
        <v>4725.802556100778</v>
      </c>
      <c r="Z123" s="528">
        <f t="shared" si="78"/>
        <v>9627.1986888759038</v>
      </c>
      <c r="AA123" s="530">
        <f t="shared" si="79"/>
        <v>7398.3923924837454</v>
      </c>
      <c r="AB123" s="1091">
        <f t="shared" si="37"/>
        <v>0.76848859482171972</v>
      </c>
      <c r="AC123" s="135" t="str">
        <f t="shared" si="38"/>
        <v>Yes</v>
      </c>
      <c r="AD123" s="1091">
        <f t="shared" si="39"/>
        <v>0.76848859482171972</v>
      </c>
      <c r="AE123" s="649">
        <f t="shared" si="10"/>
        <v>0.36236962542489271</v>
      </c>
      <c r="AF123" s="530">
        <f t="shared" si="11"/>
        <v>270.5230609831691</v>
      </c>
      <c r="AG123" s="527">
        <f t="shared" si="40"/>
        <v>2228.8062963921584</v>
      </c>
      <c r="AH123" s="528">
        <f t="shared" si="80"/>
        <v>10158.446798160428</v>
      </c>
      <c r="AI123" s="528">
        <f t="shared" si="81"/>
        <v>6437.6604656145792</v>
      </c>
      <c r="AJ123" s="528">
        <f t="shared" si="12"/>
        <v>868.53652197774227</v>
      </c>
      <c r="AK123" s="528">
        <f t="shared" si="41"/>
        <v>19693.450082144907</v>
      </c>
      <c r="AL123" s="716">
        <f t="shared" si="13"/>
        <v>0</v>
      </c>
      <c r="AM123" s="417">
        <f t="shared" si="42"/>
        <v>0.11317500423213851</v>
      </c>
      <c r="AN123" s="417">
        <f t="shared" si="43"/>
        <v>0.51582870222270494</v>
      </c>
      <c r="AO123" s="417">
        <f t="shared" si="44"/>
        <v>0.32689348178008143</v>
      </c>
      <c r="AP123" s="417">
        <f t="shared" si="45"/>
        <v>4.4102811765075238E-2</v>
      </c>
      <c r="AQ123" s="417">
        <f t="shared" si="46"/>
        <v>1.0000000000000002</v>
      </c>
      <c r="AR123" s="1086">
        <f t="shared" si="14"/>
        <v>487.92198146320982</v>
      </c>
      <c r="AS123" s="938">
        <f t="shared" si="15"/>
        <v>618.81707325618675</v>
      </c>
      <c r="AT123" s="938">
        <f t="shared" si="16"/>
        <v>119.48318486544555</v>
      </c>
      <c r="AU123" s="938">
        <f t="shared" si="17"/>
        <v>0</v>
      </c>
      <c r="AV123" s="938">
        <f t="shared" si="18"/>
        <v>0</v>
      </c>
      <c r="AW123" s="938">
        <f t="shared" si="19"/>
        <v>0</v>
      </c>
      <c r="AX123" s="938">
        <f t="shared" si="20"/>
        <v>834.43068635723114</v>
      </c>
      <c r="AY123" s="938">
        <f t="shared" si="21"/>
        <v>67.212940866930694</v>
      </c>
      <c r="AZ123" s="938">
        <f t="shared" si="22"/>
        <v>18.893575336354569</v>
      </c>
      <c r="BA123" s="938">
        <f t="shared" si="23"/>
        <v>48.798424899255266</v>
      </c>
      <c r="BB123" s="938">
        <f t="shared" si="24"/>
        <v>33.24842934754394</v>
      </c>
      <c r="BC123" s="530">
        <f t="shared" si="47"/>
        <v>2228.8062963921575</v>
      </c>
      <c r="BD123" s="724">
        <f t="shared" si="48"/>
        <v>0</v>
      </c>
      <c r="BE123" s="436">
        <f t="shared" si="49"/>
        <v>0.21891627919977849</v>
      </c>
      <c r="BF123" s="624">
        <f t="shared" si="50"/>
        <v>0.2776450668942772</v>
      </c>
      <c r="BG123" s="624">
        <f t="shared" si="51"/>
        <v>5.3608599840576969E-2</v>
      </c>
      <c r="BH123" s="624">
        <f t="shared" si="52"/>
        <v>0</v>
      </c>
      <c r="BI123" s="624">
        <f t="shared" si="53"/>
        <v>0</v>
      </c>
      <c r="BJ123" s="624">
        <f t="shared" si="54"/>
        <v>0</v>
      </c>
      <c r="BK123" s="624">
        <f t="shared" si="55"/>
        <v>0.44983005406536747</v>
      </c>
      <c r="BL123" s="624">
        <f t="shared" si="56"/>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62.815338804991427</v>
      </c>
      <c r="BW123" s="114">
        <f t="shared" si="59"/>
        <v>0.74661048927351392</v>
      </c>
      <c r="BX123" s="1689">
        <f t="shared" si="25"/>
        <v>5.8109940740290513</v>
      </c>
      <c r="BY123" s="527">
        <f t="shared" si="60"/>
        <v>62.815338804991427</v>
      </c>
      <c r="BZ123" s="417">
        <f t="shared" si="61"/>
        <v>0.74661048927351392</v>
      </c>
      <c r="CA123" s="544">
        <f t="shared" si="26"/>
        <v>5.8109940740290513</v>
      </c>
      <c r="CB123" s="649">
        <f t="shared" si="27"/>
        <v>0.36236962542489271</v>
      </c>
      <c r="CC123" s="525">
        <f t="shared" si="62"/>
        <v>0.36262429513389205</v>
      </c>
      <c r="CD123" s="417">
        <f t="shared" si="28"/>
        <v>0.36236962542489271</v>
      </c>
      <c r="CE123" s="525">
        <f t="shared" si="63"/>
        <v>0.36262429513389205</v>
      </c>
      <c r="CG123" s="527">
        <f t="shared" si="64"/>
        <v>1929.0902101235763</v>
      </c>
      <c r="CH123" s="528">
        <f t="shared" si="65"/>
        <v>849.47323063709894</v>
      </c>
      <c r="CI123" s="528">
        <f t="shared" si="66"/>
        <v>3235.2154303661873</v>
      </c>
      <c r="CJ123" s="528">
        <f t="shared" si="67"/>
        <v>4095.3761042872866</v>
      </c>
      <c r="CK123" s="528">
        <f t="shared" si="68"/>
        <v>49.291822746279806</v>
      </c>
      <c r="CL123" s="528">
        <f t="shared" si="69"/>
        <v>10158.446798160428</v>
      </c>
      <c r="CM123" s="646">
        <f t="shared" si="70"/>
        <v>0</v>
      </c>
    </row>
    <row r="124" spans="1:91">
      <c r="A124" s="873">
        <f>'Input data'!A144</f>
        <v>2044</v>
      </c>
      <c r="B124" s="1551">
        <f>'Input data'!B144</f>
        <v>73.228597899236789</v>
      </c>
      <c r="C124" s="1550">
        <f>'Input data'!C144</f>
        <v>5284.2396924773611</v>
      </c>
      <c r="D124" s="1550">
        <f>'Input data'!D144</f>
        <v>4865050.463381717</v>
      </c>
      <c r="E124" s="1454">
        <f t="shared" si="88"/>
        <v>1</v>
      </c>
      <c r="F124" s="1504">
        <f t="shared" si="89"/>
        <v>0.36725000000000002</v>
      </c>
      <c r="G124" s="1511">
        <f>B124*F124*'Input data'!$C$9</f>
        <v>823.12268360541623</v>
      </c>
      <c r="H124" s="1542">
        <f>'Input data'!I144</f>
        <v>424.26313389388866</v>
      </c>
      <c r="I124" s="1509">
        <f>'Input data'!K144</f>
        <v>31068.194435385631</v>
      </c>
      <c r="J124" s="1509">
        <f t="shared" si="91"/>
        <v>2228.8062963921584</v>
      </c>
      <c r="K124" s="1511">
        <f t="shared" si="73"/>
        <v>12209.156807208397</v>
      </c>
      <c r="L124" s="1504">
        <f t="shared" si="90"/>
        <v>0.7</v>
      </c>
      <c r="M124" s="1504">
        <f t="shared" si="87"/>
        <v>0.6</v>
      </c>
      <c r="N124" s="1504">
        <f t="shared" si="87"/>
        <v>0.9</v>
      </c>
      <c r="O124" s="1504">
        <f t="shared" si="87"/>
        <v>0.9</v>
      </c>
      <c r="P124" s="1504">
        <f t="shared" si="87"/>
        <v>0.23600000000000002</v>
      </c>
      <c r="Q124" s="1508">
        <f t="shared" si="31"/>
        <v>332.65874763534543</v>
      </c>
      <c r="R124" s="1509">
        <f t="shared" si="32"/>
        <v>232.13961331067003</v>
      </c>
      <c r="S124" s="1509">
        <f t="shared" si="33"/>
        <v>679.8009234827141</v>
      </c>
      <c r="T124" s="1509">
        <f t="shared" si="34"/>
        <v>457.73538602257486</v>
      </c>
      <c r="U124" s="1511">
        <f t="shared" si="35"/>
        <v>0</v>
      </c>
      <c r="V124" s="1509">
        <f t="shared" si="9"/>
        <v>1702.3346704513044</v>
      </c>
      <c r="W124" s="1454">
        <f t="shared" si="86"/>
        <v>0.5</v>
      </c>
      <c r="X124" s="530">
        <f t="shared" si="36"/>
        <v>3033.4854703020706</v>
      </c>
      <c r="Y124" s="528">
        <f t="shared" si="77"/>
        <v>4735.8201407533752</v>
      </c>
      <c r="Z124" s="528">
        <f t="shared" si="78"/>
        <v>9702.1429628471815</v>
      </c>
      <c r="AA124" s="530">
        <f t="shared" si="79"/>
        <v>7473.3366664550231</v>
      </c>
      <c r="AB124" s="1091">
        <f t="shared" si="37"/>
        <v>0.7702769063569751</v>
      </c>
      <c r="AC124" s="135" t="str">
        <f t="shared" si="38"/>
        <v>Yes</v>
      </c>
      <c r="AD124" s="1091">
        <f t="shared" si="39"/>
        <v>0.7702769063569751</v>
      </c>
      <c r="AE124" s="649">
        <f t="shared" si="10"/>
        <v>0.36423807768893179</v>
      </c>
      <c r="AF124" s="530">
        <f t="shared" si="11"/>
        <v>269.73034557009674</v>
      </c>
      <c r="AG124" s="527">
        <f t="shared" si="40"/>
        <v>2228.8062963921584</v>
      </c>
      <c r="AH124" s="528">
        <f t="shared" si="80"/>
        <v>10218.579205729577</v>
      </c>
      <c r="AI124" s="528">
        <f t="shared" si="81"/>
        <v>6437.6604656145792</v>
      </c>
      <c r="AJ124" s="528">
        <f t="shared" si="12"/>
        <v>866.9290492384863</v>
      </c>
      <c r="AK124" s="528">
        <f t="shared" si="41"/>
        <v>19751.9750169748</v>
      </c>
      <c r="AL124" s="716">
        <f t="shared" si="13"/>
        <v>0</v>
      </c>
      <c r="AM124" s="417">
        <f t="shared" si="42"/>
        <v>0.11283966765230959</v>
      </c>
      <c r="AN124" s="417">
        <f t="shared" si="43"/>
        <v>0.51734468056727256</v>
      </c>
      <c r="AO124" s="417">
        <f t="shared" si="44"/>
        <v>0.32592489915980905</v>
      </c>
      <c r="AP124" s="417">
        <f t="shared" si="45"/>
        <v>4.3890752620608799E-2</v>
      </c>
      <c r="AQ124" s="417">
        <f t="shared" si="46"/>
        <v>1</v>
      </c>
      <c r="AR124" s="1086">
        <f t="shared" si="14"/>
        <v>488.83752618492031</v>
      </c>
      <c r="AS124" s="938">
        <f t="shared" si="15"/>
        <v>619.97823165168484</v>
      </c>
      <c r="AT124" s="938">
        <f t="shared" si="16"/>
        <v>119.26204740304699</v>
      </c>
      <c r="AU124" s="938">
        <f t="shared" si="17"/>
        <v>0</v>
      </c>
      <c r="AV124" s="938">
        <f t="shared" si="18"/>
        <v>0</v>
      </c>
      <c r="AW124" s="938">
        <f t="shared" si="19"/>
        <v>0</v>
      </c>
      <c r="AX124" s="938">
        <f t="shared" si="20"/>
        <v>832.88633612304227</v>
      </c>
      <c r="AY124" s="938">
        <f t="shared" si="21"/>
        <v>67.088544290120325</v>
      </c>
      <c r="AZ124" s="938">
        <f t="shared" si="22"/>
        <v>18.85860742593081</v>
      </c>
      <c r="BA124" s="938">
        <f t="shared" si="23"/>
        <v>48.708109597872784</v>
      </c>
      <c r="BB124" s="938">
        <f t="shared" si="24"/>
        <v>33.186893715539028</v>
      </c>
      <c r="BC124" s="530">
        <f t="shared" si="47"/>
        <v>2228.8062963921575</v>
      </c>
      <c r="BD124" s="724">
        <f t="shared" si="48"/>
        <v>0</v>
      </c>
      <c r="BE124" s="436">
        <f t="shared" si="49"/>
        <v>0.21932705725760815</v>
      </c>
      <c r="BF124" s="624">
        <f t="shared" si="50"/>
        <v>0.27816604460211014</v>
      </c>
      <c r="BG124" s="624">
        <f t="shared" si="51"/>
        <v>5.3509381948579564E-2</v>
      </c>
      <c r="BH124" s="624">
        <f t="shared" si="52"/>
        <v>0</v>
      </c>
      <c r="BI124" s="624">
        <f t="shared" si="53"/>
        <v>0</v>
      </c>
      <c r="BJ124" s="624">
        <f t="shared" si="54"/>
        <v>0</v>
      </c>
      <c r="BK124" s="624">
        <f t="shared" si="55"/>
        <v>0.44899751619170203</v>
      </c>
      <c r="BL124" s="624">
        <f t="shared" si="56"/>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63.233035907897154</v>
      </c>
      <c r="BW124" s="114">
        <f t="shared" si="59"/>
        <v>0.74828429890510129</v>
      </c>
      <c r="BX124" s="1689">
        <f t="shared" si="25"/>
        <v>4.8650504633817171</v>
      </c>
      <c r="BY124" s="527">
        <f t="shared" si="60"/>
        <v>63.233035907897154</v>
      </c>
      <c r="BZ124" s="417">
        <f t="shared" si="61"/>
        <v>0.74828429890510129</v>
      </c>
      <c r="CA124" s="544">
        <f t="shared" si="26"/>
        <v>4.8650504633817171</v>
      </c>
      <c r="CB124" s="649">
        <f t="shared" si="27"/>
        <v>0.36423807768893179</v>
      </c>
      <c r="CC124" s="525">
        <f t="shared" si="62"/>
        <v>0.36468331329941139</v>
      </c>
      <c r="CD124" s="417">
        <f t="shared" si="28"/>
        <v>0.36423807768893179</v>
      </c>
      <c r="CE124" s="525">
        <f t="shared" si="63"/>
        <v>0.36468331329941139</v>
      </c>
      <c r="CG124" s="527">
        <f t="shared" si="64"/>
        <v>1940.5093612061819</v>
      </c>
      <c r="CH124" s="528">
        <f t="shared" si="65"/>
        <v>854.50164408835633</v>
      </c>
      <c r="CI124" s="528">
        <f t="shared" si="66"/>
        <v>3254.3661230555467</v>
      </c>
      <c r="CJ124" s="528">
        <f t="shared" si="67"/>
        <v>4119.6184742031828</v>
      </c>
      <c r="CK124" s="528">
        <f t="shared" si="68"/>
        <v>49.583603176309943</v>
      </c>
      <c r="CL124" s="528">
        <f t="shared" si="69"/>
        <v>10218.579205729577</v>
      </c>
      <c r="CM124" s="646">
        <f t="shared" si="70"/>
        <v>0</v>
      </c>
    </row>
    <row r="125" spans="1:91">
      <c r="A125" s="873">
        <f>'Input data'!A145</f>
        <v>2045</v>
      </c>
      <c r="B125" s="1551">
        <f>'Input data'!B145</f>
        <v>73.645872502840064</v>
      </c>
      <c r="C125" s="1550">
        <f>'Input data'!C145</f>
        <v>5434.6458323535726</v>
      </c>
      <c r="D125" s="1550">
        <f>'Input data'!D145</f>
        <v>3919106.8527343827</v>
      </c>
      <c r="E125" s="1454">
        <f t="shared" si="88"/>
        <v>1</v>
      </c>
      <c r="F125" s="1504">
        <f t="shared" si="89"/>
        <v>0.36725000000000002</v>
      </c>
      <c r="G125" s="1511">
        <f>B125*F125*'Input data'!$C$9</f>
        <v>827.81303957796842</v>
      </c>
      <c r="H125" s="1542">
        <f>'Input data'!I145</f>
        <v>424.26313389388866</v>
      </c>
      <c r="I125" s="1509">
        <f>'Input data'!K145</f>
        <v>31245.228666404688</v>
      </c>
      <c r="J125" s="1509">
        <f t="shared" si="91"/>
        <v>2228.8062963921584</v>
      </c>
      <c r="K125" s="1511">
        <f t="shared" si="73"/>
        <v>12291.42788030997</v>
      </c>
      <c r="L125" s="1504">
        <f t="shared" si="90"/>
        <v>0.7</v>
      </c>
      <c r="M125" s="1504">
        <f t="shared" si="87"/>
        <v>0.6</v>
      </c>
      <c r="N125" s="1504">
        <f t="shared" si="87"/>
        <v>0.9</v>
      </c>
      <c r="O125" s="1504">
        <f t="shared" si="87"/>
        <v>0.9</v>
      </c>
      <c r="P125" s="1504">
        <f t="shared" si="87"/>
        <v>0.23600000000000002</v>
      </c>
      <c r="Q125" s="1508">
        <f t="shared" si="31"/>
        <v>334.55431918849331</v>
      </c>
      <c r="R125" s="1509">
        <f t="shared" si="32"/>
        <v>233.46240205582831</v>
      </c>
      <c r="S125" s="1509">
        <f t="shared" si="33"/>
        <v>683.67459673350777</v>
      </c>
      <c r="T125" s="1509">
        <f t="shared" si="34"/>
        <v>460.34367509593176</v>
      </c>
      <c r="U125" s="1511">
        <f t="shared" si="35"/>
        <v>0</v>
      </c>
      <c r="V125" s="1509">
        <f t="shared" si="9"/>
        <v>1712.0349930737611</v>
      </c>
      <c r="W125" s="1454">
        <f t="shared" si="86"/>
        <v>0.5</v>
      </c>
      <c r="X125" s="530">
        <f t="shared" si="36"/>
        <v>3033.4854703020706</v>
      </c>
      <c r="Y125" s="528">
        <f t="shared" si="77"/>
        <v>4745.5204633758312</v>
      </c>
      <c r="Z125" s="528">
        <f t="shared" si="78"/>
        <v>9774.7137133262968</v>
      </c>
      <c r="AA125" s="530">
        <f t="shared" si="79"/>
        <v>7545.9074169341384</v>
      </c>
      <c r="AB125" s="1091">
        <f t="shared" si="37"/>
        <v>0.77198244759296342</v>
      </c>
      <c r="AC125" s="135" t="str">
        <f t="shared" si="38"/>
        <v>Yes</v>
      </c>
      <c r="AD125" s="1091">
        <f t="shared" si="39"/>
        <v>0.77198244759296342</v>
      </c>
      <c r="AE125" s="649">
        <f t="shared" si="10"/>
        <v>0.36602576542049337</v>
      </c>
      <c r="AF125" s="530">
        <f t="shared" si="11"/>
        <v>268.97189557068083</v>
      </c>
      <c r="AG125" s="527">
        <f t="shared" si="40"/>
        <v>2228.8062963921584</v>
      </c>
      <c r="AH125" s="528">
        <f t="shared" si="80"/>
        <v>10276.807189192088</v>
      </c>
      <c r="AI125" s="528">
        <f t="shared" si="81"/>
        <v>6437.6604656145792</v>
      </c>
      <c r="AJ125" s="528">
        <f t="shared" si="12"/>
        <v>865.39597684674754</v>
      </c>
      <c r="AK125" s="528">
        <f t="shared" si="41"/>
        <v>19808.669928045572</v>
      </c>
      <c r="AL125" s="716">
        <f t="shared" si="13"/>
        <v>0</v>
      </c>
      <c r="AM125" s="417">
        <f t="shared" si="42"/>
        <v>0.11251670629518457</v>
      </c>
      <c r="AN125" s="417">
        <f t="shared" si="43"/>
        <v>0.51880349496065592</v>
      </c>
      <c r="AO125" s="417">
        <f t="shared" si="44"/>
        <v>0.324992061001531</v>
      </c>
      <c r="AP125" s="417">
        <f t="shared" si="45"/>
        <v>4.3687737742628539E-2</v>
      </c>
      <c r="AQ125" s="417">
        <f t="shared" si="46"/>
        <v>1</v>
      </c>
      <c r="AR125" s="1086">
        <f t="shared" si="14"/>
        <v>489.71069578959214</v>
      </c>
      <c r="AS125" s="938">
        <f t="shared" si="15"/>
        <v>621.08564693475728</v>
      </c>
      <c r="AT125" s="938">
        <f t="shared" si="16"/>
        <v>119.05114507786082</v>
      </c>
      <c r="AU125" s="938">
        <f t="shared" si="17"/>
        <v>0</v>
      </c>
      <c r="AV125" s="938">
        <f t="shared" si="18"/>
        <v>0</v>
      </c>
      <c r="AW125" s="938">
        <f t="shared" si="19"/>
        <v>0</v>
      </c>
      <c r="AX125" s="938">
        <f t="shared" si="20"/>
        <v>831.41346467123401</v>
      </c>
      <c r="AY125" s="938">
        <f t="shared" si="21"/>
        <v>66.969905290604189</v>
      </c>
      <c r="AZ125" s="938">
        <f t="shared" si="22"/>
        <v>18.825257971997143</v>
      </c>
      <c r="BA125" s="938">
        <f t="shared" si="23"/>
        <v>48.621974454352063</v>
      </c>
      <c r="BB125" s="938">
        <f t="shared" si="24"/>
        <v>33.128206201759724</v>
      </c>
      <c r="BC125" s="530">
        <f t="shared" si="47"/>
        <v>2228.8062963921575</v>
      </c>
      <c r="BD125" s="724">
        <f t="shared" si="48"/>
        <v>0</v>
      </c>
      <c r="BE125" s="436">
        <f t="shared" si="49"/>
        <v>0.21971882284355668</v>
      </c>
      <c r="BF125" s="624">
        <f t="shared" si="50"/>
        <v>0.27866290935202809</v>
      </c>
      <c r="BG125" s="624">
        <f t="shared" si="51"/>
        <v>5.3414756262387113E-2</v>
      </c>
      <c r="BH125" s="624">
        <f t="shared" si="52"/>
        <v>0</v>
      </c>
      <c r="BI125" s="624">
        <f t="shared" si="53"/>
        <v>0</v>
      </c>
      <c r="BJ125" s="624">
        <f t="shared" si="54"/>
        <v>0</v>
      </c>
      <c r="BK125" s="624">
        <f t="shared" si="55"/>
        <v>0.44820351154202809</v>
      </c>
      <c r="BL125" s="624">
        <f t="shared" si="56"/>
        <v>1</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63.682567773837512</v>
      </c>
      <c r="BW125" s="114">
        <f t="shared" si="59"/>
        <v>0.75006114667922896</v>
      </c>
      <c r="BX125" s="1689">
        <f t="shared" si="25"/>
        <v>3.9191068527343829</v>
      </c>
      <c r="BY125" s="527">
        <f t="shared" si="60"/>
        <v>63.682567773837512</v>
      </c>
      <c r="BZ125" s="417">
        <f t="shared" si="61"/>
        <v>0.75006114667922896</v>
      </c>
      <c r="CA125" s="544">
        <f t="shared" si="26"/>
        <v>3.9191068527343829</v>
      </c>
      <c r="CB125" s="649">
        <f t="shared" si="27"/>
        <v>0.36602576542049337</v>
      </c>
      <c r="CC125" s="525">
        <f t="shared" si="62"/>
        <v>0.36693171423237991</v>
      </c>
      <c r="CD125" s="417">
        <f t="shared" si="28"/>
        <v>0.36602576542049337</v>
      </c>
      <c r="CE125" s="525">
        <f t="shared" si="63"/>
        <v>0.36693171423237991</v>
      </c>
      <c r="CG125" s="527">
        <f t="shared" si="64"/>
        <v>1951.5668619328783</v>
      </c>
      <c r="CH125" s="528">
        <f t="shared" si="65"/>
        <v>859.3708051134787</v>
      </c>
      <c r="CI125" s="528">
        <f t="shared" si="66"/>
        <v>3272.9103035114736</v>
      </c>
      <c r="CJ125" s="528">
        <f t="shared" si="67"/>
        <v>4143.0930758633876</v>
      </c>
      <c r="CK125" s="528">
        <f t="shared" si="68"/>
        <v>49.86614277086953</v>
      </c>
      <c r="CL125" s="528">
        <f t="shared" si="69"/>
        <v>10276.807189192088</v>
      </c>
      <c r="CM125" s="646">
        <f t="shared" si="70"/>
        <v>0</v>
      </c>
    </row>
    <row r="126" spans="1:91">
      <c r="A126" s="873">
        <f>'Input data'!A146</f>
        <v>2046</v>
      </c>
      <c r="B126" s="1551">
        <f>'Input data'!B146</f>
        <v>74.049234192071822</v>
      </c>
      <c r="C126" s="1550">
        <f>'Input data'!C146</f>
        <v>5588.9785645796028</v>
      </c>
      <c r="D126" s="1550">
        <f>'Input data'!D146</f>
        <v>3263474.9196310313</v>
      </c>
      <c r="E126" s="1454">
        <f t="shared" si="88"/>
        <v>1</v>
      </c>
      <c r="F126" s="1504">
        <f t="shared" si="89"/>
        <v>0.36725000000000002</v>
      </c>
      <c r="G126" s="1511">
        <f>B126*F126*'Input data'!$C$9</f>
        <v>832.34700807700915</v>
      </c>
      <c r="H126" s="1542">
        <f>'Input data'!I146</f>
        <v>424.26313389388866</v>
      </c>
      <c r="I126" s="1509">
        <f>'Input data'!K146</f>
        <v>31416.360160770884</v>
      </c>
      <c r="J126" s="1509">
        <f t="shared" si="91"/>
        <v>2228.8062963921584</v>
      </c>
      <c r="K126" s="1511">
        <f t="shared" si="73"/>
        <v>12370.955842794619</v>
      </c>
      <c r="L126" s="1504">
        <f t="shared" si="90"/>
        <v>0.7</v>
      </c>
      <c r="M126" s="1504">
        <f t="shared" si="87"/>
        <v>0.6</v>
      </c>
      <c r="N126" s="1504">
        <f t="shared" si="87"/>
        <v>0.9</v>
      </c>
      <c r="O126" s="1504">
        <f t="shared" si="87"/>
        <v>0.9</v>
      </c>
      <c r="P126" s="1504">
        <f t="shared" si="87"/>
        <v>0.23600000000000002</v>
      </c>
      <c r="Q126" s="1508">
        <f t="shared" si="31"/>
        <v>336.38668793831653</v>
      </c>
      <c r="R126" s="1509">
        <f t="shared" si="32"/>
        <v>234.74108592044956</v>
      </c>
      <c r="S126" s="1509">
        <f t="shared" si="33"/>
        <v>687.41911262898611</v>
      </c>
      <c r="T126" s="1509">
        <f t="shared" si="34"/>
        <v>462.86499769152806</v>
      </c>
      <c r="U126" s="1511">
        <f t="shared" si="35"/>
        <v>0</v>
      </c>
      <c r="V126" s="1509">
        <f t="shared" si="9"/>
        <v>1721.4118841792802</v>
      </c>
      <c r="W126" s="1454">
        <f t="shared" si="86"/>
        <v>0.5</v>
      </c>
      <c r="X126" s="530">
        <f t="shared" si="36"/>
        <v>3033.4854703020706</v>
      </c>
      <c r="Y126" s="528">
        <f t="shared" si="77"/>
        <v>4754.8973544813507</v>
      </c>
      <c r="Z126" s="528">
        <f t="shared" si="78"/>
        <v>9844.8647847054272</v>
      </c>
      <c r="AA126" s="530">
        <f t="shared" si="79"/>
        <v>7616.0584883132688</v>
      </c>
      <c r="AB126" s="1091">
        <f t="shared" si="37"/>
        <v>0.77360722111138192</v>
      </c>
      <c r="AC126" s="135" t="str">
        <f t="shared" si="38"/>
        <v>Yes</v>
      </c>
      <c r="AD126" s="1091">
        <f t="shared" si="39"/>
        <v>0.77360722111138192</v>
      </c>
      <c r="AE126" s="649">
        <f t="shared" si="10"/>
        <v>0.36773401246533388</v>
      </c>
      <c r="AF126" s="530">
        <f t="shared" si="11"/>
        <v>268.2471493259718</v>
      </c>
      <c r="AG126" s="527">
        <f t="shared" si="40"/>
        <v>2228.8062963921584</v>
      </c>
      <c r="AH126" s="528">
        <f t="shared" si="80"/>
        <v>10333.093715060619</v>
      </c>
      <c r="AI126" s="528">
        <f t="shared" si="81"/>
        <v>6437.6604656145792</v>
      </c>
      <c r="AJ126" s="528">
        <f t="shared" si="12"/>
        <v>863.93550472719085</v>
      </c>
      <c r="AK126" s="528">
        <f t="shared" si="41"/>
        <v>19863.495981794546</v>
      </c>
      <c r="AL126" s="716">
        <f t="shared" si="13"/>
        <v>0</v>
      </c>
      <c r="AM126" s="417">
        <f t="shared" si="42"/>
        <v>0.11220614429780751</v>
      </c>
      <c r="AN126" s="417">
        <f t="shared" si="43"/>
        <v>0.52020519069408477</v>
      </c>
      <c r="AO126" s="417">
        <f t="shared" si="44"/>
        <v>0.32409503702242931</v>
      </c>
      <c r="AP126" s="417">
        <f t="shared" si="45"/>
        <v>4.3493627985678456E-2</v>
      </c>
      <c r="AQ126" s="417">
        <f t="shared" si="46"/>
        <v>1</v>
      </c>
      <c r="AR126" s="1086">
        <f t="shared" si="14"/>
        <v>490.54251551978865</v>
      </c>
      <c r="AS126" s="938">
        <f t="shared" si="15"/>
        <v>622.14061939033979</v>
      </c>
      <c r="AT126" s="938">
        <f t="shared" si="16"/>
        <v>118.85023025639249</v>
      </c>
      <c r="AU126" s="938">
        <f t="shared" si="17"/>
        <v>0</v>
      </c>
      <c r="AV126" s="938">
        <f t="shared" si="18"/>
        <v>0</v>
      </c>
      <c r="AW126" s="938">
        <f t="shared" si="19"/>
        <v>0</v>
      </c>
      <c r="AX126" s="938">
        <f t="shared" si="20"/>
        <v>830.01034261212658</v>
      </c>
      <c r="AY126" s="938">
        <f t="shared" si="21"/>
        <v>66.856884566978167</v>
      </c>
      <c r="AZ126" s="938">
        <f t="shared" si="22"/>
        <v>18.793487816892267</v>
      </c>
      <c r="BA126" s="938">
        <f t="shared" si="23"/>
        <v>48.539918332081832</v>
      </c>
      <c r="BB126" s="938">
        <f t="shared" si="24"/>
        <v>33.072297897557888</v>
      </c>
      <c r="BC126" s="530">
        <f t="shared" si="47"/>
        <v>2228.8062963921575</v>
      </c>
      <c r="BD126" s="724">
        <f t="shared" si="48"/>
        <v>0</v>
      </c>
      <c r="BE126" s="436">
        <f t="shared" si="49"/>
        <v>0.2200920359538853</v>
      </c>
      <c r="BF126" s="624">
        <f t="shared" si="50"/>
        <v>0.27913624454373598</v>
      </c>
      <c r="BG126" s="624">
        <f t="shared" si="51"/>
        <v>5.3324611676115276E-2</v>
      </c>
      <c r="BH126" s="624">
        <f t="shared" si="52"/>
        <v>0</v>
      </c>
      <c r="BI126" s="624">
        <f t="shared" si="53"/>
        <v>0</v>
      </c>
      <c r="BJ126" s="624">
        <f t="shared" si="54"/>
        <v>0</v>
      </c>
      <c r="BK126" s="624">
        <f t="shared" si="55"/>
        <v>0.44744710782626346</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64.266489236324432</v>
      </c>
      <c r="BW126" s="114">
        <f t="shared" si="59"/>
        <v>0.75233207609357244</v>
      </c>
      <c r="BX126" s="1689">
        <f t="shared" si="25"/>
        <v>3.2634749196310313</v>
      </c>
      <c r="BY126" s="527">
        <f t="shared" si="60"/>
        <v>64.266489236324432</v>
      </c>
      <c r="BZ126" s="417">
        <f t="shared" si="61"/>
        <v>0.75233207609357244</v>
      </c>
      <c r="CA126" s="544">
        <f t="shared" si="26"/>
        <v>3.2634749196310313</v>
      </c>
      <c r="CB126" s="649">
        <f t="shared" si="27"/>
        <v>0.36773401246533388</v>
      </c>
      <c r="CC126" s="525">
        <f t="shared" si="62"/>
        <v>0.37021257153658016</v>
      </c>
      <c r="CD126" s="417">
        <f t="shared" si="28"/>
        <v>0.36773401246533388</v>
      </c>
      <c r="CE126" s="525">
        <f t="shared" si="63"/>
        <v>0.37021257153658016</v>
      </c>
      <c r="CG126" s="527">
        <f t="shared" si="64"/>
        <v>1962.2556796401789</v>
      </c>
      <c r="CH126" s="528">
        <f t="shared" si="65"/>
        <v>864.07761688509095</v>
      </c>
      <c r="CI126" s="528">
        <f t="shared" si="66"/>
        <v>3290.8361774791897</v>
      </c>
      <c r="CJ126" s="528">
        <f t="shared" si="67"/>
        <v>4165.7849792237585</v>
      </c>
      <c r="CK126" s="528">
        <f t="shared" si="68"/>
        <v>50.139261832399477</v>
      </c>
      <c r="CL126" s="528">
        <f t="shared" si="69"/>
        <v>10333.093715060617</v>
      </c>
      <c r="CM126" s="646">
        <f t="shared" si="70"/>
        <v>0</v>
      </c>
    </row>
    <row r="127" spans="1:91" s="1" customFormat="1">
      <c r="A127" s="873">
        <f>'Input data'!A147</f>
        <v>2047</v>
      </c>
      <c r="B127" s="1551">
        <f>'Input data'!B147</f>
        <v>74.438425238522782</v>
      </c>
      <c r="C127" s="1550">
        <f>'Input data'!C147</f>
        <v>5683.8226319462565</v>
      </c>
      <c r="D127" s="1550">
        <f>'Input data'!D147</f>
        <v>2607842.98652768</v>
      </c>
      <c r="E127" s="1454">
        <f t="shared" si="88"/>
        <v>1</v>
      </c>
      <c r="F127" s="1504">
        <f t="shared" si="89"/>
        <v>0.36725000000000002</v>
      </c>
      <c r="G127" s="1511">
        <f>B127*F127*'Input data'!$C$9</f>
        <v>836.72169211821836</v>
      </c>
      <c r="H127" s="1542">
        <f>'Input data'!I147</f>
        <v>424.26313389388866</v>
      </c>
      <c r="I127" s="1509">
        <f>'Input data'!K147</f>
        <v>31581.479573821613</v>
      </c>
      <c r="J127" s="1509">
        <f t="shared" si="91"/>
        <v>2228.8062963921584</v>
      </c>
      <c r="K127" s="1511">
        <f t="shared" si="73"/>
        <v>12447.689880180433</v>
      </c>
      <c r="L127" s="1504">
        <f t="shared" si="90"/>
        <v>0.7</v>
      </c>
      <c r="M127" s="1504">
        <f t="shared" si="90"/>
        <v>0.6</v>
      </c>
      <c r="N127" s="1504">
        <f t="shared" si="90"/>
        <v>0.9</v>
      </c>
      <c r="O127" s="1504">
        <f t="shared" si="90"/>
        <v>0.9</v>
      </c>
      <c r="P127" s="1504">
        <f t="shared" si="90"/>
        <v>0.23600000000000002</v>
      </c>
      <c r="Q127" s="1508">
        <f t="shared" si="31"/>
        <v>338.15468309072139</v>
      </c>
      <c r="R127" s="1509">
        <f t="shared" si="32"/>
        <v>235.97484788802706</v>
      </c>
      <c r="S127" s="1509">
        <f t="shared" si="33"/>
        <v>691.03207860646671</v>
      </c>
      <c r="T127" s="1509">
        <f t="shared" si="34"/>
        <v>465.2977428074305</v>
      </c>
      <c r="U127" s="1511">
        <f t="shared" si="35"/>
        <v>0</v>
      </c>
      <c r="V127" s="1509">
        <f t="shared" si="9"/>
        <v>1730.4593523926455</v>
      </c>
      <c r="W127" s="1454">
        <f t="shared" si="86"/>
        <v>0.5</v>
      </c>
      <c r="X127" s="530">
        <f t="shared" si="36"/>
        <v>3033.4854703020706</v>
      </c>
      <c r="Y127" s="528">
        <f t="shared" si="77"/>
        <v>4763.9448226947161</v>
      </c>
      <c r="Z127" s="528">
        <f t="shared" si="78"/>
        <v>9912.551353877876</v>
      </c>
      <c r="AA127" s="530">
        <f t="shared" si="79"/>
        <v>7683.7450574857176</v>
      </c>
      <c r="AB127" s="1091">
        <f t="shared" si="37"/>
        <v>0.77515311479115512</v>
      </c>
      <c r="AC127" s="135" t="str">
        <f t="shared" si="38"/>
        <v>Yes</v>
      </c>
      <c r="AD127" s="1091">
        <f t="shared" si="39"/>
        <v>0.77515311479115512</v>
      </c>
      <c r="AE127" s="649">
        <f t="shared" si="10"/>
        <v>0.36936407712134123</v>
      </c>
      <c r="AF127" s="530">
        <f t="shared" si="11"/>
        <v>267.55557298656447</v>
      </c>
      <c r="AG127" s="527">
        <f t="shared" si="40"/>
        <v>2228.8062963921584</v>
      </c>
      <c r="AH127" s="528">
        <f t="shared" si="80"/>
        <v>10387.402818995562</v>
      </c>
      <c r="AI127" s="528">
        <f t="shared" si="81"/>
        <v>6437.6604656145792</v>
      </c>
      <c r="AJ127" s="528">
        <f t="shared" si="12"/>
        <v>862.54593590820514</v>
      </c>
      <c r="AK127" s="528">
        <f t="shared" si="41"/>
        <v>19916.415516910503</v>
      </c>
      <c r="AL127" s="716">
        <f t="shared" si="13"/>
        <v>0</v>
      </c>
      <c r="AM127" s="417">
        <f t="shared" si="42"/>
        <v>0.11190800345070817</v>
      </c>
      <c r="AN127" s="417">
        <f t="shared" si="43"/>
        <v>0.52154981453243399</v>
      </c>
      <c r="AO127" s="417">
        <f t="shared" si="44"/>
        <v>0.32323389016203902</v>
      </c>
      <c r="AP127" s="417">
        <f t="shared" si="45"/>
        <v>4.3308291854818964E-2</v>
      </c>
      <c r="AQ127" s="417">
        <f t="shared" si="46"/>
        <v>1</v>
      </c>
      <c r="AR127" s="1086">
        <f t="shared" si="14"/>
        <v>491.33395189479364</v>
      </c>
      <c r="AS127" s="938">
        <f t="shared" si="15"/>
        <v>623.14437482636333</v>
      </c>
      <c r="AT127" s="938">
        <f t="shared" si="16"/>
        <v>118.65906948896267</v>
      </c>
      <c r="AU127" s="938">
        <f t="shared" si="17"/>
        <v>0</v>
      </c>
      <c r="AV127" s="938">
        <f t="shared" si="18"/>
        <v>0</v>
      </c>
      <c r="AW127" s="938">
        <f t="shared" si="19"/>
        <v>0</v>
      </c>
      <c r="AX127" s="938">
        <f t="shared" si="20"/>
        <v>828.67533961107085</v>
      </c>
      <c r="AY127" s="938">
        <f t="shared" si="21"/>
        <v>66.749350796667244</v>
      </c>
      <c r="AZ127" s="938">
        <f t="shared" si="22"/>
        <v>18.763260045805907</v>
      </c>
      <c r="BA127" s="938">
        <f t="shared" si="23"/>
        <v>48.461845887297144</v>
      </c>
      <c r="BB127" s="938">
        <f t="shared" si="24"/>
        <v>33.019103841196973</v>
      </c>
      <c r="BC127" s="530">
        <f t="shared" si="47"/>
        <v>2228.8062963921579</v>
      </c>
      <c r="BD127" s="724">
        <f t="shared" si="48"/>
        <v>0</v>
      </c>
      <c r="BE127" s="436">
        <f t="shared" si="49"/>
        <v>0.22044713023744239</v>
      </c>
      <c r="BF127" s="624">
        <f t="shared" si="50"/>
        <v>0.27958660016129155</v>
      </c>
      <c r="BG127" s="624">
        <f t="shared" si="51"/>
        <v>5.3238843447741518E-2</v>
      </c>
      <c r="BH127" s="624">
        <f t="shared" si="52"/>
        <v>0</v>
      </c>
      <c r="BI127" s="624">
        <f t="shared" si="53"/>
        <v>0</v>
      </c>
      <c r="BJ127" s="624">
        <f t="shared" si="54"/>
        <v>0</v>
      </c>
      <c r="BK127" s="624">
        <f t="shared" si="55"/>
        <v>0.44672742615352451</v>
      </c>
      <c r="BL127" s="624">
        <f t="shared" si="56"/>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64.543473315333046</v>
      </c>
      <c r="BW127" s="114">
        <f t="shared" si="59"/>
        <v>0.75339492673174702</v>
      </c>
      <c r="BX127" s="1689">
        <f t="shared" si="25"/>
        <v>2.6078429865276798</v>
      </c>
      <c r="BY127" s="527">
        <f t="shared" si="60"/>
        <v>64.543473315333046</v>
      </c>
      <c r="BZ127" s="417">
        <f t="shared" si="61"/>
        <v>0.75339492673174702</v>
      </c>
      <c r="CA127" s="544">
        <f t="shared" si="26"/>
        <v>2.6078429865276798</v>
      </c>
      <c r="CB127" s="649">
        <f t="shared" si="27"/>
        <v>0.36936407712134123</v>
      </c>
      <c r="CC127" s="525">
        <f t="shared" si="62"/>
        <v>0.37136287621505581</v>
      </c>
      <c r="CD127" s="417">
        <f t="shared" si="28"/>
        <v>0.36936407712134123</v>
      </c>
      <c r="CE127" s="525">
        <f t="shared" si="63"/>
        <v>0.37136287621505581</v>
      </c>
      <c r="CG127" s="527">
        <f t="shared" si="64"/>
        <v>1972.5689846958749</v>
      </c>
      <c r="CH127" s="528">
        <f t="shared" si="65"/>
        <v>868.61907198046822</v>
      </c>
      <c r="CI127" s="528">
        <f t="shared" si="66"/>
        <v>3308.1322912011724</v>
      </c>
      <c r="CJ127" s="528">
        <f t="shared" si="67"/>
        <v>4187.6796852668822</v>
      </c>
      <c r="CK127" s="528">
        <f t="shared" si="68"/>
        <v>50.402785851165355</v>
      </c>
      <c r="CL127" s="528">
        <f t="shared" si="69"/>
        <v>10387.402818995564</v>
      </c>
      <c r="CM127" s="646">
        <f t="shared" si="70"/>
        <v>0</v>
      </c>
    </row>
    <row r="128" spans="1:91">
      <c r="A128" s="127">
        <f>'Input data'!A148</f>
        <v>2048</v>
      </c>
      <c r="B128" s="662">
        <f>'Input data'!B148</f>
        <v>74.813195848926668</v>
      </c>
      <c r="C128" s="236">
        <f>'Input data'!C148</f>
        <v>5769.8658364340272</v>
      </c>
      <c r="D128" s="236">
        <f>'Input data'!D148</f>
        <v>1952211.0534243288</v>
      </c>
      <c r="E128" s="649">
        <f t="shared" si="88"/>
        <v>1</v>
      </c>
      <c r="F128" s="417">
        <f t="shared" si="89"/>
        <v>0.36725000000000002</v>
      </c>
      <c r="G128" s="530">
        <f>B128*F128*'Input data'!$C$9</f>
        <v>840.93428391188559</v>
      </c>
      <c r="H128" s="529">
        <f>'Input data'!I148</f>
        <v>424.26313389388866</v>
      </c>
      <c r="I128" s="528">
        <f>'Input data'!K148</f>
        <v>31740.480927482891</v>
      </c>
      <c r="J128" s="528">
        <f t="shared" si="91"/>
        <v>2228.8062963921584</v>
      </c>
      <c r="K128" s="530">
        <f t="shared" si="73"/>
        <v>12521.580742501334</v>
      </c>
      <c r="L128" s="417">
        <f t="shared" ref="L128:P130" si="93">L127</f>
        <v>0.7</v>
      </c>
      <c r="M128" s="417">
        <f t="shared" si="93"/>
        <v>0.6</v>
      </c>
      <c r="N128" s="417">
        <f t="shared" si="93"/>
        <v>0.9</v>
      </c>
      <c r="O128" s="417">
        <f t="shared" si="93"/>
        <v>0.9</v>
      </c>
      <c r="P128" s="417">
        <f t="shared" si="93"/>
        <v>0.23600000000000002</v>
      </c>
      <c r="Q128" s="527">
        <f t="shared" si="31"/>
        <v>339.85716989893581</v>
      </c>
      <c r="R128" s="528">
        <f t="shared" si="32"/>
        <v>237.16289609699425</v>
      </c>
      <c r="S128" s="528">
        <f t="shared" si="33"/>
        <v>694.51117576735078</v>
      </c>
      <c r="T128" s="528">
        <f t="shared" si="34"/>
        <v>467.64034904248638</v>
      </c>
      <c r="U128" s="530">
        <f t="shared" si="35"/>
        <v>0</v>
      </c>
      <c r="V128" s="528">
        <f t="shared" si="9"/>
        <v>1739.1715908057672</v>
      </c>
      <c r="W128" s="649">
        <f t="shared" si="86"/>
        <v>0.5</v>
      </c>
      <c r="X128" s="530">
        <f t="shared" si="36"/>
        <v>3033.4854703020706</v>
      </c>
      <c r="Y128" s="528">
        <f t="shared" si="77"/>
        <v>4772.6570611078378</v>
      </c>
      <c r="Z128" s="528">
        <f t="shared" si="78"/>
        <v>9977.7299777856533</v>
      </c>
      <c r="AA128" s="530">
        <f t="shared" si="79"/>
        <v>7748.9236813934949</v>
      </c>
      <c r="AB128" s="1091">
        <f t="shared" si="37"/>
        <v>0.77662190685112176</v>
      </c>
      <c r="AC128" s="135" t="str">
        <f t="shared" si="38"/>
        <v>Yes</v>
      </c>
      <c r="AD128" s="1091">
        <f t="shared" si="39"/>
        <v>0.77662190685112176</v>
      </c>
      <c r="AE128" s="649">
        <f t="shared" si="10"/>
        <v>0.3709171539155135</v>
      </c>
      <c r="AF128" s="530">
        <f t="shared" si="11"/>
        <v>266.89665975869104</v>
      </c>
      <c r="AG128" s="527">
        <f t="shared" si="40"/>
        <v>2228.8062963921584</v>
      </c>
      <c r="AH128" s="528">
        <f t="shared" si="80"/>
        <v>10439.699643955413</v>
      </c>
      <c r="AI128" s="528">
        <f t="shared" si="81"/>
        <v>6437.6604656145792</v>
      </c>
      <c r="AJ128" s="528">
        <f t="shared" si="12"/>
        <v>861.22567198914794</v>
      </c>
      <c r="AK128" s="528">
        <f t="shared" si="41"/>
        <v>19967.392077951299</v>
      </c>
      <c r="AL128" s="716">
        <f t="shared" si="13"/>
        <v>0</v>
      </c>
      <c r="AM128" s="417">
        <f t="shared" si="42"/>
        <v>0.11162230338799653</v>
      </c>
      <c r="AN128" s="417">
        <f t="shared" si="43"/>
        <v>0.52283741428022035</v>
      </c>
      <c r="AO128" s="417">
        <f t="shared" si="44"/>
        <v>0.3224086771313151</v>
      </c>
      <c r="AP128" s="417">
        <f t="shared" si="45"/>
        <v>4.3131605200468007E-2</v>
      </c>
      <c r="AQ128" s="417">
        <f t="shared" si="46"/>
        <v>1</v>
      </c>
      <c r="AR128" s="1086">
        <f t="shared" si="14"/>
        <v>492.08591529226806</v>
      </c>
      <c r="AS128" s="938">
        <f t="shared" si="15"/>
        <v>624.09806784799241</v>
      </c>
      <c r="AT128" s="938">
        <f t="shared" si="16"/>
        <v>118.4774428861427</v>
      </c>
      <c r="AU128" s="938">
        <f t="shared" si="17"/>
        <v>0</v>
      </c>
      <c r="AV128" s="938">
        <f t="shared" si="18"/>
        <v>0</v>
      </c>
      <c r="AW128" s="938">
        <f t="shared" si="19"/>
        <v>0</v>
      </c>
      <c r="AX128" s="938">
        <f t="shared" si="20"/>
        <v>827.40692003368451</v>
      </c>
      <c r="AY128" s="938">
        <f t="shared" si="21"/>
        <v>66.64718028515172</v>
      </c>
      <c r="AZ128" s="938">
        <f t="shared" si="22"/>
        <v>18.73453988817591</v>
      </c>
      <c r="BA128" s="938">
        <f t="shared" si="23"/>
        <v>48.387667314409235</v>
      </c>
      <c r="BB128" s="938">
        <f t="shared" si="24"/>
        <v>32.968562844333732</v>
      </c>
      <c r="BC128" s="530">
        <f t="shared" si="47"/>
        <v>2228.8062963921575</v>
      </c>
      <c r="BD128" s="724">
        <f t="shared" si="48"/>
        <v>0</v>
      </c>
      <c r="BE128" s="436">
        <f t="shared" si="49"/>
        <v>0.22078451415397732</v>
      </c>
      <c r="BF128" s="624">
        <f t="shared" si="50"/>
        <v>0.28001449424216029</v>
      </c>
      <c r="BG128" s="624">
        <f t="shared" si="51"/>
        <v>5.3157352919329978E-2</v>
      </c>
      <c r="BH128" s="624">
        <f t="shared" si="52"/>
        <v>0</v>
      </c>
      <c r="BI128" s="624">
        <f t="shared" si="53"/>
        <v>0</v>
      </c>
      <c r="BJ128" s="624">
        <f t="shared" si="54"/>
        <v>0</v>
      </c>
      <c r="BK128" s="624">
        <f t="shared" si="55"/>
        <v>0.44604363868453278</v>
      </c>
      <c r="BL128" s="624">
        <f t="shared" si="56"/>
        <v>1.0000000000000004</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64.773387591118848</v>
      </c>
      <c r="BW128" s="114">
        <f t="shared" si="59"/>
        <v>0.75427025576631102</v>
      </c>
      <c r="BX128" s="1689">
        <f t="shared" si="25"/>
        <v>1.9522110534243289</v>
      </c>
      <c r="BY128" s="527">
        <f t="shared" si="60"/>
        <v>64.773387591118848</v>
      </c>
      <c r="BZ128" s="417">
        <f t="shared" si="61"/>
        <v>0.75427025576631102</v>
      </c>
      <c r="CA128" s="544">
        <f t="shared" si="26"/>
        <v>1.9522110534243289</v>
      </c>
      <c r="CB128" s="649">
        <f t="shared" si="27"/>
        <v>0.3709171539155135</v>
      </c>
      <c r="CC128" s="525">
        <f t="shared" si="62"/>
        <v>0.37219889450984733</v>
      </c>
      <c r="CD128" s="417">
        <f t="shared" si="28"/>
        <v>0.3709171539155135</v>
      </c>
      <c r="CE128" s="525">
        <f t="shared" si="63"/>
        <v>0.37219889450984733</v>
      </c>
      <c r="CG128" s="527">
        <f t="shared" si="64"/>
        <v>1982.5001577437924</v>
      </c>
      <c r="CH128" s="528">
        <f t="shared" si="65"/>
        <v>872.99225557175816</v>
      </c>
      <c r="CI128" s="528">
        <f t="shared" si="66"/>
        <v>3324.7875435671062</v>
      </c>
      <c r="CJ128" s="528">
        <f t="shared" si="67"/>
        <v>4208.7631413823829</v>
      </c>
      <c r="CK128" s="528">
        <f t="shared" si="68"/>
        <v>50.656545690374344</v>
      </c>
      <c r="CL128" s="528">
        <f t="shared" si="69"/>
        <v>10439.699643955413</v>
      </c>
      <c r="CM128" s="646">
        <f t="shared" si="70"/>
        <v>0</v>
      </c>
    </row>
    <row r="129" spans="1:91">
      <c r="A129" s="127">
        <f>'Input data'!A149</f>
        <v>2049</v>
      </c>
      <c r="B129" s="662">
        <f>'Input data'!B149</f>
        <v>75.173102421925719</v>
      </c>
      <c r="C129" s="236">
        <f>'Input data'!C149</f>
        <v>5861.5540552090788</v>
      </c>
      <c r="D129" s="236">
        <f>'Input data'!D149</f>
        <v>1296579.1203209779</v>
      </c>
      <c r="E129" s="649">
        <f t="shared" si="88"/>
        <v>1</v>
      </c>
      <c r="F129" s="417">
        <f t="shared" si="89"/>
        <v>0.36725000000000002</v>
      </c>
      <c r="G129" s="530">
        <f>B129*F129*'Input data'!$C$9</f>
        <v>844.9797971773703</v>
      </c>
      <c r="H129" s="529">
        <f>'Input data'!I149</f>
        <v>424.26313389388866</v>
      </c>
      <c r="I129" s="528">
        <f>'Input data'!K149</f>
        <v>31893.176018052476</v>
      </c>
      <c r="J129" s="528">
        <f t="shared" si="91"/>
        <v>2228.8062963921584</v>
      </c>
      <c r="K129" s="530">
        <f t="shared" si="73"/>
        <v>12592.540968024889</v>
      </c>
      <c r="L129" s="417">
        <f t="shared" si="93"/>
        <v>0.7</v>
      </c>
      <c r="M129" s="417">
        <f t="shared" si="93"/>
        <v>0.6</v>
      </c>
      <c r="N129" s="417">
        <f t="shared" si="93"/>
        <v>0.9</v>
      </c>
      <c r="O129" s="417">
        <f t="shared" si="93"/>
        <v>0.9</v>
      </c>
      <c r="P129" s="417">
        <f t="shared" si="93"/>
        <v>0.23600000000000002</v>
      </c>
      <c r="Q129" s="527">
        <f t="shared" si="31"/>
        <v>341.49213319571163</v>
      </c>
      <c r="R129" s="528">
        <f t="shared" si="32"/>
        <v>238.3038243010127</v>
      </c>
      <c r="S129" s="528">
        <f t="shared" si="33"/>
        <v>697.85228603999212</v>
      </c>
      <c r="T129" s="528">
        <f t="shared" si="34"/>
        <v>469.89004354504232</v>
      </c>
      <c r="U129" s="530">
        <f t="shared" si="35"/>
        <v>0</v>
      </c>
      <c r="V129" s="528">
        <f t="shared" si="9"/>
        <v>1747.5382870817589</v>
      </c>
      <c r="W129" s="649">
        <f t="shared" si="86"/>
        <v>0.5</v>
      </c>
      <c r="X129" s="530">
        <f t="shared" si="36"/>
        <v>3033.4854703020706</v>
      </c>
      <c r="Y129" s="528">
        <f t="shared" si="77"/>
        <v>4781.0237573838294</v>
      </c>
      <c r="Z129" s="528">
        <f t="shared" si="78"/>
        <v>10040.323507033218</v>
      </c>
      <c r="AA129" s="530">
        <f t="shared" si="79"/>
        <v>7811.5172106410591</v>
      </c>
      <c r="AB129" s="1091">
        <f t="shared" si="37"/>
        <v>0.77801449377294607</v>
      </c>
      <c r="AC129" s="135" t="str">
        <f t="shared" si="38"/>
        <v>Yes</v>
      </c>
      <c r="AD129" s="1091">
        <f t="shared" si="39"/>
        <v>0.77801449377294607</v>
      </c>
      <c r="AE129" s="649">
        <f t="shared" si="10"/>
        <v>0.37239355070665991</v>
      </c>
      <c r="AF129" s="530">
        <f t="shared" si="11"/>
        <v>266.27027902920838</v>
      </c>
      <c r="AG129" s="527">
        <f t="shared" si="40"/>
        <v>2228.8062963921584</v>
      </c>
      <c r="AH129" s="528">
        <f t="shared" si="80"/>
        <v>10489.922288227726</v>
      </c>
      <c r="AI129" s="528">
        <f t="shared" si="81"/>
        <v>6437.6604656145792</v>
      </c>
      <c r="AJ129" s="528">
        <f t="shared" si="12"/>
        <v>859.97390714295341</v>
      </c>
      <c r="AK129" s="528">
        <f t="shared" si="41"/>
        <v>20016.36295737742</v>
      </c>
      <c r="AL129" s="716">
        <f t="shared" si="13"/>
        <v>0</v>
      </c>
      <c r="AM129" s="417">
        <f t="shared" si="42"/>
        <v>0.11134921469690319</v>
      </c>
      <c r="AN129" s="417">
        <f t="shared" si="43"/>
        <v>0.52406734982598135</v>
      </c>
      <c r="AO129" s="417">
        <f t="shared" si="44"/>
        <v>0.32161989065260499</v>
      </c>
      <c r="AP129" s="417">
        <f t="shared" si="45"/>
        <v>4.2963544824510355E-2</v>
      </c>
      <c r="AQ129" s="417">
        <f t="shared" si="46"/>
        <v>0.99999999999999989</v>
      </c>
      <c r="AR129" s="1086">
        <f t="shared" si="14"/>
        <v>492.79886467533919</v>
      </c>
      <c r="AS129" s="938">
        <f t="shared" si="15"/>
        <v>625.00228054463878</v>
      </c>
      <c r="AT129" s="938">
        <f t="shared" si="16"/>
        <v>118.30523959158762</v>
      </c>
      <c r="AU129" s="938">
        <f t="shared" si="17"/>
        <v>0</v>
      </c>
      <c r="AV129" s="938">
        <f t="shared" si="18"/>
        <v>0</v>
      </c>
      <c r="AW129" s="938">
        <f t="shared" si="19"/>
        <v>0</v>
      </c>
      <c r="AX129" s="938">
        <f t="shared" si="20"/>
        <v>826.20430969625215</v>
      </c>
      <c r="AY129" s="938">
        <f t="shared" si="21"/>
        <v>66.550310672351813</v>
      </c>
      <c r="AZ129" s="938">
        <f t="shared" si="22"/>
        <v>18.707309814567544</v>
      </c>
      <c r="BA129" s="938">
        <f t="shared" si="23"/>
        <v>48.317337338302423</v>
      </c>
      <c r="BB129" s="938">
        <f t="shared" si="24"/>
        <v>32.920644059118267</v>
      </c>
      <c r="BC129" s="530">
        <f t="shared" si="47"/>
        <v>2228.8062963921579</v>
      </c>
      <c r="BD129" s="724">
        <f t="shared" si="48"/>
        <v>0</v>
      </c>
      <c r="BE129" s="436">
        <f t="shared" si="49"/>
        <v>0.2211043936267808</v>
      </c>
      <c r="BF129" s="624">
        <f t="shared" si="50"/>
        <v>0.28042018795278467</v>
      </c>
      <c r="BG129" s="624">
        <f t="shared" si="51"/>
        <v>5.3080090352890782E-2</v>
      </c>
      <c r="BH129" s="624">
        <f t="shared" si="52"/>
        <v>0</v>
      </c>
      <c r="BI129" s="624">
        <f t="shared" si="53"/>
        <v>0</v>
      </c>
      <c r="BJ129" s="624">
        <f t="shared" si="54"/>
        <v>0</v>
      </c>
      <c r="BK129" s="624">
        <f t="shared" si="55"/>
        <v>0.44539532806754367</v>
      </c>
      <c r="BL129" s="624">
        <f t="shared" si="56"/>
        <v>0.99999999999999989</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65.030241255652285</v>
      </c>
      <c r="BW129" s="114">
        <f t="shared" si="59"/>
        <v>0.75524082859631403</v>
      </c>
      <c r="BX129" s="1689">
        <f t="shared" si="25"/>
        <v>1.2965791203209778</v>
      </c>
      <c r="BY129" s="527">
        <f t="shared" si="60"/>
        <v>65.030241255652285</v>
      </c>
      <c r="BZ129" s="417">
        <f t="shared" si="61"/>
        <v>0.75524082859631403</v>
      </c>
      <c r="CA129" s="544">
        <f t="shared" si="26"/>
        <v>1.2965791203209778</v>
      </c>
      <c r="CB129" s="649">
        <f t="shared" si="27"/>
        <v>0.37239355070665991</v>
      </c>
      <c r="CC129" s="525">
        <f t="shared" si="62"/>
        <v>0.37321594039316452</v>
      </c>
      <c r="CD129" s="417">
        <f t="shared" si="28"/>
        <v>0.37239355070665991</v>
      </c>
      <c r="CE129" s="525">
        <f t="shared" si="63"/>
        <v>0.37321594039316452</v>
      </c>
      <c r="CG129" s="527">
        <f t="shared" si="64"/>
        <v>1992.03744364165</v>
      </c>
      <c r="CH129" s="528">
        <f t="shared" si="65"/>
        <v>877.19199129207152</v>
      </c>
      <c r="CI129" s="528">
        <f t="shared" si="66"/>
        <v>3340.7822204042182</v>
      </c>
      <c r="CJ129" s="528">
        <f t="shared" si="67"/>
        <v>4229.0103919053854</v>
      </c>
      <c r="CK129" s="528">
        <f t="shared" si="68"/>
        <v>50.900240984399851</v>
      </c>
      <c r="CL129" s="528">
        <f t="shared" si="69"/>
        <v>10489.922288227724</v>
      </c>
      <c r="CM129" s="646">
        <f t="shared" si="70"/>
        <v>0</v>
      </c>
    </row>
    <row r="130" spans="1:91" ht="15.75" thickBot="1">
      <c r="A130" s="172">
        <f>'Input data'!A150</f>
        <v>2050</v>
      </c>
      <c r="B130" s="664">
        <f>'Input data'!B150</f>
        <v>75.517908954390194</v>
      </c>
      <c r="C130" s="239">
        <f>'Input data'!C150</f>
        <v>5947.0928685667695</v>
      </c>
      <c r="D130" s="239">
        <f>'Input data'!D150</f>
        <v>640947.1872176266</v>
      </c>
      <c r="E130" s="650">
        <f t="shared" si="88"/>
        <v>1</v>
      </c>
      <c r="F130" s="651">
        <f t="shared" si="89"/>
        <v>0.36725000000000002</v>
      </c>
      <c r="G130" s="659">
        <f>B130*F130*'Input data'!$C$9</f>
        <v>848.85557913235698</v>
      </c>
      <c r="H130" s="654">
        <f>'Input data'!I150</f>
        <v>424.26313389388866</v>
      </c>
      <c r="I130" s="667">
        <f>'Input data'!K150</f>
        <v>32039.46471810294</v>
      </c>
      <c r="J130" s="667">
        <f t="shared" si="91"/>
        <v>2228.8062963921584</v>
      </c>
      <c r="K130" s="659">
        <f t="shared" si="73"/>
        <v>12660.52402568841</v>
      </c>
      <c r="L130" s="651">
        <f t="shared" si="93"/>
        <v>0.7</v>
      </c>
      <c r="M130" s="651">
        <f t="shared" si="93"/>
        <v>0.6</v>
      </c>
      <c r="N130" s="651">
        <f t="shared" si="93"/>
        <v>0.9</v>
      </c>
      <c r="O130" s="651">
        <f t="shared" si="93"/>
        <v>0.9</v>
      </c>
      <c r="P130" s="651">
        <f t="shared" si="93"/>
        <v>0.23600000000000002</v>
      </c>
      <c r="Q130" s="670">
        <f t="shared" si="31"/>
        <v>343.05850087933072</v>
      </c>
      <c r="R130" s="667">
        <f t="shared" si="32"/>
        <v>239.39688435418259</v>
      </c>
      <c r="S130" s="667">
        <f t="shared" si="33"/>
        <v>701.05321854336671</v>
      </c>
      <c r="T130" s="667">
        <f t="shared" si="34"/>
        <v>472.04535111296673</v>
      </c>
      <c r="U130" s="659">
        <f t="shared" si="35"/>
        <v>0</v>
      </c>
      <c r="V130" s="667">
        <f t="shared" si="9"/>
        <v>1755.5539548898469</v>
      </c>
      <c r="W130" s="650">
        <f t="shared" si="86"/>
        <v>0.5</v>
      </c>
      <c r="X130" s="659">
        <f t="shared" si="36"/>
        <v>3033.4854703020706</v>
      </c>
      <c r="Y130" s="667">
        <f t="shared" si="77"/>
        <v>4789.039425191917</v>
      </c>
      <c r="Z130" s="667">
        <f t="shared" si="78"/>
        <v>10100.290896888651</v>
      </c>
      <c r="AA130" s="659">
        <f t="shared" si="79"/>
        <v>7871.4846004964929</v>
      </c>
      <c r="AB130" s="1094">
        <f t="shared" si="37"/>
        <v>0.77933246486210295</v>
      </c>
      <c r="AC130" s="1105" t="str">
        <f t="shared" si="38"/>
        <v>Yes</v>
      </c>
      <c r="AD130" s="1094">
        <f t="shared" si="39"/>
        <v>0.77933246486210295</v>
      </c>
      <c r="AE130" s="650">
        <f t="shared" si="10"/>
        <v>0.37379435111020376</v>
      </c>
      <c r="AF130" s="659">
        <f t="shared" si="11"/>
        <v>265.67597106004104</v>
      </c>
      <c r="AG130" s="670">
        <f t="shared" si="40"/>
        <v>2228.8062963921584</v>
      </c>
      <c r="AH130" s="667">
        <f t="shared" si="80"/>
        <v>10538.037819095725</v>
      </c>
      <c r="AI130" s="667">
        <f t="shared" si="81"/>
        <v>6437.6604656145792</v>
      </c>
      <c r="AJ130" s="667">
        <f t="shared" si="12"/>
        <v>858.78921277892312</v>
      </c>
      <c r="AK130" s="667">
        <f t="shared" si="41"/>
        <v>20063.293793881385</v>
      </c>
      <c r="AL130" s="717">
        <f t="shared" si="13"/>
        <v>0</v>
      </c>
      <c r="AM130" s="651">
        <f t="shared" si="42"/>
        <v>0.11108875338663823</v>
      </c>
      <c r="AN130" s="651">
        <f t="shared" si="43"/>
        <v>0.52523967038300878</v>
      </c>
      <c r="AO130" s="651">
        <f t="shared" si="44"/>
        <v>0.32086757696674134</v>
      </c>
      <c r="AP130" s="651">
        <f t="shared" si="45"/>
        <v>4.2803999263611656E-2</v>
      </c>
      <c r="AQ130" s="651">
        <f t="shared" si="46"/>
        <v>1</v>
      </c>
      <c r="AR130" s="1474">
        <f t="shared" si="14"/>
        <v>493.47361370550311</v>
      </c>
      <c r="AS130" s="1475">
        <f t="shared" si="15"/>
        <v>625.8580448592046</v>
      </c>
      <c r="AT130" s="1475">
        <f t="shared" si="16"/>
        <v>118.14226307635244</v>
      </c>
      <c r="AU130" s="1475">
        <f t="shared" si="17"/>
        <v>0</v>
      </c>
      <c r="AV130" s="1475">
        <f t="shared" si="18"/>
        <v>0</v>
      </c>
      <c r="AW130" s="1475">
        <f t="shared" si="19"/>
        <v>0</v>
      </c>
      <c r="AX130" s="1475">
        <f t="shared" si="20"/>
        <v>825.06613610621093</v>
      </c>
      <c r="AY130" s="1475">
        <f t="shared" si="21"/>
        <v>66.458631404733197</v>
      </c>
      <c r="AZ130" s="1475">
        <f t="shared" si="22"/>
        <v>18.681538748353326</v>
      </c>
      <c r="BA130" s="1475">
        <f t="shared" si="23"/>
        <v>48.250775694101193</v>
      </c>
      <c r="BB130" s="1475">
        <f t="shared" si="24"/>
        <v>32.875292797698428</v>
      </c>
      <c r="BC130" s="659">
        <f t="shared" si="47"/>
        <v>2228.8062963921575</v>
      </c>
      <c r="BD130" s="725">
        <f t="shared" si="48"/>
        <v>0</v>
      </c>
      <c r="BE130" s="683">
        <f t="shared" si="49"/>
        <v>0.22140713372189641</v>
      </c>
      <c r="BF130" s="683">
        <f>AS130/BC130</f>
        <v>0.28080414429567152</v>
      </c>
      <c r="BG130" s="683">
        <f t="shared" si="51"/>
        <v>5.3006967571651797E-2</v>
      </c>
      <c r="BH130" s="683">
        <f t="shared" si="52"/>
        <v>0</v>
      </c>
      <c r="BI130" s="683">
        <f t="shared" si="53"/>
        <v>0</v>
      </c>
      <c r="BJ130" s="683">
        <f t="shared" si="54"/>
        <v>0</v>
      </c>
      <c r="BK130" s="683">
        <f t="shared" si="55"/>
        <v>0.44478175441078016</v>
      </c>
      <c r="BL130" s="683">
        <f t="shared" si="56"/>
        <v>0.99999999999999989</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65.253523518185702</v>
      </c>
      <c r="BW130" s="651">
        <f t="shared" si="59"/>
        <v>0.75607833711110872</v>
      </c>
      <c r="BX130" s="1690">
        <f t="shared" si="25"/>
        <v>0.64094718721762656</v>
      </c>
      <c r="BY130" s="670">
        <f t="shared" si="60"/>
        <v>65.253523518185702</v>
      </c>
      <c r="BZ130" s="651">
        <f t="shared" si="61"/>
        <v>0.75607833711110872</v>
      </c>
      <c r="CA130" s="675">
        <f t="shared" si="26"/>
        <v>0.64094718721762656</v>
      </c>
      <c r="CB130" s="650">
        <f t="shared" si="27"/>
        <v>0.37379435111020376</v>
      </c>
      <c r="CC130" s="652">
        <f t="shared" si="62"/>
        <v>0.37401584679252353</v>
      </c>
      <c r="CD130" s="651">
        <f t="shared" si="28"/>
        <v>0.37379435111020376</v>
      </c>
      <c r="CE130" s="652">
        <f t="shared" si="63"/>
        <v>0.37401584679252353</v>
      </c>
      <c r="CG130" s="670">
        <f t="shared" si="64"/>
        <v>2001.174588462763</v>
      </c>
      <c r="CH130" s="667">
        <f t="shared" si="65"/>
        <v>881.21552523012031</v>
      </c>
      <c r="CI130" s="667">
        <f t="shared" si="66"/>
        <v>3356.1058334522886</v>
      </c>
      <c r="CJ130" s="667">
        <f t="shared" si="67"/>
        <v>4248.4081600167065</v>
      </c>
      <c r="CK130" s="667">
        <f t="shared" si="68"/>
        <v>51.13371193384836</v>
      </c>
      <c r="CL130" s="667">
        <f t="shared" si="69"/>
        <v>10538.037819095725</v>
      </c>
      <c r="CM130" s="653">
        <f t="shared" si="70"/>
        <v>0</v>
      </c>
    </row>
    <row r="131" spans="1:91">
      <c r="AM131" s="528"/>
      <c r="AN131" s="623"/>
      <c r="AO131" s="623"/>
      <c r="AP131" s="623"/>
      <c r="AS131" s="114"/>
    </row>
    <row r="132" spans="1:91" ht="23.25">
      <c r="A132" s="686" t="s">
        <v>654</v>
      </c>
      <c r="AM132" s="528"/>
      <c r="AO132" s="623"/>
      <c r="AS132" s="114"/>
    </row>
    <row r="133" spans="1:91" ht="15.75" thickBot="1">
      <c r="AM133" s="528"/>
    </row>
    <row r="134" spans="1:91" ht="21.6" customHeight="1" thickBot="1">
      <c r="A134" s="1715" t="s">
        <v>602</v>
      </c>
      <c r="B134" s="1894"/>
      <c r="C134" s="1894"/>
      <c r="D134" s="1895"/>
      <c r="E134" s="1822" t="s">
        <v>603</v>
      </c>
      <c r="F134" s="1823"/>
      <c r="G134" s="1823"/>
      <c r="H134" s="1823"/>
      <c r="I134" s="1824"/>
      <c r="J134" s="1825" t="s">
        <v>604</v>
      </c>
      <c r="K134" s="1826"/>
      <c r="L134" s="1827"/>
      <c r="M134" s="1828" t="s">
        <v>764</v>
      </c>
      <c r="N134" s="1830" t="s">
        <v>607</v>
      </c>
      <c r="O134" s="1831"/>
      <c r="P134" s="1809" t="s">
        <v>594</v>
      </c>
      <c r="Q134" s="1811" t="s">
        <v>772</v>
      </c>
      <c r="R134" s="1811" t="s">
        <v>775</v>
      </c>
      <c r="S134" s="1811" t="s">
        <v>774</v>
      </c>
      <c r="T134" s="1843" t="s">
        <v>776</v>
      </c>
      <c r="U134" s="1876" t="s">
        <v>777</v>
      </c>
      <c r="V134" s="1813" t="s">
        <v>767</v>
      </c>
      <c r="W134" s="1815" t="s">
        <v>768</v>
      </c>
      <c r="X134" s="1878" t="s">
        <v>592</v>
      </c>
      <c r="Y134" s="1879"/>
      <c r="Z134" s="1879"/>
      <c r="AA134" s="1879"/>
      <c r="AB134" s="1879"/>
      <c r="AC134" s="1879"/>
      <c r="AD134" s="1879"/>
      <c r="AE134" s="1880"/>
      <c r="AF134" s="1880"/>
      <c r="AG134" s="1880"/>
      <c r="AH134" s="1880"/>
      <c r="AI134" s="1880"/>
      <c r="AJ134" s="1881"/>
      <c r="AK134" s="1921" t="s">
        <v>735</v>
      </c>
      <c r="AL134" s="1922"/>
      <c r="AM134" s="1922"/>
      <c r="AN134" s="1922"/>
      <c r="AO134" s="1923"/>
    </row>
    <row r="135" spans="1:91" ht="51.6" customHeight="1">
      <c r="A135" s="1818" t="s">
        <v>217</v>
      </c>
      <c r="B135" s="703" t="s">
        <v>218</v>
      </c>
      <c r="C135" s="703" t="s">
        <v>390</v>
      </c>
      <c r="D135" s="513" t="s">
        <v>629</v>
      </c>
      <c r="E135" s="704" t="s">
        <v>786</v>
      </c>
      <c r="F135" s="704" t="s">
        <v>787</v>
      </c>
      <c r="G135" s="704" t="s">
        <v>771</v>
      </c>
      <c r="H135" s="705" t="s">
        <v>597</v>
      </c>
      <c r="I135" s="705" t="s">
        <v>626</v>
      </c>
      <c r="J135" s="1461" t="s">
        <v>326</v>
      </c>
      <c r="K135" s="1461" t="s">
        <v>765</v>
      </c>
      <c r="L135" s="706" t="s">
        <v>766</v>
      </c>
      <c r="M135" s="1829"/>
      <c r="N135" s="508" t="s">
        <v>605</v>
      </c>
      <c r="O135" s="559" t="s">
        <v>606</v>
      </c>
      <c r="P135" s="1810"/>
      <c r="Q135" s="1812"/>
      <c r="R135" s="1812"/>
      <c r="S135" s="1812"/>
      <c r="T135" s="1844"/>
      <c r="U135" s="1877"/>
      <c r="V135" s="1814"/>
      <c r="W135" s="1816"/>
      <c r="X135" s="1464" t="s">
        <v>473</v>
      </c>
      <c r="Y135" s="1465" t="s">
        <v>489</v>
      </c>
      <c r="Z135" s="1636" t="s">
        <v>814</v>
      </c>
      <c r="AA135" s="1465" t="s">
        <v>377</v>
      </c>
      <c r="AB135" s="1465" t="s">
        <v>477</v>
      </c>
      <c r="AC135" s="1465" t="s">
        <v>225</v>
      </c>
      <c r="AD135" s="713" t="s">
        <v>617</v>
      </c>
      <c r="AE135" s="1092" t="s">
        <v>473</v>
      </c>
      <c r="AF135" s="1465" t="s">
        <v>489</v>
      </c>
      <c r="AG135" s="1636" t="s">
        <v>814</v>
      </c>
      <c r="AH135" s="1465" t="s">
        <v>377</v>
      </c>
      <c r="AI135" s="1465" t="s">
        <v>477</v>
      </c>
      <c r="AJ135" s="1466" t="s">
        <v>225</v>
      </c>
      <c r="AK135" s="189" t="s">
        <v>731</v>
      </c>
      <c r="AL135" s="712" t="s">
        <v>493</v>
      </c>
      <c r="AM135" s="712" t="s">
        <v>732</v>
      </c>
      <c r="AN135" s="712" t="s">
        <v>225</v>
      </c>
      <c r="AO135" s="1183" t="s">
        <v>617</v>
      </c>
    </row>
    <row r="136" spans="1:91" ht="30" customHeight="1" thickBot="1">
      <c r="A136" s="1845"/>
      <c r="B136" s="458" t="s">
        <v>232</v>
      </c>
      <c r="C136" s="459" t="s">
        <v>482</v>
      </c>
      <c r="D136" s="477" t="s">
        <v>480</v>
      </c>
      <c r="E136" s="1127" t="s">
        <v>228</v>
      </c>
      <c r="F136" s="1127" t="s">
        <v>228</v>
      </c>
      <c r="G136" s="1127" t="s">
        <v>228</v>
      </c>
      <c r="H136" s="1479" t="str">
        <f>G136</f>
        <v>Gg</v>
      </c>
      <c r="I136" s="1127" t="s">
        <v>228</v>
      </c>
      <c r="J136" s="707" t="s">
        <v>229</v>
      </c>
      <c r="K136" s="1114" t="s">
        <v>228</v>
      </c>
      <c r="L136" s="1114" t="s">
        <v>228</v>
      </c>
      <c r="M136" s="1114" t="s">
        <v>228</v>
      </c>
      <c r="N136" s="688" t="s">
        <v>229</v>
      </c>
      <c r="O136" s="690" t="s">
        <v>228</v>
      </c>
      <c r="P136" s="1115" t="s">
        <v>228</v>
      </c>
      <c r="Q136" s="1116" t="s">
        <v>228</v>
      </c>
      <c r="R136" s="1116" t="s">
        <v>228</v>
      </c>
      <c r="S136" s="1117" t="s">
        <v>28</v>
      </c>
      <c r="T136" s="1844"/>
      <c r="U136" s="1117" t="s">
        <v>28</v>
      </c>
      <c r="V136" s="1116" t="s">
        <v>228</v>
      </c>
      <c r="W136" s="1496"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56.521948041648095</v>
      </c>
      <c r="C137" s="738">
        <f>'Input data'!C117</f>
        <v>3117.5115237718705</v>
      </c>
      <c r="D137" s="739">
        <f>'Input data'!D117</f>
        <v>49995051</v>
      </c>
      <c r="E137" s="956">
        <f>'Input data'!J117*C137</f>
        <v>37506.923384615395</v>
      </c>
      <c r="F137" s="957">
        <f>'Input data'!L117</f>
        <v>87501.974384615402</v>
      </c>
      <c r="G137" s="957">
        <f>F137*B11</f>
        <v>68439.708347615408</v>
      </c>
      <c r="H137" s="677">
        <f t="shared" ref="H137" si="94">E137*$B$12+I137*$E$80-G137</f>
        <v>0</v>
      </c>
      <c r="I137" s="1467">
        <f>D137/1000</f>
        <v>49995.050999999999</v>
      </c>
      <c r="J137" s="649">
        <f>H17</f>
        <v>6.154773859516615E-2</v>
      </c>
      <c r="K137" s="1501">
        <f>(I137)*J137-(I137)*$J$137</f>
        <v>0</v>
      </c>
      <c r="L137" s="1501">
        <f>(E137)*$C$12*$G$12-(E137)*$C$12*$G$12</f>
        <v>0</v>
      </c>
      <c r="M137" s="1503">
        <f>L137+K137</f>
        <v>0</v>
      </c>
      <c r="N137" s="708">
        <v>0</v>
      </c>
      <c r="O137" s="1467">
        <f>N137*$E$137*($C$85)*$B$12</f>
        <v>0</v>
      </c>
      <c r="P137" s="1480">
        <f>O137+M137</f>
        <v>0</v>
      </c>
      <c r="Q137" s="1484">
        <f>E137*$B$12+(1-$J$137)*I137-P137</f>
        <v>68439.708347615408</v>
      </c>
      <c r="R137" s="1484">
        <f>Q137-G137</f>
        <v>0</v>
      </c>
      <c r="S137" s="1505">
        <f>R137/(Q137-I137*(1-J137))</f>
        <v>0</v>
      </c>
      <c r="T137" s="1489" t="str">
        <f>IF(AND(S137&gt;=0,S137&lt;=1),"Yes","No")</f>
        <v>Yes</v>
      </c>
      <c r="U137" s="1505">
        <f>IF(S137&lt;=0,0,IF(S137&gt;=1,1,S137))</f>
        <v>0</v>
      </c>
      <c r="V137" s="1533">
        <f t="shared" ref="V137:V170" si="95">AC137</f>
        <v>87501.974384615402</v>
      </c>
      <c r="W137" s="1534">
        <f>(1-V137/F137)</f>
        <v>0</v>
      </c>
      <c r="X137" s="956">
        <f>(E137*$B$12-O137-L137)*(1-U137)+I137*(1-J137)</f>
        <v>68439.708347615408</v>
      </c>
      <c r="Y137" s="1501">
        <f>I137*J137+E137*$G$12*$C$12</f>
        <v>6080.5670370000007</v>
      </c>
      <c r="Z137" s="1501">
        <f>($C$12*$H$12*E137+O137)</f>
        <v>1694.9190000000001</v>
      </c>
      <c r="AA137" s="1501">
        <f>$F$137*$D$11</f>
        <v>0</v>
      </c>
      <c r="AB137" s="1501">
        <f>E137*$E$12</f>
        <v>11286.78</v>
      </c>
      <c r="AC137" s="1501">
        <f>SUM(X137:AB137)</f>
        <v>87501.974384615402</v>
      </c>
      <c r="AD137" s="1553">
        <f>X137-G137</f>
        <v>0</v>
      </c>
      <c r="AE137" s="1536">
        <f>X137/AC137</f>
        <v>0.7821504466492184</v>
      </c>
      <c r="AF137" s="1536">
        <f>Y137/AC137</f>
        <v>6.9490626694579893E-2</v>
      </c>
      <c r="AG137" s="1536">
        <f>Z137/AC137</f>
        <v>1.9370065783315637E-2</v>
      </c>
      <c r="AH137" s="1536">
        <f>AA137/AC137</f>
        <v>0</v>
      </c>
      <c r="AI137" s="1536">
        <f>AB137/AC137</f>
        <v>0.12898886087288611</v>
      </c>
      <c r="AJ137" s="1537">
        <f>SUM(AE137:AI137)</f>
        <v>1</v>
      </c>
      <c r="AK137" s="1637">
        <f>I137*(1-$J$137)-K137</f>
        <v>46917.968670000002</v>
      </c>
      <c r="AL137" s="1638">
        <f>(E137*$C$86*$B$12-L137)*(1-U137)</f>
        <v>20017.905677615392</v>
      </c>
      <c r="AM137" s="1638">
        <f>(E137*($C$85)*$B$12-O137)*(1-U137)</f>
        <v>1503.8340000000005</v>
      </c>
      <c r="AN137" s="1638">
        <f>SUM(AK137:AM137)</f>
        <v>68439.708347615393</v>
      </c>
      <c r="AO137" s="1538">
        <f>AN137-X137</f>
        <v>0</v>
      </c>
    </row>
    <row r="138" spans="1:91">
      <c r="A138" s="127">
        <f>'Input data'!A118</f>
        <v>2018</v>
      </c>
      <c r="B138" s="662">
        <f>'Input data'!B118</f>
        <v>57.436000617299655</v>
      </c>
      <c r="C138" s="236">
        <f>'Input data'!C118</f>
        <v>3154.0370052724184</v>
      </c>
      <c r="D138" s="237">
        <f>'Input data'!D118</f>
        <v>50359792.847133137</v>
      </c>
      <c r="E138" s="1508">
        <f>'Input data'!J118*C138</f>
        <v>37946.363119089809</v>
      </c>
      <c r="F138" s="1509">
        <f>'Input data'!L118</f>
        <v>88306.155966222956</v>
      </c>
      <c r="G138" s="1509">
        <f>G137*0.94</f>
        <v>64333.325846758482</v>
      </c>
      <c r="H138" s="528">
        <f>E138*$B$12+I138*$E$80-G138</f>
        <v>4700.8289604658348</v>
      </c>
      <c r="I138" s="530">
        <f t="shared" ref="I138:I170" si="96">D138/1000</f>
        <v>50359.79284713314</v>
      </c>
      <c r="J138" s="1454">
        <f>($J$150-$J$137)/($A$150-$A$137)+J137</f>
        <v>8.7582527933999524E-2</v>
      </c>
      <c r="K138" s="1512">
        <f>(I138)*J138-(I138)*$J$137</f>
        <v>1311.106597922399</v>
      </c>
      <c r="L138" s="1512">
        <f t="shared" ref="L138:L170" si="97">(E138)*$C$12*$G$12-(E138)*$C$12*$G$12</f>
        <v>0</v>
      </c>
      <c r="M138" s="1511">
        <f>L138+K138</f>
        <v>1311.106597922399</v>
      </c>
      <c r="N138" s="1454">
        <v>0.05</v>
      </c>
      <c r="O138" s="530">
        <f t="shared" ref="O138:O170" si="98">N138*$E$137*($C$85)*$B$12</f>
        <v>75.191700000000026</v>
      </c>
      <c r="P138" s="1481">
        <f>O138+M138</f>
        <v>1386.2982979223991</v>
      </c>
      <c r="Q138" s="1364">
        <f t="shared" ref="Q138:Q170" si="99">E138*$B$12+(1-$J$137)*I138-P138</f>
        <v>67647.856509301913</v>
      </c>
      <c r="R138" s="1364">
        <f>Q138-G138</f>
        <v>3314.5306625434314</v>
      </c>
      <c r="S138" s="1514">
        <f t="shared" ref="S138:S170" si="100">R138/(Q138-I138*(1-J138))</f>
        <v>0.15275248812947445</v>
      </c>
      <c r="T138" s="135" t="str">
        <f t="shared" ref="T138:T170" si="101">IF(AND(S138&gt;=0,S138&lt;=1),"Yes","No")</f>
        <v>Yes</v>
      </c>
      <c r="U138" s="1514">
        <f t="shared" ref="U138:U170" si="102">IF(S138&lt;=0,0,IF(S138&gt;=1,1,S138))</f>
        <v>0.15275248812947445</v>
      </c>
      <c r="V138" s="1539">
        <f t="shared" si="95"/>
        <v>84991.625303679524</v>
      </c>
      <c r="W138" s="1540">
        <f t="shared" ref="W138:W170" si="103">(1-V138/F138)</f>
        <v>3.7534536819961217E-2</v>
      </c>
      <c r="X138" s="527">
        <f t="shared" ref="X138:X170" si="104">(E138*$B$12-O138-L138)*(1-U138)+I138*(1-J138)</f>
        <v>64333.325846758482</v>
      </c>
      <c r="Y138" s="1509">
        <f t="shared" ref="Y138:Y170" si="105">I138*J138+E138*$G$12*$C$12</f>
        <v>7449.3121878932852</v>
      </c>
      <c r="Z138" s="1509">
        <f t="shared" ref="Z138:Z170" si="106">($C$12*$H$12*E138+O138)</f>
        <v>1789.9687605419947</v>
      </c>
      <c r="AA138" s="1509">
        <f t="shared" ref="AA138:AA170" si="107">$F$137*$D$11</f>
        <v>0</v>
      </c>
      <c r="AB138" s="1509">
        <f t="shared" ref="AB138:AB170" si="108">E138*$E$12</f>
        <v>11419.018508485759</v>
      </c>
      <c r="AC138" s="1509">
        <f t="shared" ref="AC138:AC170" si="109">SUM(X138:AB138)</f>
        <v>84991.625303679524</v>
      </c>
      <c r="AD138" s="1535">
        <f t="shared" ref="AD138:AD170" si="110">X138-G138</f>
        <v>0</v>
      </c>
      <c r="AE138" s="1504">
        <f t="shared" ref="AE138:AE170" si="111">X138/AC138</f>
        <v>0.75693723489687537</v>
      </c>
      <c r="AF138" s="1504">
        <f t="shared" ref="AF138:AF170" si="112">Y138/AC138</f>
        <v>8.7647602469966931E-2</v>
      </c>
      <c r="AG138" s="1504">
        <f t="shared" ref="AG138:AG170" si="113">Z138/AC138</f>
        <v>2.1060531012865594E-2</v>
      </c>
      <c r="AH138" s="1504">
        <f>AA138/AC138</f>
        <v>0</v>
      </c>
      <c r="AI138" s="1504">
        <f t="shared" ref="AI138:AI169" si="114">AB138/AC138</f>
        <v>0.1343546316202921</v>
      </c>
      <c r="AJ138" s="1541">
        <f t="shared" ref="AJ138:AJ170" si="115">SUM(AE138:AI138)</f>
        <v>1</v>
      </c>
      <c r="AK138" s="1555">
        <f t="shared" ref="AK138:AK170" si="116">I138*(1-$J$137)-K138</f>
        <v>45949.154883348674</v>
      </c>
      <c r="AL138" s="1556">
        <f t="shared" ref="AL138:AL170" si="117">(E138*$C$86*$B$12-L138)*(1-U138)</f>
        <v>17158.829451148249</v>
      </c>
      <c r="AM138" s="1556">
        <f t="shared" ref="AM138:AM170" si="118">(E138*($C$85)*$B$12-O138)*(1-U138)</f>
        <v>1225.3415122615597</v>
      </c>
      <c r="AN138" s="1556">
        <f t="shared" ref="AN138:AN170" si="119">SUM(AK138:AM138)</f>
        <v>64333.325846758489</v>
      </c>
      <c r="AO138" s="1543">
        <f t="shared" ref="AO138:AO170" si="120">AN138-X138</f>
        <v>0</v>
      </c>
    </row>
    <row r="139" spans="1:91">
      <c r="A139" s="873">
        <f>'Input data'!A119</f>
        <v>2019</v>
      </c>
      <c r="B139" s="1551">
        <f>'Input data'!B119</f>
        <v>58.364834921819444</v>
      </c>
      <c r="C139" s="1550">
        <f>'Input data'!C119</f>
        <v>3164.1559328574817</v>
      </c>
      <c r="D139" s="1552">
        <f>'Input data'!D119</f>
        <v>53404857.831011549</v>
      </c>
      <c r="E139" s="1508">
        <f>'Input data'!J119*C139</f>
        <v>38068.104398560121</v>
      </c>
      <c r="F139" s="1509">
        <f>'Input data'!L119</f>
        <v>91472.962229571669</v>
      </c>
      <c r="G139" s="1509">
        <f>G137*0.89</f>
        <v>60911.340429377713</v>
      </c>
      <c r="H139" s="1509">
        <f t="shared" ref="H139:H170" si="121">E139*$B$12+I139*$E$80-G139</f>
        <v>11050.318511018224</v>
      </c>
      <c r="I139" s="1511">
        <f t="shared" si="96"/>
        <v>53404.857831011548</v>
      </c>
      <c r="J139" s="1454">
        <f t="shared" ref="J139:J149" si="122">($J$150-$J$137)/($A$150-$A$137)+J138</f>
        <v>0.11361731727283289</v>
      </c>
      <c r="K139" s="1512">
        <f t="shared" ref="K139:K170" si="123">(I139)*J139-(I139)*$J$137</f>
        <v>2780.7684466014621</v>
      </c>
      <c r="L139" s="1512">
        <f t="shared" si="97"/>
        <v>0</v>
      </c>
      <c r="M139" s="1511">
        <f t="shared" ref="M139:M170" si="124">L139+K139</f>
        <v>2780.7684466014621</v>
      </c>
      <c r="N139" s="1454">
        <v>0.1</v>
      </c>
      <c r="O139" s="530">
        <f t="shared" si="98"/>
        <v>150.38340000000005</v>
      </c>
      <c r="P139" s="1481">
        <f>O139+M139</f>
        <v>2931.1518466014622</v>
      </c>
      <c r="Q139" s="1364">
        <f t="shared" si="99"/>
        <v>69030.507093794469</v>
      </c>
      <c r="R139" s="1364">
        <f t="shared" ref="R139:R170" si="125">Q139-G139</f>
        <v>8119.1666644167562</v>
      </c>
      <c r="S139" s="1514">
        <f t="shared" si="100"/>
        <v>0.37426956643299625</v>
      </c>
      <c r="T139" s="135" t="str">
        <f t="shared" si="101"/>
        <v>Yes</v>
      </c>
      <c r="U139" s="1514">
        <f t="shared" si="102"/>
        <v>0.37426956643299625</v>
      </c>
      <c r="V139" s="1539">
        <f t="shared" si="95"/>
        <v>83353.795565154913</v>
      </c>
      <c r="W139" s="1540">
        <f t="shared" si="103"/>
        <v>8.8760290106708384E-2</v>
      </c>
      <c r="X139" s="527">
        <f t="shared" si="104"/>
        <v>60911.34042937772</v>
      </c>
      <c r="Y139" s="1509">
        <f t="shared" si="105"/>
        <v>9116.1397155734267</v>
      </c>
      <c r="Z139" s="1509">
        <f t="shared" si="106"/>
        <v>1870.6618877196547</v>
      </c>
      <c r="AA139" s="1509">
        <f t="shared" si="107"/>
        <v>0</v>
      </c>
      <c r="AB139" s="1509">
        <f t="shared" si="108"/>
        <v>11455.653532484115</v>
      </c>
      <c r="AC139" s="1509">
        <f t="shared" si="109"/>
        <v>83353.795565154913</v>
      </c>
      <c r="AD139" s="1535">
        <f t="shared" si="110"/>
        <v>0</v>
      </c>
      <c r="AE139" s="1504">
        <f t="shared" si="111"/>
        <v>0.7307566502087518</v>
      </c>
      <c r="AF139" s="1504">
        <f t="shared" si="112"/>
        <v>0.10936682191571757</v>
      </c>
      <c r="AG139" s="1504">
        <f t="shared" si="113"/>
        <v>2.2442431985684682E-2</v>
      </c>
      <c r="AH139" s="1504">
        <f t="shared" ref="AH139:AH170" si="126">AA139/AC139</f>
        <v>0</v>
      </c>
      <c r="AI139" s="1504">
        <f t="shared" si="114"/>
        <v>0.13743409588984593</v>
      </c>
      <c r="AJ139" s="1541">
        <f t="shared" si="115"/>
        <v>0.99999999999999989</v>
      </c>
      <c r="AK139" s="1555">
        <f t="shared" si="116"/>
        <v>47337.141154914978</v>
      </c>
      <c r="AL139" s="1556">
        <f t="shared" si="117"/>
        <v>12713.224820127884</v>
      </c>
      <c r="AM139" s="1556">
        <f t="shared" si="118"/>
        <v>860.97445433485484</v>
      </c>
      <c r="AN139" s="1556">
        <f t="shared" si="119"/>
        <v>60911.34042937772</v>
      </c>
      <c r="AO139" s="1543">
        <f t="shared" si="120"/>
        <v>0</v>
      </c>
    </row>
    <row r="140" spans="1:91">
      <c r="A140" s="873">
        <f>'Input data'!A120</f>
        <v>2020</v>
      </c>
      <c r="B140" s="1551">
        <f>'Input data'!B120</f>
        <v>59.308690000000006</v>
      </c>
      <c r="C140" s="1550">
        <f>'Input data'!C120</f>
        <v>2966.4312031486884</v>
      </c>
      <c r="D140" s="1552">
        <f>'Input data'!D120</f>
        <v>50522212.337504238</v>
      </c>
      <c r="E140" s="1508">
        <f>'Input data'!J120*C140</f>
        <v>35689.269153884321</v>
      </c>
      <c r="F140" s="1509">
        <f>'Input data'!L120</f>
        <v>86211.481491388549</v>
      </c>
      <c r="G140" s="1509">
        <f>G137*0.81</f>
        <v>55436.163761568481</v>
      </c>
      <c r="H140" s="1509">
        <f t="shared" si="121"/>
        <v>12455.277396534897</v>
      </c>
      <c r="I140" s="1511">
        <f t="shared" si="96"/>
        <v>50522.212337504236</v>
      </c>
      <c r="J140" s="1454">
        <f t="shared" si="122"/>
        <v>0.13965210661166627</v>
      </c>
      <c r="K140" s="1512">
        <f>(I140)*J140-(I140)*$J$137</f>
        <v>3946.0054654161941</v>
      </c>
      <c r="L140" s="1512">
        <f t="shared" si="97"/>
        <v>0</v>
      </c>
      <c r="M140" s="1511">
        <f t="shared" si="124"/>
        <v>3946.0054654161941</v>
      </c>
      <c r="N140" s="1454">
        <f>($N$142-$N$137)/($A$102-$A$97)+N139</f>
        <v>0.2</v>
      </c>
      <c r="O140" s="530">
        <f t="shared" si="98"/>
        <v>300.7668000000001</v>
      </c>
      <c r="P140" s="1481">
        <f t="shared" ref="P140:P170" si="127">O140+M140</f>
        <v>4246.7722654161944</v>
      </c>
      <c r="Q140" s="1364">
        <f t="shared" si="99"/>
        <v>63644.668892687187</v>
      </c>
      <c r="R140" s="1364">
        <f t="shared" si="125"/>
        <v>8208.5051311187053</v>
      </c>
      <c r="S140" s="1514">
        <f t="shared" si="100"/>
        <v>0.40680489761449229</v>
      </c>
      <c r="T140" s="135" t="str">
        <f t="shared" si="101"/>
        <v>Yes</v>
      </c>
      <c r="U140" s="1514">
        <f t="shared" si="102"/>
        <v>0.40680489761449229</v>
      </c>
      <c r="V140" s="1539">
        <f t="shared" si="95"/>
        <v>78002.976360269866</v>
      </c>
      <c r="W140" s="1540">
        <f t="shared" si="103"/>
        <v>9.5213595557322783E-2</v>
      </c>
      <c r="X140" s="527">
        <f t="shared" si="104"/>
        <v>55436.163761568474</v>
      </c>
      <c r="Y140" s="1509">
        <f t="shared" si="105"/>
        <v>9913.4637184620151</v>
      </c>
      <c r="Z140" s="1509">
        <f t="shared" si="106"/>
        <v>1913.5469196790364</v>
      </c>
      <c r="AA140" s="1509">
        <f t="shared" si="107"/>
        <v>0</v>
      </c>
      <c r="AB140" s="1509">
        <f t="shared" si="108"/>
        <v>10739.801960560329</v>
      </c>
      <c r="AC140" s="1509">
        <f t="shared" si="109"/>
        <v>78002.976360269866</v>
      </c>
      <c r="AD140" s="1535">
        <f t="shared" si="110"/>
        <v>0</v>
      </c>
      <c r="AE140" s="1504">
        <f t="shared" si="111"/>
        <v>0.71069292927397065</v>
      </c>
      <c r="AF140" s="1504">
        <f t="shared" si="112"/>
        <v>0.12709083910689531</v>
      </c>
      <c r="AG140" s="1504">
        <f t="shared" si="113"/>
        <v>2.4531716723743952E-2</v>
      </c>
      <c r="AH140" s="1504">
        <f t="shared" si="126"/>
        <v>0</v>
      </c>
      <c r="AI140" s="1504">
        <f t="shared" si="114"/>
        <v>0.13768451489538999</v>
      </c>
      <c r="AJ140" s="1541">
        <f t="shared" si="115"/>
        <v>1</v>
      </c>
      <c r="AK140" s="1555">
        <f t="shared" si="116"/>
        <v>43466.678953889852</v>
      </c>
      <c r="AL140" s="1556">
        <f t="shared" si="117"/>
        <v>11299.062436378306</v>
      </c>
      <c r="AM140" s="1556">
        <f t="shared" si="118"/>
        <v>670.42237130031697</v>
      </c>
      <c r="AN140" s="1556">
        <f t="shared" si="119"/>
        <v>55436.163761568474</v>
      </c>
      <c r="AO140" s="1543">
        <f t="shared" si="120"/>
        <v>0</v>
      </c>
    </row>
    <row r="141" spans="1:91">
      <c r="A141" s="873">
        <f>'Input data'!A121</f>
        <v>2021</v>
      </c>
      <c r="B141" s="1551">
        <f>'Input data'!B121</f>
        <v>60.097873988486953</v>
      </c>
      <c r="C141" s="1550">
        <f>'Input data'!C121</f>
        <v>3038.4599250524875</v>
      </c>
      <c r="D141" s="1552">
        <f>'Input data'!D121</f>
        <v>50478759.434739612</v>
      </c>
      <c r="E141" s="1508">
        <f>'Input data'!J121*C141</f>
        <v>36555.849993549964</v>
      </c>
      <c r="F141" s="1509">
        <f>'Input data'!L121</f>
        <v>87034.609428289579</v>
      </c>
      <c r="G141" s="1509">
        <f>G137*0.65</f>
        <v>44485.810425950018</v>
      </c>
      <c r="H141" s="1509">
        <f t="shared" si="121"/>
        <v>23862.102512919249</v>
      </c>
      <c r="I141" s="1511">
        <f t="shared" si="96"/>
        <v>50478.759434739615</v>
      </c>
      <c r="J141" s="1454">
        <f t="shared" si="122"/>
        <v>0.16568689595049965</v>
      </c>
      <c r="K141" s="1512">
        <f t="shared" si="123"/>
        <v>5256.8154718763753</v>
      </c>
      <c r="L141" s="1512">
        <f t="shared" si="97"/>
        <v>0</v>
      </c>
      <c r="M141" s="1511">
        <f t="shared" si="124"/>
        <v>5256.8154718763753</v>
      </c>
      <c r="N141" s="1454">
        <v>0.4</v>
      </c>
      <c r="O141" s="530">
        <f t="shared" si="98"/>
        <v>601.53360000000021</v>
      </c>
      <c r="P141" s="1481">
        <f t="shared" si="127"/>
        <v>5858.3490718763751</v>
      </c>
      <c r="Q141" s="1364">
        <f t="shared" si="99"/>
        <v>62489.563866992889</v>
      </c>
      <c r="R141" s="1364">
        <f t="shared" si="125"/>
        <v>18003.753441042871</v>
      </c>
      <c r="S141" s="1514">
        <f t="shared" si="100"/>
        <v>0.88364263912544427</v>
      </c>
      <c r="T141" s="135" t="str">
        <f t="shared" si="101"/>
        <v>Yes</v>
      </c>
      <c r="U141" s="1514">
        <f t="shared" si="102"/>
        <v>0.88364263912544427</v>
      </c>
      <c r="V141" s="1539">
        <f t="shared" si="95"/>
        <v>69030.855987246701</v>
      </c>
      <c r="W141" s="1540">
        <f t="shared" si="103"/>
        <v>0.20685740487956927</v>
      </c>
      <c r="X141" s="527">
        <f t="shared" si="104"/>
        <v>44485.810425950018</v>
      </c>
      <c r="Y141" s="1509">
        <f t="shared" si="105"/>
        <v>11290.993479866895</v>
      </c>
      <c r="Z141" s="1509">
        <f t="shared" si="106"/>
        <v>2253.4740718925086</v>
      </c>
      <c r="AA141" s="1509">
        <f t="shared" si="107"/>
        <v>0</v>
      </c>
      <c r="AB141" s="1509">
        <f t="shared" si="108"/>
        <v>11000.578009537285</v>
      </c>
      <c r="AC141" s="1509">
        <f t="shared" si="109"/>
        <v>69030.855987246701</v>
      </c>
      <c r="AD141" s="1535">
        <f t="shared" si="110"/>
        <v>0</v>
      </c>
      <c r="AE141" s="1504">
        <f t="shared" si="111"/>
        <v>0.64443370706816494</v>
      </c>
      <c r="AF141" s="1504">
        <f t="shared" si="112"/>
        <v>0.16356444257265013</v>
      </c>
      <c r="AG141" s="1504">
        <f t="shared" si="113"/>
        <v>3.264444630831223E-2</v>
      </c>
      <c r="AH141" s="1504">
        <f t="shared" si="126"/>
        <v>0</v>
      </c>
      <c r="AI141" s="1504">
        <f t="shared" si="114"/>
        <v>0.15935740405087281</v>
      </c>
      <c r="AJ141" s="1541">
        <f t="shared" si="115"/>
        <v>1</v>
      </c>
      <c r="AK141" s="1555">
        <f t="shared" si="116"/>
        <v>42115.090472565607</v>
      </c>
      <c r="AL141" s="1556">
        <f t="shared" si="117"/>
        <v>2270.1677308549342</v>
      </c>
      <c r="AM141" s="1556">
        <f t="shared" si="118"/>
        <v>100.55222252947536</v>
      </c>
      <c r="AN141" s="1556">
        <f t="shared" si="119"/>
        <v>44485.810425950018</v>
      </c>
      <c r="AO141" s="1543">
        <f t="shared" si="120"/>
        <v>0</v>
      </c>
    </row>
    <row r="142" spans="1:91">
      <c r="A142" s="873">
        <f>'Input data'!A122</f>
        <v>2022</v>
      </c>
      <c r="B142" s="1551">
        <f>'Input data'!B122</f>
        <v>60.841582286809363</v>
      </c>
      <c r="C142" s="1550">
        <f>'Input data'!C122</f>
        <v>3105.6495314991057</v>
      </c>
      <c r="D142" s="1552">
        <f>'Input data'!D122</f>
        <v>50359792.847133152</v>
      </c>
      <c r="E142" s="1508">
        <f>'Input data'!J122*C142</f>
        <v>37364.211214356852</v>
      </c>
      <c r="F142" s="1509">
        <f>'Input data'!L122</f>
        <v>87724.004061490006</v>
      </c>
      <c r="G142" s="1557">
        <f>G137*(1-E4)</f>
        <v>34219.854173807704</v>
      </c>
      <c r="H142" s="1509">
        <f t="shared" si="121"/>
        <v>34480.257725710951</v>
      </c>
      <c r="I142" s="1511">
        <f t="shared" si="96"/>
        <v>50359.792847133154</v>
      </c>
      <c r="J142" s="1454">
        <f t="shared" si="122"/>
        <v>0.19172168528933303</v>
      </c>
      <c r="K142" s="1512">
        <f t="shared" si="123"/>
        <v>6555.5329896119983</v>
      </c>
      <c r="L142" s="1512">
        <f t="shared" si="97"/>
        <v>0</v>
      </c>
      <c r="M142" s="1511">
        <f t="shared" si="124"/>
        <v>6555.5329896119983</v>
      </c>
      <c r="N142" s="1454">
        <f>$E$26</f>
        <v>0.5</v>
      </c>
      <c r="O142" s="530">
        <f t="shared" si="98"/>
        <v>751.91700000000026</v>
      </c>
      <c r="P142" s="1481">
        <f t="shared" si="127"/>
        <v>7307.4499896119987</v>
      </c>
      <c r="Q142" s="1364">
        <f t="shared" si="99"/>
        <v>61392.661909906659</v>
      </c>
      <c r="R142" s="1364">
        <f t="shared" si="125"/>
        <v>27172.807736098956</v>
      </c>
      <c r="S142" s="1514">
        <f t="shared" si="100"/>
        <v>1.3134616777203791</v>
      </c>
      <c r="T142" s="135" t="str">
        <f t="shared" si="101"/>
        <v>No</v>
      </c>
      <c r="U142" s="1514">
        <f t="shared" si="102"/>
        <v>1</v>
      </c>
      <c r="V142" s="1539">
        <f t="shared" si="95"/>
        <v>67036.070643242434</v>
      </c>
      <c r="W142" s="1540">
        <f t="shared" si="103"/>
        <v>0.23582978957214951</v>
      </c>
      <c r="X142" s="527">
        <f t="shared" si="104"/>
        <v>40704.728491659087</v>
      </c>
      <c r="Y142" s="1509">
        <f t="shared" si="105"/>
        <v>12647.120937152275</v>
      </c>
      <c r="Z142" s="1509">
        <f t="shared" si="106"/>
        <v>2440.3869088169668</v>
      </c>
      <c r="AA142" s="1509">
        <f t="shared" si="107"/>
        <v>0</v>
      </c>
      <c r="AB142" s="1509">
        <f t="shared" si="108"/>
        <v>11243.834305614109</v>
      </c>
      <c r="AC142" s="1509">
        <f t="shared" si="109"/>
        <v>67036.070643242434</v>
      </c>
      <c r="AD142" s="1554">
        <f t="shared" si="110"/>
        <v>6484.8743178513832</v>
      </c>
      <c r="AE142" s="1504">
        <f t="shared" si="111"/>
        <v>0.6072063607111543</v>
      </c>
      <c r="AF142" s="1504">
        <f t="shared" si="112"/>
        <v>0.18866142982124753</v>
      </c>
      <c r="AG142" s="1504">
        <f t="shared" si="113"/>
        <v>3.6404086417958476E-2</v>
      </c>
      <c r="AH142" s="1504">
        <f t="shared" si="126"/>
        <v>0</v>
      </c>
      <c r="AI142" s="1504">
        <f t="shared" si="114"/>
        <v>0.16772812304963974</v>
      </c>
      <c r="AJ142" s="1541">
        <f t="shared" si="115"/>
        <v>1</v>
      </c>
      <c r="AK142" s="1555">
        <f t="shared" si="116"/>
        <v>40704.728491659087</v>
      </c>
      <c r="AL142" s="1556">
        <f t="shared" si="117"/>
        <v>0</v>
      </c>
      <c r="AM142" s="1556">
        <f t="shared" si="118"/>
        <v>0</v>
      </c>
      <c r="AN142" s="1556">
        <f t="shared" si="119"/>
        <v>40704.728491659087</v>
      </c>
      <c r="AO142" s="1543">
        <f t="shared" si="120"/>
        <v>0</v>
      </c>
    </row>
    <row r="143" spans="1:91">
      <c r="A143" s="873">
        <f>'Input data'!A123</f>
        <v>2023</v>
      </c>
      <c r="B143" s="1551">
        <f>'Input data'!B123</f>
        <v>61.537824355929828</v>
      </c>
      <c r="C143" s="1550">
        <f>'Input data'!C123</f>
        <v>3166.2503551240475</v>
      </c>
      <c r="D143" s="1552">
        <f>'Input data'!D123</f>
        <v>49907933.066043317</v>
      </c>
      <c r="E143" s="1508">
        <f>'Input data'!J123*C143</f>
        <v>38093.302488410991</v>
      </c>
      <c r="F143" s="1509">
        <f>'Input data'!L123</f>
        <v>88001.23555445431</v>
      </c>
      <c r="G143" s="1557">
        <f>($G$147-$G$142)/($A$147-$A$142)+G142</f>
        <v>32166.662923379241</v>
      </c>
      <c r="H143" s="1509">
        <f t="shared" si="121"/>
        <v>36527.757906729959</v>
      </c>
      <c r="I143" s="1511">
        <f t="shared" si="96"/>
        <v>49907.933066043319</v>
      </c>
      <c r="J143" s="1454">
        <f t="shared" si="122"/>
        <v>0.21775647462816641</v>
      </c>
      <c r="K143" s="1512">
        <f t="shared" si="123"/>
        <v>7796.0551422662065</v>
      </c>
      <c r="L143" s="1512">
        <f t="shared" si="97"/>
        <v>0</v>
      </c>
      <c r="M143" s="1511">
        <f t="shared" si="124"/>
        <v>7796.0551422662065</v>
      </c>
      <c r="N143" s="1454">
        <f>($N$147-$N$142)/($A$107-$A$102)+N142</f>
        <v>0.5</v>
      </c>
      <c r="O143" s="530">
        <f t="shared" si="98"/>
        <v>751.91700000000026</v>
      </c>
      <c r="P143" s="1481">
        <f t="shared" si="127"/>
        <v>8547.972142266206</v>
      </c>
      <c r="Q143" s="1364">
        <f t="shared" si="99"/>
        <v>60146.448687842996</v>
      </c>
      <c r="R143" s="1364">
        <f t="shared" si="125"/>
        <v>27979.785764463755</v>
      </c>
      <c r="S143" s="1514">
        <f t="shared" si="100"/>
        <v>1.3256609379106741</v>
      </c>
      <c r="T143" s="135" t="str">
        <f t="shared" si="101"/>
        <v>No</v>
      </c>
      <c r="U143" s="1514">
        <f t="shared" si="102"/>
        <v>1</v>
      </c>
      <c r="V143" s="1539">
        <f t="shared" si="95"/>
        <v>66894.944372214552</v>
      </c>
      <c r="W143" s="1540">
        <f t="shared" si="103"/>
        <v>0.23984085052055193</v>
      </c>
      <c r="X143" s="527">
        <f t="shared" si="104"/>
        <v>39040.157505603231</v>
      </c>
      <c r="Y143" s="1509">
        <f t="shared" si="105"/>
        <v>13918.216416114146</v>
      </c>
      <c r="Z143" s="1509">
        <f t="shared" si="106"/>
        <v>2473.3341767241886</v>
      </c>
      <c r="AA143" s="1509">
        <f t="shared" si="107"/>
        <v>0</v>
      </c>
      <c r="AB143" s="1509">
        <f t="shared" si="108"/>
        <v>11463.236273772985</v>
      </c>
      <c r="AC143" s="1509">
        <f t="shared" si="109"/>
        <v>66894.944372214552</v>
      </c>
      <c r="AD143" s="1554">
        <f t="shared" si="110"/>
        <v>6873.4945822239897</v>
      </c>
      <c r="AE143" s="1504">
        <f t="shared" si="111"/>
        <v>0.58360400583304661</v>
      </c>
      <c r="AF143" s="1504">
        <f t="shared" si="112"/>
        <v>0.20806081157151257</v>
      </c>
      <c r="AG143" s="1504">
        <f t="shared" si="113"/>
        <v>3.6973409574304263E-2</v>
      </c>
      <c r="AH143" s="1504">
        <f t="shared" si="126"/>
        <v>0</v>
      </c>
      <c r="AI143" s="1504">
        <f t="shared" si="114"/>
        <v>0.17136177302113653</v>
      </c>
      <c r="AJ143" s="1541">
        <f t="shared" si="115"/>
        <v>1</v>
      </c>
      <c r="AK143" s="1555">
        <f t="shared" si="116"/>
        <v>39040.157505603231</v>
      </c>
      <c r="AL143" s="1556">
        <f t="shared" si="117"/>
        <v>0</v>
      </c>
      <c r="AM143" s="1556">
        <f t="shared" si="118"/>
        <v>0</v>
      </c>
      <c r="AN143" s="1556">
        <f>SUM(AK143:AM143)</f>
        <v>39040.157505603231</v>
      </c>
      <c r="AO143" s="1543">
        <f t="shared" si="120"/>
        <v>0</v>
      </c>
    </row>
    <row r="144" spans="1:91">
      <c r="A144" s="873">
        <f>'Input data'!A124</f>
        <v>2024</v>
      </c>
      <c r="B144" s="1551">
        <f>'Input data'!B124</f>
        <v>62.221509701386374</v>
      </c>
      <c r="C144" s="1550">
        <f>'Input data'!C124</f>
        <v>3234.5964359714103</v>
      </c>
      <c r="D144" s="1552">
        <f>'Input data'!D124</f>
        <v>50177221.869345397</v>
      </c>
      <c r="E144" s="1508">
        <f>'Input data'!J124*C144</f>
        <v>38915.577305499479</v>
      </c>
      <c r="F144" s="1509">
        <f>'Input data'!L124</f>
        <v>89092.799174844869</v>
      </c>
      <c r="G144" s="1557">
        <f t="shared" ref="G144:G146" si="128">($G$147-$G$142)/($A$147-$A$142)+G143</f>
        <v>30113.471672950778</v>
      </c>
      <c r="H144" s="1509">
        <f t="shared" si="121"/>
        <v>39305.490988016114</v>
      </c>
      <c r="I144" s="1511">
        <f t="shared" si="96"/>
        <v>50177.221869345398</v>
      </c>
      <c r="J144" s="1454">
        <f t="shared" si="122"/>
        <v>0.24379126396699979</v>
      </c>
      <c r="K144" s="1512">
        <f t="shared" si="123"/>
        <v>9144.473806834174</v>
      </c>
      <c r="L144" s="1512">
        <f t="shared" si="97"/>
        <v>0</v>
      </c>
      <c r="M144" s="1511">
        <f t="shared" si="124"/>
        <v>9144.473806834174</v>
      </c>
      <c r="N144" s="1454">
        <f>($N$147-$N$142)/($A$107-$A$102)+N143</f>
        <v>0.5</v>
      </c>
      <c r="O144" s="530">
        <f t="shared" si="98"/>
        <v>751.91700000000026</v>
      </c>
      <c r="P144" s="1481">
        <f t="shared" si="127"/>
        <v>9896.3908068341734</v>
      </c>
      <c r="Q144" s="1364">
        <f t="shared" si="99"/>
        <v>59522.571854132722</v>
      </c>
      <c r="R144" s="1364">
        <f t="shared" si="125"/>
        <v>29409.100181181944</v>
      </c>
      <c r="S144" s="1514">
        <f t="shared" si="100"/>
        <v>1.3629131018730345</v>
      </c>
      <c r="T144" s="135" t="str">
        <f t="shared" si="101"/>
        <v>No</v>
      </c>
      <c r="U144" s="1514">
        <f t="shared" si="102"/>
        <v>1</v>
      </c>
      <c r="V144" s="1539">
        <f t="shared" si="95"/>
        <v>67514.68084817726</v>
      </c>
      <c r="W144" s="1540">
        <f t="shared" si="103"/>
        <v>0.24219823068215074</v>
      </c>
      <c r="X144" s="527">
        <f t="shared" si="104"/>
        <v>37944.453527465099</v>
      </c>
      <c r="Y144" s="1509">
        <f t="shared" si="105"/>
        <v>15349.055436467395</v>
      </c>
      <c r="Z144" s="1509">
        <f t="shared" si="106"/>
        <v>2510.4923620654172</v>
      </c>
      <c r="AA144" s="1509">
        <f t="shared" si="107"/>
        <v>0</v>
      </c>
      <c r="AB144" s="1509">
        <f t="shared" si="108"/>
        <v>11710.679522179353</v>
      </c>
      <c r="AC144" s="1509">
        <f t="shared" si="109"/>
        <v>67514.68084817726</v>
      </c>
      <c r="AD144" s="1554">
        <f t="shared" si="110"/>
        <v>7830.9818545143207</v>
      </c>
      <c r="AE144" s="1504">
        <f t="shared" si="111"/>
        <v>0.56201781672925599</v>
      </c>
      <c r="AF144" s="1504">
        <f t="shared" si="112"/>
        <v>0.22734396791393238</v>
      </c>
      <c r="AG144" s="1504">
        <f t="shared" si="113"/>
        <v>3.7184392054090479E-2</v>
      </c>
      <c r="AH144" s="1504">
        <f t="shared" si="126"/>
        <v>0</v>
      </c>
      <c r="AI144" s="1504">
        <f t="shared" si="114"/>
        <v>0.17345382330272119</v>
      </c>
      <c r="AJ144" s="1541">
        <f t="shared" si="115"/>
        <v>1</v>
      </c>
      <c r="AK144" s="1555">
        <f t="shared" si="116"/>
        <v>37944.453527465099</v>
      </c>
      <c r="AL144" s="1556">
        <f t="shared" si="117"/>
        <v>0</v>
      </c>
      <c r="AM144" s="1556">
        <f t="shared" si="118"/>
        <v>0</v>
      </c>
      <c r="AN144" s="1556">
        <f t="shared" si="119"/>
        <v>37944.453527465099</v>
      </c>
      <c r="AO144" s="1543">
        <f t="shared" si="120"/>
        <v>0</v>
      </c>
    </row>
    <row r="145" spans="1:41">
      <c r="A145" s="873">
        <f>'Input data'!A125</f>
        <v>2025</v>
      </c>
      <c r="B145" s="1551">
        <f>'Input data'!B125</f>
        <v>62.892038582526091</v>
      </c>
      <c r="C145" s="1550">
        <f>'Input data'!C125</f>
        <v>3296.2240257379749</v>
      </c>
      <c r="D145" s="1552">
        <f>'Input data'!D125</f>
        <v>50605741.387768611</v>
      </c>
      <c r="E145" s="1508">
        <f>'Input data'!J125*C145</f>
        <v>39657.021649851544</v>
      </c>
      <c r="F145" s="1509">
        <f>'Input data'!L125</f>
        <v>90262.763037620156</v>
      </c>
      <c r="G145" s="1557">
        <f t="shared" si="128"/>
        <v>28060.280422522315</v>
      </c>
      <c r="H145" s="1509">
        <f t="shared" si="121"/>
        <v>42186.273393244737</v>
      </c>
      <c r="I145" s="1511">
        <f t="shared" si="96"/>
        <v>50605.741387768612</v>
      </c>
      <c r="J145" s="1454">
        <f t="shared" si="122"/>
        <v>0.26982605330583315</v>
      </c>
      <c r="K145" s="1512">
        <f t="shared" si="123"/>
        <v>10540.078530928298</v>
      </c>
      <c r="L145" s="1512">
        <f t="shared" si="97"/>
        <v>0</v>
      </c>
      <c r="M145" s="1511">
        <f t="shared" si="124"/>
        <v>10540.078530928298</v>
      </c>
      <c r="N145" s="1454">
        <f>($N$147-$N$142)/($A$107-$A$102)+N144</f>
        <v>0.5</v>
      </c>
      <c r="O145" s="530">
        <f t="shared" si="98"/>
        <v>751.91700000000026</v>
      </c>
      <c r="P145" s="1481">
        <f t="shared" si="127"/>
        <v>11291.995530928298</v>
      </c>
      <c r="Q145" s="1364">
        <f t="shared" si="99"/>
        <v>58954.558284838757</v>
      </c>
      <c r="R145" s="1364">
        <f t="shared" si="125"/>
        <v>30894.277862316441</v>
      </c>
      <c r="S145" s="1514">
        <f t="shared" si="100"/>
        <v>1.4040578763661764</v>
      </c>
      <c r="T145" s="135" t="str">
        <f t="shared" si="101"/>
        <v>No</v>
      </c>
      <c r="U145" s="1514">
        <f t="shared" si="102"/>
        <v>1</v>
      </c>
      <c r="V145" s="1539">
        <f t="shared" si="95"/>
        <v>68259.198667272765</v>
      </c>
      <c r="W145" s="1540">
        <f t="shared" si="103"/>
        <v>0.24377233346132599</v>
      </c>
      <c r="X145" s="527">
        <f t="shared" si="104"/>
        <v>36950.993914491351</v>
      </c>
      <c r="Y145" s="1509">
        <f t="shared" si="105"/>
        <v>16830.408052767856</v>
      </c>
      <c r="Z145" s="1509">
        <f t="shared" si="106"/>
        <v>2543.9978590052256</v>
      </c>
      <c r="AA145" s="1509">
        <f t="shared" si="107"/>
        <v>0</v>
      </c>
      <c r="AB145" s="1509">
        <f t="shared" si="108"/>
        <v>11933.798841008331</v>
      </c>
      <c r="AC145" s="1509">
        <f t="shared" si="109"/>
        <v>68259.198667272765</v>
      </c>
      <c r="AD145" s="1554">
        <f t="shared" si="110"/>
        <v>8890.7134919690361</v>
      </c>
      <c r="AE145" s="1504">
        <f t="shared" si="111"/>
        <v>0.54133354384377941</v>
      </c>
      <c r="AF145" s="1504">
        <f t="shared" si="112"/>
        <v>0.24656615344705599</v>
      </c>
      <c r="AG145" s="1504">
        <f t="shared" si="113"/>
        <v>3.7269670735600925E-2</v>
      </c>
      <c r="AH145" s="1504">
        <f t="shared" si="126"/>
        <v>0</v>
      </c>
      <c r="AI145" s="1504">
        <f t="shared" si="114"/>
        <v>0.17483063197356363</v>
      </c>
      <c r="AJ145" s="1541">
        <f t="shared" si="115"/>
        <v>1</v>
      </c>
      <c r="AK145" s="1555">
        <f t="shared" si="116"/>
        <v>36950.993914491351</v>
      </c>
      <c r="AL145" s="1556">
        <f t="shared" si="117"/>
        <v>0</v>
      </c>
      <c r="AM145" s="1556">
        <f t="shared" si="118"/>
        <v>0</v>
      </c>
      <c r="AN145" s="1556">
        <f t="shared" si="119"/>
        <v>36950.993914491351</v>
      </c>
      <c r="AO145" s="1543">
        <f t="shared" si="120"/>
        <v>0</v>
      </c>
    </row>
    <row r="146" spans="1:41">
      <c r="A146" s="873">
        <f>'Input data'!A126</f>
        <v>2026</v>
      </c>
      <c r="B146" s="1551">
        <f>'Input data'!B126</f>
        <v>63.548817559440096</v>
      </c>
      <c r="C146" s="1550">
        <f>'Input data'!C126</f>
        <v>3366.4633271478065</v>
      </c>
      <c r="D146" s="1552">
        <f>'Input data'!D126</f>
        <v>48876629.54391963</v>
      </c>
      <c r="E146" s="1508">
        <f>'Input data'!J126*C146</f>
        <v>40502.073889908716</v>
      </c>
      <c r="F146" s="1509">
        <f>'Input data'!L126</f>
        <v>89378.703433828341</v>
      </c>
      <c r="G146" s="1557">
        <f t="shared" si="128"/>
        <v>26007.089172093853</v>
      </c>
      <c r="H146" s="1509">
        <f t="shared" si="121"/>
        <v>43101.672715487832</v>
      </c>
      <c r="I146" s="1511">
        <f t="shared" si="96"/>
        <v>48876.629543919633</v>
      </c>
      <c r="J146" s="1454">
        <f t="shared" si="122"/>
        <v>0.2958608426446665</v>
      </c>
      <c r="K146" s="1512">
        <f t="shared" si="123"/>
        <v>11452.434783913324</v>
      </c>
      <c r="L146" s="1512">
        <f t="shared" si="97"/>
        <v>0</v>
      </c>
      <c r="M146" s="1511">
        <f t="shared" si="124"/>
        <v>11452.434783913324</v>
      </c>
      <c r="N146" s="1454">
        <f>($N$147-$N$142)/($A$107-$A$102)+N145</f>
        <v>0.5</v>
      </c>
      <c r="O146" s="530">
        <f t="shared" si="98"/>
        <v>751.91700000000026</v>
      </c>
      <c r="P146" s="1481">
        <f t="shared" si="127"/>
        <v>12204.351783913324</v>
      </c>
      <c r="Q146" s="1364">
        <f t="shared" si="99"/>
        <v>56904.410103668357</v>
      </c>
      <c r="R146" s="1364">
        <f t="shared" si="125"/>
        <v>30897.320931574504</v>
      </c>
      <c r="S146" s="1514">
        <f t="shared" si="100"/>
        <v>1.3739188481542006</v>
      </c>
      <c r="T146" s="135" t="str">
        <f t="shared" si="101"/>
        <v>No</v>
      </c>
      <c r="U146" s="1514">
        <f t="shared" si="102"/>
        <v>1</v>
      </c>
      <c r="V146" s="1539">
        <f t="shared" si="95"/>
        <v>66890.242071584362</v>
      </c>
      <c r="W146" s="1540">
        <f t="shared" si="103"/>
        <v>0.25160872219290298</v>
      </c>
      <c r="X146" s="527">
        <f t="shared" si="104"/>
        <v>34415.94874142437</v>
      </c>
      <c r="Y146" s="1509">
        <f t="shared" si="105"/>
        <v>17704.011594591699</v>
      </c>
      <c r="Z146" s="1509">
        <f t="shared" si="106"/>
        <v>2582.1853446322916</v>
      </c>
      <c r="AA146" s="1509">
        <f t="shared" si="107"/>
        <v>0</v>
      </c>
      <c r="AB146" s="1509">
        <f t="shared" si="108"/>
        <v>12188.096390936</v>
      </c>
      <c r="AC146" s="1509">
        <f t="shared" si="109"/>
        <v>66890.242071584362</v>
      </c>
      <c r="AD146" s="1554">
        <f t="shared" si="110"/>
        <v>8408.8595693305178</v>
      </c>
      <c r="AE146" s="1504">
        <f t="shared" si="111"/>
        <v>0.51451374184882204</v>
      </c>
      <c r="AF146" s="1504">
        <f t="shared" si="112"/>
        <v>0.264672559797964</v>
      </c>
      <c r="AG146" s="1504">
        <f t="shared" si="113"/>
        <v>3.8603318879738807E-2</v>
      </c>
      <c r="AH146" s="1504">
        <f t="shared" si="126"/>
        <v>0</v>
      </c>
      <c r="AI146" s="1504">
        <f t="shared" si="114"/>
        <v>0.18221037947347515</v>
      </c>
      <c r="AJ146" s="1541">
        <f t="shared" si="115"/>
        <v>1</v>
      </c>
      <c r="AK146" s="1555">
        <f t="shared" si="116"/>
        <v>34415.948741424363</v>
      </c>
      <c r="AL146" s="1556">
        <f t="shared" si="117"/>
        <v>0</v>
      </c>
      <c r="AM146" s="1556">
        <f t="shared" si="118"/>
        <v>0</v>
      </c>
      <c r="AN146" s="1556">
        <f t="shared" si="119"/>
        <v>34415.948741424363</v>
      </c>
      <c r="AO146" s="1543">
        <f t="shared" si="120"/>
        <v>0</v>
      </c>
    </row>
    <row r="147" spans="1:41">
      <c r="A147" s="873">
        <f>'Input data'!A127</f>
        <v>2027</v>
      </c>
      <c r="B147" s="1551">
        <f>'Input data'!B127</f>
        <v>64.191260356766122</v>
      </c>
      <c r="C147" s="1550">
        <f>'Input data'!C127</f>
        <v>3436.4344789089987</v>
      </c>
      <c r="D147" s="1552">
        <f>'Input data'!D127</f>
        <v>48564316.261510797</v>
      </c>
      <c r="E147" s="1508">
        <f>'Input data'!J127*C147</f>
        <v>41343.900009308287</v>
      </c>
      <c r="F147" s="1509">
        <f>'Input data'!L127</f>
        <v>89908.216270819074</v>
      </c>
      <c r="G147" s="1557">
        <f>G137*(1-E5)</f>
        <v>23953.89792166539</v>
      </c>
      <c r="H147" s="1509">
        <f t="shared" si="121"/>
        <v>45344.818680667093</v>
      </c>
      <c r="I147" s="1511">
        <f t="shared" si="96"/>
        <v>48564.316261510794</v>
      </c>
      <c r="J147" s="1454">
        <f t="shared" si="122"/>
        <v>0.32189563198349985</v>
      </c>
      <c r="K147" s="1512">
        <f t="shared" si="123"/>
        <v>12643.617432529132</v>
      </c>
      <c r="L147" s="1512">
        <f t="shared" si="97"/>
        <v>0</v>
      </c>
      <c r="M147" s="1511">
        <f t="shared" si="124"/>
        <v>12643.617432529132</v>
      </c>
      <c r="N147" s="1454">
        <f>$C$27</f>
        <v>0.5</v>
      </c>
      <c r="O147" s="530">
        <f t="shared" si="98"/>
        <v>751.91700000000026</v>
      </c>
      <c r="P147" s="1481">
        <f t="shared" si="127"/>
        <v>13395.534432529132</v>
      </c>
      <c r="Q147" s="1364">
        <f t="shared" si="99"/>
        <v>55903.182169803353</v>
      </c>
      <c r="R147" s="1364">
        <f t="shared" si="125"/>
        <v>31949.284248137963</v>
      </c>
      <c r="S147" s="1514">
        <f t="shared" si="100"/>
        <v>1.3908222909983816</v>
      </c>
      <c r="T147" s="135" t="str">
        <f t="shared" si="101"/>
        <v>No</v>
      </c>
      <c r="U147" s="1514">
        <f t="shared" si="102"/>
        <v>1</v>
      </c>
      <c r="V147" s="1539">
        <f t="shared" si="95"/>
        <v>66936.709087680953</v>
      </c>
      <c r="W147" s="1540">
        <f t="shared" si="103"/>
        <v>0.25549953203324571</v>
      </c>
      <c r="X147" s="527">
        <f t="shared" si="104"/>
        <v>32931.674986665217</v>
      </c>
      <c r="Y147" s="1509">
        <f t="shared" si="105"/>
        <v>18943.383937802279</v>
      </c>
      <c r="Z147" s="1509">
        <f t="shared" si="106"/>
        <v>2620.2270434897314</v>
      </c>
      <c r="AA147" s="1509">
        <f t="shared" si="107"/>
        <v>0</v>
      </c>
      <c r="AB147" s="1509">
        <f t="shared" si="108"/>
        <v>12441.423119723731</v>
      </c>
      <c r="AC147" s="1509">
        <f t="shared" si="109"/>
        <v>66936.709087680953</v>
      </c>
      <c r="AD147" s="1554">
        <f t="shared" si="110"/>
        <v>8977.7770649998274</v>
      </c>
      <c r="AE147" s="1504">
        <f t="shared" si="111"/>
        <v>0.49198228349600726</v>
      </c>
      <c r="AF147" s="1504">
        <f t="shared" si="112"/>
        <v>0.28300441112197766</v>
      </c>
      <c r="AG147" s="1504">
        <f t="shared" si="113"/>
        <v>3.9144844125179115E-2</v>
      </c>
      <c r="AH147" s="1504">
        <f t="shared" si="126"/>
        <v>0</v>
      </c>
      <c r="AI147" s="1504">
        <f t="shared" si="114"/>
        <v>0.18586846125683604</v>
      </c>
      <c r="AJ147" s="1541">
        <f t="shared" si="115"/>
        <v>1</v>
      </c>
      <c r="AK147" s="1555">
        <f t="shared" si="116"/>
        <v>32931.674986665224</v>
      </c>
      <c r="AL147" s="1556">
        <f t="shared" si="117"/>
        <v>0</v>
      </c>
      <c r="AM147" s="1556">
        <f t="shared" si="118"/>
        <v>0</v>
      </c>
      <c r="AN147" s="1556">
        <f t="shared" si="119"/>
        <v>32931.674986665224</v>
      </c>
      <c r="AO147" s="1543">
        <f t="shared" si="120"/>
        <v>0</v>
      </c>
    </row>
    <row r="148" spans="1:41">
      <c r="A148" s="873">
        <f>'Input data'!A128</f>
        <v>2028</v>
      </c>
      <c r="B148" s="1551">
        <f>'Input data'!B128</f>
        <v>64.818788725428234</v>
      </c>
      <c r="C148" s="1550">
        <f>'Input data'!C128</f>
        <v>3485.2345926420976</v>
      </c>
      <c r="D148" s="1552">
        <f>'Input data'!D128</f>
        <v>48196370.991930716</v>
      </c>
      <c r="E148" s="1508">
        <f>'Input data'!J128*C148</f>
        <v>41931.01640422488</v>
      </c>
      <c r="F148" s="1509">
        <f>'Input data'!L128</f>
        <v>90127.387396155595</v>
      </c>
      <c r="G148" s="1557">
        <f>($G$152-$G$147)/($A$152-$A$147)+G147</f>
        <v>21900.706671236927</v>
      </c>
      <c r="H148" s="1509">
        <f t="shared" si="121"/>
        <v>47389.602428303828</v>
      </c>
      <c r="I148" s="1511">
        <f t="shared" si="96"/>
        <v>48196.370991930715</v>
      </c>
      <c r="J148" s="1454">
        <f t="shared" si="122"/>
        <v>0.34793042132233321</v>
      </c>
      <c r="K148" s="1512">
        <f t="shared" si="123"/>
        <v>13802.606022382932</v>
      </c>
      <c r="L148" s="1512">
        <f t="shared" si="97"/>
        <v>0</v>
      </c>
      <c r="M148" s="1511">
        <f t="shared" si="124"/>
        <v>13802.606022382932</v>
      </c>
      <c r="N148" s="1454">
        <f>N147</f>
        <v>0.5</v>
      </c>
      <c r="O148" s="530">
        <f t="shared" si="98"/>
        <v>751.91700000000026</v>
      </c>
      <c r="P148" s="1481">
        <f t="shared" si="127"/>
        <v>14554.523022382931</v>
      </c>
      <c r="Q148" s="1364">
        <f t="shared" si="99"/>
        <v>54735.786077157827</v>
      </c>
      <c r="R148" s="1364">
        <f t="shared" si="125"/>
        <v>32835.0794059209</v>
      </c>
      <c r="S148" s="1514">
        <f t="shared" si="100"/>
        <v>1.4087230854927477</v>
      </c>
      <c r="T148" s="135" t="str">
        <f t="shared" si="101"/>
        <v>No</v>
      </c>
      <c r="U148" s="1514">
        <f t="shared" si="102"/>
        <v>1</v>
      </c>
      <c r="V148" s="1539">
        <f t="shared" si="95"/>
        <v>66818.988645498554</v>
      </c>
      <c r="W148" s="1540">
        <f t="shared" si="103"/>
        <v>0.25861615901728963</v>
      </c>
      <c r="X148" s="527">
        <f t="shared" si="104"/>
        <v>31427.387326500782</v>
      </c>
      <c r="Y148" s="1509">
        <f t="shared" si="105"/>
        <v>20126.74151796319</v>
      </c>
      <c r="Z148" s="1509">
        <f t="shared" si="106"/>
        <v>2646.7585380287851</v>
      </c>
      <c r="AA148" s="1509">
        <f t="shared" si="107"/>
        <v>0</v>
      </c>
      <c r="AB148" s="1509">
        <f t="shared" si="108"/>
        <v>12618.101263005801</v>
      </c>
      <c r="AC148" s="1509">
        <f t="shared" si="109"/>
        <v>66818.988645498554</v>
      </c>
      <c r="AD148" s="1554">
        <f t="shared" si="110"/>
        <v>9526.6806552638554</v>
      </c>
      <c r="AE148" s="1504">
        <f t="shared" si="111"/>
        <v>0.47033617185132259</v>
      </c>
      <c r="AF148" s="1504">
        <f t="shared" si="112"/>
        <v>0.30121290258886735</v>
      </c>
      <c r="AG148" s="1504">
        <f t="shared" si="113"/>
        <v>3.9610873969836584E-2</v>
      </c>
      <c r="AH148" s="1504">
        <f t="shared" si="126"/>
        <v>0</v>
      </c>
      <c r="AI148" s="1504">
        <f t="shared" si="114"/>
        <v>0.18884005158997352</v>
      </c>
      <c r="AJ148" s="1541">
        <f t="shared" si="115"/>
        <v>1</v>
      </c>
      <c r="AK148" s="1555">
        <f t="shared" si="116"/>
        <v>31427.387326500779</v>
      </c>
      <c r="AL148" s="1556">
        <f t="shared" si="117"/>
        <v>0</v>
      </c>
      <c r="AM148" s="1556">
        <f t="shared" si="118"/>
        <v>0</v>
      </c>
      <c r="AN148" s="1556">
        <f t="shared" si="119"/>
        <v>31427.387326500779</v>
      </c>
      <c r="AO148" s="1543">
        <f t="shared" si="120"/>
        <v>0</v>
      </c>
    </row>
    <row r="149" spans="1:41">
      <c r="A149" s="873">
        <f>'Input data'!A129</f>
        <v>2029</v>
      </c>
      <c r="B149" s="1551">
        <f>'Input data'!B129</f>
        <v>65.435442210930105</v>
      </c>
      <c r="C149" s="1550">
        <f>'Input data'!C129</f>
        <v>3537.8042151577115</v>
      </c>
      <c r="D149" s="1552">
        <f>'Input data'!D129</f>
        <v>46504880.945737489</v>
      </c>
      <c r="E149" s="1508">
        <f>'Input data'!J129*C149</f>
        <v>42563.483931294577</v>
      </c>
      <c r="F149" s="1509">
        <f>'Input data'!L129</f>
        <v>89068.364877032058</v>
      </c>
      <c r="G149" s="1557">
        <f t="shared" ref="G149:G151" si="129">($G$152-$G$147)/($A$152-$A$147)+G148</f>
        <v>19847.515420808464</v>
      </c>
      <c r="H149" s="1509">
        <f t="shared" si="121"/>
        <v>48218.325389775106</v>
      </c>
      <c r="I149" s="1511">
        <f t="shared" si="96"/>
        <v>46504.880945737488</v>
      </c>
      <c r="J149" s="1454">
        <f t="shared" si="122"/>
        <v>0.37396521066116656</v>
      </c>
      <c r="K149" s="1512">
        <f t="shared" si="123"/>
        <v>14528.937343797616</v>
      </c>
      <c r="L149" s="1512">
        <f t="shared" si="97"/>
        <v>0</v>
      </c>
      <c r="M149" s="1511">
        <f t="shared" si="124"/>
        <v>14528.937343797616</v>
      </c>
      <c r="N149" s="1454">
        <f t="shared" ref="N149:N170" si="130">N148</f>
        <v>0.5</v>
      </c>
      <c r="O149" s="530">
        <f t="shared" si="98"/>
        <v>751.91700000000026</v>
      </c>
      <c r="P149" s="1481">
        <f t="shared" si="127"/>
        <v>15280.854343797615</v>
      </c>
      <c r="Q149" s="1364">
        <f t="shared" si="99"/>
        <v>52784.986466785951</v>
      </c>
      <c r="R149" s="1364">
        <f t="shared" si="125"/>
        <v>32937.471045977487</v>
      </c>
      <c r="S149" s="1514">
        <f t="shared" si="100"/>
        <v>1.391450946470024</v>
      </c>
      <c r="T149" s="135" t="str">
        <f t="shared" si="101"/>
        <v>No</v>
      </c>
      <c r="U149" s="1514">
        <f t="shared" si="102"/>
        <v>1</v>
      </c>
      <c r="V149" s="1539">
        <f t="shared" si="95"/>
        <v>65397.05175633842</v>
      </c>
      <c r="W149" s="1540">
        <f t="shared" si="103"/>
        <v>0.26576566386252065</v>
      </c>
      <c r="X149" s="527">
        <f t="shared" si="104"/>
        <v>29113.673346092295</v>
      </c>
      <c r="Y149" s="1509">
        <f t="shared" si="105"/>
        <v>20799.612276119413</v>
      </c>
      <c r="Z149" s="1509">
        <f t="shared" si="106"/>
        <v>2675.3394274160801</v>
      </c>
      <c r="AA149" s="1509">
        <f t="shared" si="107"/>
        <v>0</v>
      </c>
      <c r="AB149" s="1509">
        <f t="shared" si="108"/>
        <v>12808.426706710623</v>
      </c>
      <c r="AC149" s="1509">
        <f t="shared" si="109"/>
        <v>65397.05175633842</v>
      </c>
      <c r="AD149" s="1554">
        <f t="shared" si="110"/>
        <v>9266.157925283831</v>
      </c>
      <c r="AE149" s="1504">
        <f t="shared" si="111"/>
        <v>0.44518326995177632</v>
      </c>
      <c r="AF149" s="1504">
        <f t="shared" si="112"/>
        <v>0.31805122276178865</v>
      </c>
      <c r="AG149" s="1504">
        <f t="shared" si="113"/>
        <v>4.0909174887333977E-2</v>
      </c>
      <c r="AH149" s="1504">
        <f t="shared" si="126"/>
        <v>0</v>
      </c>
      <c r="AI149" s="1504">
        <f t="shared" si="114"/>
        <v>0.19585633239910091</v>
      </c>
      <c r="AJ149" s="1541">
        <f t="shared" si="115"/>
        <v>1</v>
      </c>
      <c r="AK149" s="1555">
        <f t="shared" si="116"/>
        <v>29113.673346092299</v>
      </c>
      <c r="AL149" s="1556">
        <f t="shared" si="117"/>
        <v>0</v>
      </c>
      <c r="AM149" s="1556">
        <f t="shared" si="118"/>
        <v>0</v>
      </c>
      <c r="AN149" s="1556">
        <f t="shared" si="119"/>
        <v>29113.673346092299</v>
      </c>
      <c r="AO149" s="1543">
        <f t="shared" si="120"/>
        <v>0</v>
      </c>
    </row>
    <row r="150" spans="1:41">
      <c r="A150" s="873">
        <f>'Input data'!A130</f>
        <v>2030</v>
      </c>
      <c r="B150" s="1551">
        <f>'Input data'!B130</f>
        <v>66.040790860694059</v>
      </c>
      <c r="C150" s="1550">
        <f>'Input data'!C130</f>
        <v>3601.1809165553482</v>
      </c>
      <c r="D150" s="1552">
        <f>'Input data'!D130</f>
        <v>44627656.242225982</v>
      </c>
      <c r="E150" s="1508">
        <f>'Input data'!J130*C150</f>
        <v>43325.971917486459</v>
      </c>
      <c r="F150" s="1509">
        <f>'Input data'!L130</f>
        <v>87953.628159712447</v>
      </c>
      <c r="G150" s="1557">
        <f t="shared" si="129"/>
        <v>17794.324170380001</v>
      </c>
      <c r="H150" s="1509">
        <f t="shared" si="121"/>
        <v>48947.351907220887</v>
      </c>
      <c r="I150" s="1511">
        <f t="shared" si="96"/>
        <v>44627.656242225981</v>
      </c>
      <c r="J150" s="1454">
        <f>$H$19</f>
        <v>0.4</v>
      </c>
      <c r="K150" s="1512">
        <f t="shared" si="123"/>
        <v>15104.331176378935</v>
      </c>
      <c r="L150" s="1512">
        <f t="shared" si="97"/>
        <v>0</v>
      </c>
      <c r="M150" s="1511">
        <f t="shared" si="124"/>
        <v>15104.331176378935</v>
      </c>
      <c r="N150" s="1454">
        <f t="shared" si="130"/>
        <v>0.5</v>
      </c>
      <c r="O150" s="530">
        <f t="shared" si="98"/>
        <v>751.91700000000026</v>
      </c>
      <c r="P150" s="1481">
        <f t="shared" si="127"/>
        <v>15856.248176378935</v>
      </c>
      <c r="Q150" s="1364">
        <f t="shared" si="99"/>
        <v>50885.427901221956</v>
      </c>
      <c r="R150" s="1364">
        <f t="shared" si="125"/>
        <v>33091.103730841955</v>
      </c>
      <c r="S150" s="1514">
        <f t="shared" si="100"/>
        <v>1.3725717103065513</v>
      </c>
      <c r="T150" s="135" t="str">
        <f t="shared" si="101"/>
        <v>No</v>
      </c>
      <c r="U150" s="1514">
        <f t="shared" si="102"/>
        <v>1</v>
      </c>
      <c r="V150" s="1539">
        <f t="shared" si="95"/>
        <v>63844.794003826071</v>
      </c>
      <c r="W150" s="1540">
        <f t="shared" si="103"/>
        <v>0.27410846670370259</v>
      </c>
      <c r="X150" s="527">
        <f t="shared" si="104"/>
        <v>26776.593745335587</v>
      </c>
      <c r="Y150" s="1509">
        <f t="shared" si="105"/>
        <v>21320.525793990855</v>
      </c>
      <c r="Z150" s="1509">
        <f t="shared" si="106"/>
        <v>2709.795875944686</v>
      </c>
      <c r="AA150" s="1509">
        <f t="shared" si="107"/>
        <v>0</v>
      </c>
      <c r="AB150" s="1509">
        <f t="shared" si="108"/>
        <v>13037.878588554946</v>
      </c>
      <c r="AC150" s="1509">
        <f t="shared" si="109"/>
        <v>63844.794003826071</v>
      </c>
      <c r="AD150" s="1554">
        <f t="shared" si="110"/>
        <v>8982.269574955586</v>
      </c>
      <c r="AE150" s="1504">
        <f t="shared" si="111"/>
        <v>0.41940136487449436</v>
      </c>
      <c r="AF150" s="1504">
        <f t="shared" si="112"/>
        <v>0.33394305873573915</v>
      </c>
      <c r="AG150" s="1504">
        <f t="shared" si="113"/>
        <v>4.2443490001429003E-2</v>
      </c>
      <c r="AH150" s="1504">
        <f t="shared" si="126"/>
        <v>0</v>
      </c>
      <c r="AI150" s="1504">
        <f t="shared" si="114"/>
        <v>0.20421208638833757</v>
      </c>
      <c r="AJ150" s="1541">
        <f t="shared" si="115"/>
        <v>1.0000000000000002</v>
      </c>
      <c r="AK150" s="1555">
        <f t="shared" si="116"/>
        <v>26776.593745335584</v>
      </c>
      <c r="AL150" s="1556">
        <f t="shared" si="117"/>
        <v>0</v>
      </c>
      <c r="AM150" s="1556">
        <f t="shared" si="118"/>
        <v>0</v>
      </c>
      <c r="AN150" s="1556">
        <f t="shared" si="119"/>
        <v>26776.593745335584</v>
      </c>
      <c r="AO150" s="1543">
        <f t="shared" si="120"/>
        <v>0</v>
      </c>
    </row>
    <row r="151" spans="1:41">
      <c r="A151" s="873">
        <f>'Input data'!A131</f>
        <v>2031</v>
      </c>
      <c r="B151" s="1551">
        <f>'Input data'!B131</f>
        <v>66.6344094187031</v>
      </c>
      <c r="C151" s="1550">
        <f>'Input data'!C131</f>
        <v>3689.3743282354972</v>
      </c>
      <c r="D151" s="1552">
        <f>'Input data'!D131</f>
        <v>43830165.240535274</v>
      </c>
      <c r="E151" s="1508">
        <f>'Input data'!J131*C151</f>
        <v>44387.030877394653</v>
      </c>
      <c r="F151" s="1509">
        <f>'Input data'!L131</f>
        <v>88217.196117929925</v>
      </c>
      <c r="G151" s="1557">
        <f t="shared" si="129"/>
        <v>15741.132919951538</v>
      </c>
      <c r="H151" s="1509">
        <f t="shared" si="121"/>
        <v>50860.979109321393</v>
      </c>
      <c r="I151" s="1511">
        <f t="shared" si="96"/>
        <v>43830.165240535272</v>
      </c>
      <c r="J151" s="1454">
        <f>J150</f>
        <v>0.4</v>
      </c>
      <c r="K151" s="1512">
        <f t="shared" si="123"/>
        <v>14834.418543406706</v>
      </c>
      <c r="L151" s="1512">
        <f t="shared" si="97"/>
        <v>0</v>
      </c>
      <c r="M151" s="1511">
        <f t="shared" si="124"/>
        <v>14834.418543406706</v>
      </c>
      <c r="N151" s="1454">
        <f t="shared" si="130"/>
        <v>0.5</v>
      </c>
      <c r="O151" s="530">
        <f t="shared" si="98"/>
        <v>751.91700000000026</v>
      </c>
      <c r="P151" s="1481">
        <f t="shared" si="127"/>
        <v>15586.335543406705</v>
      </c>
      <c r="Q151" s="1364">
        <f t="shared" si="99"/>
        <v>51015.776485866227</v>
      </c>
      <c r="R151" s="1364">
        <f t="shared" si="125"/>
        <v>35274.643565914688</v>
      </c>
      <c r="S151" s="1514">
        <f t="shared" si="100"/>
        <v>1.4271018703940135</v>
      </c>
      <c r="T151" s="135" t="str">
        <f t="shared" si="101"/>
        <v>No</v>
      </c>
      <c r="U151" s="1514">
        <f t="shared" si="102"/>
        <v>1</v>
      </c>
      <c r="V151" s="1539">
        <f t="shared" si="95"/>
        <v>63499.518776384873</v>
      </c>
      <c r="W151" s="1540">
        <f t="shared" si="103"/>
        <v>0.28019114672951217</v>
      </c>
      <c r="X151" s="527">
        <f t="shared" si="104"/>
        <v>26298.099144321164</v>
      </c>
      <c r="Y151" s="1509">
        <f t="shared" si="105"/>
        <v>21086.497022534106</v>
      </c>
      <c r="Z151" s="1509">
        <f t="shared" si="106"/>
        <v>2757.7445965802553</v>
      </c>
      <c r="AA151" s="1509">
        <f t="shared" si="107"/>
        <v>0</v>
      </c>
      <c r="AB151" s="1509">
        <f t="shared" si="108"/>
        <v>13357.178012949347</v>
      </c>
      <c r="AC151" s="1509">
        <f t="shared" si="109"/>
        <v>63499.518776384873</v>
      </c>
      <c r="AD151" s="1554">
        <f t="shared" si="110"/>
        <v>10556.966224369626</v>
      </c>
      <c r="AE151" s="1504">
        <f t="shared" si="111"/>
        <v>0.41414643214747138</v>
      </c>
      <c r="AF151" s="1504">
        <f t="shared" si="112"/>
        <v>0.33207333581205123</v>
      </c>
      <c r="AG151" s="1504">
        <f t="shared" si="113"/>
        <v>4.3429377886968268E-2</v>
      </c>
      <c r="AH151" s="1504">
        <f t="shared" si="126"/>
        <v>0</v>
      </c>
      <c r="AI151" s="1504">
        <f t="shared" si="114"/>
        <v>0.2103508541535091</v>
      </c>
      <c r="AJ151" s="1541">
        <f t="shared" si="115"/>
        <v>1</v>
      </c>
      <c r="AK151" s="1555">
        <f t="shared" si="116"/>
        <v>26298.099144321168</v>
      </c>
      <c r="AL151" s="1556">
        <f t="shared" si="117"/>
        <v>0</v>
      </c>
      <c r="AM151" s="1556">
        <f t="shared" si="118"/>
        <v>0</v>
      </c>
      <c r="AN151" s="1556">
        <f t="shared" si="119"/>
        <v>26298.099144321168</v>
      </c>
      <c r="AO151" s="1543">
        <f t="shared" si="120"/>
        <v>0</v>
      </c>
    </row>
    <row r="152" spans="1:41">
      <c r="A152" s="873">
        <f>'Input data'!A132</f>
        <v>2032</v>
      </c>
      <c r="B152" s="1551">
        <f>'Input data'!B132</f>
        <v>67.215877817791679</v>
      </c>
      <c r="C152" s="1550">
        <f>'Input data'!C132</f>
        <v>3770.9504220066083</v>
      </c>
      <c r="D152" s="1552">
        <f>'Input data'!D132</f>
        <v>42600148.259036541</v>
      </c>
      <c r="E152" s="1508">
        <f>'Input data'!J132*C152</f>
        <v>45368.476583612086</v>
      </c>
      <c r="F152" s="1509">
        <f>'Input data'!L132</f>
        <v>87968.624842648627</v>
      </c>
      <c r="G152" s="1557">
        <f>G137*(1-E6)</f>
        <v>13687.941669523079</v>
      </c>
      <c r="H152" s="1509">
        <f t="shared" si="121"/>
        <v>52323.018675761326</v>
      </c>
      <c r="I152" s="1511">
        <f t="shared" si="96"/>
        <v>42600.148259036541</v>
      </c>
      <c r="J152" s="1454">
        <f t="shared" ref="J152:J170" si="131">J151</f>
        <v>0.4</v>
      </c>
      <c r="K152" s="1512">
        <f t="shared" si="123"/>
        <v>14418.116514452113</v>
      </c>
      <c r="L152" s="1512">
        <f t="shared" si="97"/>
        <v>0</v>
      </c>
      <c r="M152" s="1511">
        <f t="shared" si="124"/>
        <v>14418.116514452113</v>
      </c>
      <c r="N152" s="1454">
        <f t="shared" si="130"/>
        <v>0.5</v>
      </c>
      <c r="O152" s="530">
        <f t="shared" si="98"/>
        <v>751.91700000000026</v>
      </c>
      <c r="P152" s="1481">
        <f t="shared" si="127"/>
        <v>15170.033514452112</v>
      </c>
      <c r="Q152" s="1364">
        <f t="shared" si="99"/>
        <v>50840.926830832293</v>
      </c>
      <c r="R152" s="1364">
        <f t="shared" si="125"/>
        <v>37152.985161309218</v>
      </c>
      <c r="S152" s="1514">
        <f t="shared" si="100"/>
        <v>1.4696105146675695</v>
      </c>
      <c r="T152" s="135" t="str">
        <f t="shared" si="101"/>
        <v>No</v>
      </c>
      <c r="U152" s="1514">
        <f t="shared" si="102"/>
        <v>1</v>
      </c>
      <c r="V152" s="1539">
        <f t="shared" si="95"/>
        <v>62687.78696723828</v>
      </c>
      <c r="W152" s="1540">
        <f t="shared" si="103"/>
        <v>0.28738471154494827</v>
      </c>
      <c r="X152" s="527">
        <f t="shared" si="104"/>
        <v>25560.088955421925</v>
      </c>
      <c r="Y152" s="1509">
        <f t="shared" si="105"/>
        <v>20673.082577783225</v>
      </c>
      <c r="Z152" s="1509">
        <f t="shared" si="106"/>
        <v>2802.0956343307598</v>
      </c>
      <c r="AA152" s="1509">
        <f t="shared" si="107"/>
        <v>0</v>
      </c>
      <c r="AB152" s="1509">
        <f t="shared" si="108"/>
        <v>13652.519799702362</v>
      </c>
      <c r="AC152" s="1509">
        <f t="shared" si="109"/>
        <v>62687.78696723828</v>
      </c>
      <c r="AD152" s="1554">
        <f t="shared" si="110"/>
        <v>11872.147285898845</v>
      </c>
      <c r="AE152" s="1504">
        <f t="shared" si="111"/>
        <v>0.40773634214875171</v>
      </c>
      <c r="AF152" s="1504">
        <f t="shared" si="112"/>
        <v>0.32977847165967644</v>
      </c>
      <c r="AG152" s="1504">
        <f t="shared" si="113"/>
        <v>4.4699227232174961E-2</v>
      </c>
      <c r="AH152" s="1504">
        <f t="shared" si="126"/>
        <v>0</v>
      </c>
      <c r="AI152" s="1504">
        <f t="shared" si="114"/>
        <v>0.21778595895939676</v>
      </c>
      <c r="AJ152" s="1541">
        <f t="shared" si="115"/>
        <v>1</v>
      </c>
      <c r="AK152" s="1555">
        <f t="shared" si="116"/>
        <v>25560.088955421925</v>
      </c>
      <c r="AL152" s="1556">
        <f t="shared" si="117"/>
        <v>0</v>
      </c>
      <c r="AM152" s="1556">
        <f t="shared" si="118"/>
        <v>0</v>
      </c>
      <c r="AN152" s="1556">
        <f t="shared" si="119"/>
        <v>25560.088955421925</v>
      </c>
      <c r="AO152" s="1543">
        <f t="shared" si="120"/>
        <v>0</v>
      </c>
    </row>
    <row r="153" spans="1:41">
      <c r="A153" s="873">
        <f>'Input data'!A133</f>
        <v>2033</v>
      </c>
      <c r="B153" s="1551">
        <f>'Input data'!B133</f>
        <v>67.784781669940756</v>
      </c>
      <c r="C153" s="1550">
        <f>'Input data'!C133</f>
        <v>3867.5085984126213</v>
      </c>
      <c r="D153" s="1552">
        <f>'Input data'!D133</f>
        <v>41720520.537816472</v>
      </c>
      <c r="E153" s="1508">
        <f>'Input data'!J133*C153</f>
        <v>46530.172409594707</v>
      </c>
      <c r="F153" s="1509">
        <f>'Input data'!L133</f>
        <v>88250.692947411182</v>
      </c>
      <c r="G153" s="1557">
        <f>G152</f>
        <v>13687.941669523079</v>
      </c>
      <c r="H153" s="1509">
        <f t="shared" si="121"/>
        <v>52164.119387508428</v>
      </c>
      <c r="I153" s="1511">
        <f t="shared" si="96"/>
        <v>41720.520537816476</v>
      </c>
      <c r="J153" s="1454">
        <f t="shared" si="131"/>
        <v>0.4</v>
      </c>
      <c r="K153" s="1512">
        <f t="shared" si="123"/>
        <v>14120.4045230108</v>
      </c>
      <c r="L153" s="1512">
        <f t="shared" si="97"/>
        <v>0</v>
      </c>
      <c r="M153" s="1511">
        <f t="shared" si="124"/>
        <v>14120.4045230108</v>
      </c>
      <c r="N153" s="1454">
        <f t="shared" si="130"/>
        <v>0.5</v>
      </c>
      <c r="O153" s="530">
        <f t="shared" si="98"/>
        <v>751.91700000000026</v>
      </c>
      <c r="P153" s="1481">
        <f t="shared" si="127"/>
        <v>14872.3215230108</v>
      </c>
      <c r="Q153" s="1364">
        <f t="shared" si="99"/>
        <v>50979.7395340207</v>
      </c>
      <c r="R153" s="1364">
        <f t="shared" si="125"/>
        <v>37291.797864497625</v>
      </c>
      <c r="S153" s="1514">
        <f t="shared" si="100"/>
        <v>1.4372059919764573</v>
      </c>
      <c r="T153" s="135" t="str">
        <f t="shared" si="101"/>
        <v>No</v>
      </c>
      <c r="U153" s="1514">
        <f t="shared" si="102"/>
        <v>1</v>
      </c>
      <c r="V153" s="1539">
        <f t="shared" si="95"/>
        <v>62303.265736080364</v>
      </c>
      <c r="W153" s="1540">
        <f t="shared" si="103"/>
        <v>0.29401952941936627</v>
      </c>
      <c r="X153" s="527">
        <f t="shared" si="104"/>
        <v>25032.312322689886</v>
      </c>
      <c r="Y153" s="1509">
        <f t="shared" si="105"/>
        <v>20414.257931686781</v>
      </c>
      <c r="Z153" s="1509">
        <f t="shared" si="106"/>
        <v>2854.5920843191443</v>
      </c>
      <c r="AA153" s="1509">
        <f t="shared" si="107"/>
        <v>0</v>
      </c>
      <c r="AB153" s="1509">
        <f t="shared" si="108"/>
        <v>14002.103397384553</v>
      </c>
      <c r="AC153" s="1509">
        <f t="shared" si="109"/>
        <v>62303.265736080364</v>
      </c>
      <c r="AD153" s="1554">
        <f t="shared" si="110"/>
        <v>11344.370653166807</v>
      </c>
      <c r="AE153" s="1504">
        <f t="shared" si="111"/>
        <v>0.40178170481027381</v>
      </c>
      <c r="AF153" s="1504">
        <f t="shared" si="112"/>
        <v>0.32765951656792058</v>
      </c>
      <c r="AG153" s="1504">
        <f t="shared" si="113"/>
        <v>4.5817695920007367E-2</v>
      </c>
      <c r="AH153" s="1504">
        <f t="shared" si="126"/>
        <v>0</v>
      </c>
      <c r="AI153" s="1504">
        <f t="shared" si="114"/>
        <v>0.22474108270179829</v>
      </c>
      <c r="AJ153" s="1541">
        <f t="shared" si="115"/>
        <v>1.0000000000000002</v>
      </c>
      <c r="AK153" s="1555">
        <f t="shared" si="116"/>
        <v>25032.312322689882</v>
      </c>
      <c r="AL153" s="1556">
        <f t="shared" si="117"/>
        <v>0</v>
      </c>
      <c r="AM153" s="1556">
        <f t="shared" si="118"/>
        <v>0</v>
      </c>
      <c r="AN153" s="1556">
        <f t="shared" si="119"/>
        <v>25032.312322689882</v>
      </c>
      <c r="AO153" s="1543">
        <f t="shared" si="120"/>
        <v>0</v>
      </c>
    </row>
    <row r="154" spans="1:41">
      <c r="A154" s="873">
        <f>'Input data'!A134</f>
        <v>2034</v>
      </c>
      <c r="B154" s="1551">
        <f>'Input data'!B134</f>
        <v>68.342055626742408</v>
      </c>
      <c r="C154" s="1550">
        <f>'Input data'!C134</f>
        <v>3988.7128287659275</v>
      </c>
      <c r="D154" s="1552">
        <f>'Input data'!D134</f>
        <v>41169489.630995624</v>
      </c>
      <c r="E154" s="1508">
        <f>'Input data'!J134*C154</f>
        <v>47988.386035138115</v>
      </c>
      <c r="F154" s="1509">
        <f>'Input data'!L134</f>
        <v>89157.875666133739</v>
      </c>
      <c r="G154" s="1557">
        <f t="shared" ref="G154:G170" si="132">G153</f>
        <v>13687.941669523079</v>
      </c>
      <c r="H154" s="1509">
        <f t="shared" si="121"/>
        <v>52483.736547336375</v>
      </c>
      <c r="I154" s="1511">
        <f t="shared" si="96"/>
        <v>41169.489630995624</v>
      </c>
      <c r="J154" s="1454">
        <f t="shared" si="131"/>
        <v>0.4</v>
      </c>
      <c r="K154" s="1512">
        <f t="shared" si="123"/>
        <v>13933.906866493327</v>
      </c>
      <c r="L154" s="1512">
        <f t="shared" si="97"/>
        <v>0</v>
      </c>
      <c r="M154" s="1511">
        <f t="shared" si="124"/>
        <v>13933.906866493327</v>
      </c>
      <c r="N154" s="1454">
        <f t="shared" si="130"/>
        <v>0.5</v>
      </c>
      <c r="O154" s="530">
        <f t="shared" si="98"/>
        <v>751.91700000000026</v>
      </c>
      <c r="P154" s="1481">
        <f t="shared" si="127"/>
        <v>14685.823866493327</v>
      </c>
      <c r="Q154" s="1364">
        <f t="shared" si="99"/>
        <v>51485.85435036612</v>
      </c>
      <c r="R154" s="1364">
        <f t="shared" si="125"/>
        <v>37797.912680843045</v>
      </c>
      <c r="S154" s="1514">
        <f t="shared" si="100"/>
        <v>1.4112039307546229</v>
      </c>
      <c r="T154" s="135" t="str">
        <f t="shared" si="101"/>
        <v>No</v>
      </c>
      <c r="U154" s="1514">
        <f t="shared" si="102"/>
        <v>1</v>
      </c>
      <c r="V154" s="1539">
        <f t="shared" si="95"/>
        <v>62373.715094365005</v>
      </c>
      <c r="W154" s="1540">
        <f t="shared" si="103"/>
        <v>0.3004127271051904</v>
      </c>
      <c r="X154" s="527">
        <f t="shared" si="104"/>
        <v>24701.693778597375</v>
      </c>
      <c r="Y154" s="1509">
        <f t="shared" si="105"/>
        <v>20310.616605573381</v>
      </c>
      <c r="Z154" s="1509">
        <f t="shared" si="106"/>
        <v>2920.4880245072482</v>
      </c>
      <c r="AA154" s="1509">
        <f t="shared" si="107"/>
        <v>0</v>
      </c>
      <c r="AB154" s="1509">
        <f t="shared" si="108"/>
        <v>14440.916685686996</v>
      </c>
      <c r="AC154" s="1509">
        <f t="shared" si="109"/>
        <v>62373.715094365005</v>
      </c>
      <c r="AD154" s="1554">
        <f t="shared" si="110"/>
        <v>11013.752109074296</v>
      </c>
      <c r="AE154" s="1504">
        <f t="shared" si="111"/>
        <v>0.39602729677439058</v>
      </c>
      <c r="AF154" s="1504">
        <f t="shared" si="112"/>
        <v>0.32562781573689353</v>
      </c>
      <c r="AG154" s="1504">
        <f t="shared" si="113"/>
        <v>4.6822415821934776E-2</v>
      </c>
      <c r="AH154" s="1504">
        <f t="shared" si="126"/>
        <v>0</v>
      </c>
      <c r="AI154" s="1504">
        <f t="shared" si="114"/>
        <v>0.23152247166678105</v>
      </c>
      <c r="AJ154" s="1541">
        <f t="shared" si="115"/>
        <v>1</v>
      </c>
      <c r="AK154" s="1555">
        <f t="shared" si="116"/>
        <v>24701.693778597371</v>
      </c>
      <c r="AL154" s="1556">
        <f t="shared" si="117"/>
        <v>0</v>
      </c>
      <c r="AM154" s="1556">
        <f t="shared" si="118"/>
        <v>0</v>
      </c>
      <c r="AN154" s="1556">
        <f t="shared" si="119"/>
        <v>24701.693778597371</v>
      </c>
      <c r="AO154" s="1543">
        <f t="shared" si="120"/>
        <v>0</v>
      </c>
    </row>
    <row r="155" spans="1:41">
      <c r="A155" s="873">
        <f>'Input data'!A135</f>
        <v>2035</v>
      </c>
      <c r="B155" s="1551">
        <f>'Input data'!B135</f>
        <v>68.88733085860035</v>
      </c>
      <c r="C155" s="1550">
        <f>'Input data'!C135</f>
        <v>4088.0370257470286</v>
      </c>
      <c r="D155" s="1552">
        <f>'Input data'!D135</f>
        <v>33008995.481321324</v>
      </c>
      <c r="E155" s="1508">
        <f>'Input data'!J135*C155</f>
        <v>49183.359980864327</v>
      </c>
      <c r="F155" s="1509">
        <f>'Input data'!L135</f>
        <v>82192.35546218566</v>
      </c>
      <c r="G155" s="1557">
        <f t="shared" si="132"/>
        <v>13687.941669523079</v>
      </c>
      <c r="H155" s="1509">
        <f t="shared" si="121"/>
        <v>45511.186916354491</v>
      </c>
      <c r="I155" s="1511">
        <f t="shared" si="96"/>
        <v>33008.995481321326</v>
      </c>
      <c r="J155" s="1454">
        <f t="shared" si="131"/>
        <v>0.4</v>
      </c>
      <c r="K155" s="1512">
        <f t="shared" si="123"/>
        <v>11171.969167355144</v>
      </c>
      <c r="L155" s="1512">
        <f t="shared" si="97"/>
        <v>0</v>
      </c>
      <c r="M155" s="1511">
        <f t="shared" si="124"/>
        <v>11171.969167355144</v>
      </c>
      <c r="N155" s="1454">
        <f t="shared" si="130"/>
        <v>0.5</v>
      </c>
      <c r="O155" s="530">
        <f t="shared" si="98"/>
        <v>751.91700000000026</v>
      </c>
      <c r="P155" s="1481">
        <f t="shared" si="127"/>
        <v>11923.886167355144</v>
      </c>
      <c r="Q155" s="1364">
        <f t="shared" si="99"/>
        <v>47275.242418522423</v>
      </c>
      <c r="R155" s="1364">
        <f t="shared" si="125"/>
        <v>33587.300748999347</v>
      </c>
      <c r="S155" s="1514">
        <f t="shared" si="100"/>
        <v>1.222697128082787</v>
      </c>
      <c r="T155" s="135" t="str">
        <f t="shared" si="101"/>
        <v>No</v>
      </c>
      <c r="U155" s="1514">
        <f t="shared" si="102"/>
        <v>1</v>
      </c>
      <c r="V155" s="1539">
        <f t="shared" si="95"/>
        <v>54722.51033245604</v>
      </c>
      <c r="W155" s="1540">
        <f t="shared" si="103"/>
        <v>0.3342141124349175</v>
      </c>
      <c r="X155" s="527">
        <f t="shared" si="104"/>
        <v>19805.397288792796</v>
      </c>
      <c r="Y155" s="1509">
        <f t="shared" si="105"/>
        <v>17142.110238067151</v>
      </c>
      <c r="Z155" s="1509">
        <f t="shared" si="106"/>
        <v>2974.4882959863826</v>
      </c>
      <c r="AA155" s="1509">
        <f t="shared" si="107"/>
        <v>0</v>
      </c>
      <c r="AB155" s="1509">
        <f t="shared" si="108"/>
        <v>14800.514509609711</v>
      </c>
      <c r="AC155" s="1509">
        <f t="shared" si="109"/>
        <v>54722.51033245604</v>
      </c>
      <c r="AD155" s="1554">
        <f t="shared" si="110"/>
        <v>6117.4556192697164</v>
      </c>
      <c r="AE155" s="1504">
        <f t="shared" si="111"/>
        <v>0.36192413631006565</v>
      </c>
      <c r="AF155" s="1504">
        <f t="shared" si="112"/>
        <v>0.31325518756218551</v>
      </c>
      <c r="AG155" s="1504">
        <f t="shared" si="113"/>
        <v>5.4355845115939556E-2</v>
      </c>
      <c r="AH155" s="1504">
        <f t="shared" si="126"/>
        <v>0</v>
      </c>
      <c r="AI155" s="1504">
        <f t="shared" si="114"/>
        <v>0.27046483101180929</v>
      </c>
      <c r="AJ155" s="1541">
        <f t="shared" si="115"/>
        <v>1</v>
      </c>
      <c r="AK155" s="1555">
        <f t="shared" si="116"/>
        <v>19805.397288792796</v>
      </c>
      <c r="AL155" s="1556">
        <f t="shared" si="117"/>
        <v>0</v>
      </c>
      <c r="AM155" s="1556">
        <f t="shared" si="118"/>
        <v>0</v>
      </c>
      <c r="AN155" s="1556">
        <f t="shared" si="119"/>
        <v>19805.397288792796</v>
      </c>
      <c r="AO155" s="1543">
        <f t="shared" si="120"/>
        <v>0</v>
      </c>
    </row>
    <row r="156" spans="1:41">
      <c r="A156" s="873">
        <f>'Input data'!A136</f>
        <v>2036</v>
      </c>
      <c r="B156" s="1551">
        <f>'Input data'!B136</f>
        <v>69.420244147098416</v>
      </c>
      <c r="C156" s="1550">
        <f>'Input data'!C136</f>
        <v>4188.173572206083</v>
      </c>
      <c r="D156" s="1552">
        <f>'Input data'!D136</f>
        <v>23988684.664399058</v>
      </c>
      <c r="E156" s="1508">
        <f>'Input data'!J136*C156</f>
        <v>50388.107340224713</v>
      </c>
      <c r="F156" s="1509">
        <f>'Input data'!L136</f>
        <v>74376.79200462377</v>
      </c>
      <c r="G156" s="1557">
        <f t="shared" si="132"/>
        <v>13687.941669523079</v>
      </c>
      <c r="H156" s="1509">
        <f t="shared" si="121"/>
        <v>37737.348443927622</v>
      </c>
      <c r="I156" s="1511">
        <f t="shared" si="96"/>
        <v>23988.684664399058</v>
      </c>
      <c r="J156" s="1454">
        <f t="shared" si="131"/>
        <v>0.4</v>
      </c>
      <c r="K156" s="1512">
        <f>(I156)*J156-(I156)*$J$137</f>
        <v>8119.0245727933179</v>
      </c>
      <c r="L156" s="1512">
        <f t="shared" si="97"/>
        <v>0</v>
      </c>
      <c r="M156" s="1511">
        <f t="shared" si="124"/>
        <v>8119.0245727933179</v>
      </c>
      <c r="N156" s="1454">
        <f t="shared" si="130"/>
        <v>0.5</v>
      </c>
      <c r="O156" s="530">
        <f t="shared" si="98"/>
        <v>751.91700000000026</v>
      </c>
      <c r="P156" s="1481">
        <f t="shared" si="127"/>
        <v>8870.9415727933174</v>
      </c>
      <c r="Q156" s="1364">
        <f t="shared" si="99"/>
        <v>42554.348540657382</v>
      </c>
      <c r="R156" s="1364">
        <f t="shared" si="125"/>
        <v>28866.406871134302</v>
      </c>
      <c r="S156" s="1514">
        <f t="shared" si="100"/>
        <v>1.0250440566562782</v>
      </c>
      <c r="T156" s="135" t="str">
        <f t="shared" si="101"/>
        <v>No</v>
      </c>
      <c r="U156" s="1514">
        <f t="shared" si="102"/>
        <v>1</v>
      </c>
      <c r="V156" s="1539">
        <f t="shared" si="95"/>
        <v>46215.654262605836</v>
      </c>
      <c r="W156" s="1540">
        <f t="shared" si="103"/>
        <v>0.37862802337948709</v>
      </c>
      <c r="X156" s="527">
        <f t="shared" si="104"/>
        <v>14393.210798639435</v>
      </c>
      <c r="Y156" s="1509">
        <f t="shared" si="105"/>
        <v>13630.459840458792</v>
      </c>
      <c r="Z156" s="1509">
        <f t="shared" si="106"/>
        <v>3028.9302231111574</v>
      </c>
      <c r="AA156" s="1509">
        <f t="shared" si="107"/>
        <v>0</v>
      </c>
      <c r="AB156" s="1509">
        <f t="shared" si="108"/>
        <v>15163.053400396448</v>
      </c>
      <c r="AC156" s="1509">
        <f t="shared" si="109"/>
        <v>46215.654262605836</v>
      </c>
      <c r="AD156" s="1554">
        <f t="shared" si="110"/>
        <v>705.26912911635554</v>
      </c>
      <c r="AE156" s="1504">
        <f t="shared" si="111"/>
        <v>0.31143583334024805</v>
      </c>
      <c r="AF156" s="1504">
        <f t="shared" si="112"/>
        <v>0.29493166456127651</v>
      </c>
      <c r="AG156" s="1504">
        <f t="shared" si="113"/>
        <v>6.5539053193972324E-2</v>
      </c>
      <c r="AH156" s="1504">
        <f t="shared" si="126"/>
        <v>0</v>
      </c>
      <c r="AI156" s="1504">
        <f t="shared" si="114"/>
        <v>0.32809344890450309</v>
      </c>
      <c r="AJ156" s="1541">
        <f t="shared" si="115"/>
        <v>1</v>
      </c>
      <c r="AK156" s="1555">
        <f t="shared" si="116"/>
        <v>14393.210798639437</v>
      </c>
      <c r="AL156" s="1556">
        <f t="shared" si="117"/>
        <v>0</v>
      </c>
      <c r="AM156" s="1556">
        <f t="shared" si="118"/>
        <v>0</v>
      </c>
      <c r="AN156" s="1556">
        <f t="shared" si="119"/>
        <v>14393.210798639437</v>
      </c>
      <c r="AO156" s="1543">
        <f t="shared" si="120"/>
        <v>0</v>
      </c>
    </row>
    <row r="157" spans="1:41">
      <c r="A157" s="873">
        <f>'Input data'!A137</f>
        <v>2037</v>
      </c>
      <c r="B157" s="1551">
        <f>'Input data'!B137</f>
        <v>69.940438284968707</v>
      </c>
      <c r="C157" s="1550">
        <f>'Input data'!C137</f>
        <v>4308.5353934667492</v>
      </c>
      <c r="D157" s="1552">
        <f>'Input data'!D137</f>
        <v>19936802.299321227</v>
      </c>
      <c r="E157" s="1508">
        <f>'Input data'!J137*C157</f>
        <v>51836.185903538128</v>
      </c>
      <c r="F157" s="1509">
        <f>'Input data'!L137</f>
        <v>71772.988202859357</v>
      </c>
      <c r="G157" s="1557">
        <f t="shared" si="132"/>
        <v>13687.941669523079</v>
      </c>
      <c r="H157" s="1509">
        <f t="shared" si="121"/>
        <v>34765.768065045311</v>
      </c>
      <c r="I157" s="1511">
        <f t="shared" si="96"/>
        <v>19936.802299321225</v>
      </c>
      <c r="J157" s="1454">
        <f t="shared" si="131"/>
        <v>0.4</v>
      </c>
      <c r="K157" s="1512">
        <f t="shared" si="123"/>
        <v>6747.6558233863598</v>
      </c>
      <c r="L157" s="1512">
        <f t="shared" si="97"/>
        <v>0</v>
      </c>
      <c r="M157" s="1511">
        <f t="shared" si="124"/>
        <v>6747.6558233863598</v>
      </c>
      <c r="N157" s="1454">
        <f t="shared" si="130"/>
        <v>0.5</v>
      </c>
      <c r="O157" s="530">
        <f t="shared" si="98"/>
        <v>751.91700000000026</v>
      </c>
      <c r="P157" s="1481">
        <f t="shared" si="127"/>
        <v>7499.5728233863601</v>
      </c>
      <c r="Q157" s="1364">
        <f t="shared" si="99"/>
        <v>40954.136911182024</v>
      </c>
      <c r="R157" s="1364">
        <f t="shared" si="125"/>
        <v>27266.195241658945</v>
      </c>
      <c r="S157" s="1514">
        <f t="shared" si="100"/>
        <v>0.94047126848077833</v>
      </c>
      <c r="T157" s="135" t="str">
        <f t="shared" si="101"/>
        <v>Yes</v>
      </c>
      <c r="U157" s="1514">
        <f t="shared" si="102"/>
        <v>0.94047126848077833</v>
      </c>
      <c r="V157" s="1539">
        <f t="shared" si="95"/>
        <v>44506.792961200408</v>
      </c>
      <c r="W157" s="1540">
        <f t="shared" si="103"/>
        <v>0.37989494271290059</v>
      </c>
      <c r="X157" s="527">
        <f t="shared" si="104"/>
        <v>13687.941669523079</v>
      </c>
      <c r="Y157" s="1509">
        <f t="shared" si="105"/>
        <v>12125.666334098212</v>
      </c>
      <c r="Z157" s="1509">
        <f t="shared" si="106"/>
        <v>3094.3681649355021</v>
      </c>
      <c r="AA157" s="1509">
        <f t="shared" si="107"/>
        <v>0</v>
      </c>
      <c r="AB157" s="1509">
        <f t="shared" si="108"/>
        <v>15598.816792643614</v>
      </c>
      <c r="AC157" s="1509">
        <f t="shared" si="109"/>
        <v>44506.792961200408</v>
      </c>
      <c r="AD157" s="1554">
        <f t="shared" si="110"/>
        <v>0</v>
      </c>
      <c r="AE157" s="1504">
        <f t="shared" si="111"/>
        <v>0.3075472474832277</v>
      </c>
      <c r="AF157" s="1504">
        <f t="shared" si="112"/>
        <v>0.27244529491641822</v>
      </c>
      <c r="AG157" s="1504">
        <f t="shared" si="113"/>
        <v>6.9525750094666966E-2</v>
      </c>
      <c r="AH157" s="1504">
        <f t="shared" si="126"/>
        <v>0</v>
      </c>
      <c r="AI157" s="1504">
        <f t="shared" si="114"/>
        <v>0.35048170750568708</v>
      </c>
      <c r="AJ157" s="1541">
        <f t="shared" si="115"/>
        <v>1</v>
      </c>
      <c r="AK157" s="1555">
        <f t="shared" si="116"/>
        <v>11962.081379592733</v>
      </c>
      <c r="AL157" s="1556">
        <f t="shared" si="117"/>
        <v>1646.8986151630099</v>
      </c>
      <c r="AM157" s="1556">
        <f t="shared" si="118"/>
        <v>78.961674767334173</v>
      </c>
      <c r="AN157" s="1556">
        <f t="shared" si="119"/>
        <v>13687.941669523078</v>
      </c>
      <c r="AO157" s="1543">
        <f t="shared" si="120"/>
        <v>0</v>
      </c>
    </row>
    <row r="158" spans="1:41">
      <c r="A158" s="873">
        <f>'Input data'!A138</f>
        <v>2038</v>
      </c>
      <c r="B158" s="1551">
        <f>'Input data'!B138</f>
        <v>70.447562472153166</v>
      </c>
      <c r="C158" s="1550">
        <f>'Input data'!C138</f>
        <v>4436.6736831338776</v>
      </c>
      <c r="D158" s="1552">
        <f>'Input data'!D138</f>
        <v>16174143.168204505</v>
      </c>
      <c r="E158" s="1508">
        <f>'Input data'!J138*C158</f>
        <v>53377.823513065159</v>
      </c>
      <c r="F158" s="1509">
        <f>'Input data'!L138</f>
        <v>69551.966681269667</v>
      </c>
      <c r="G158" s="1509">
        <f t="shared" si="132"/>
        <v>13687.941669523079</v>
      </c>
      <c r="H158" s="1509">
        <f t="shared" si="121"/>
        <v>32119.294730958038</v>
      </c>
      <c r="I158" s="1511">
        <f t="shared" si="96"/>
        <v>16174.143168204506</v>
      </c>
      <c r="J158" s="1454">
        <f t="shared" si="131"/>
        <v>0.4</v>
      </c>
      <c r="K158" s="1512">
        <f t="shared" si="123"/>
        <v>5474.1753315643591</v>
      </c>
      <c r="L158" s="1512">
        <f t="shared" si="97"/>
        <v>0</v>
      </c>
      <c r="M158" s="1511">
        <f t="shared" si="124"/>
        <v>5474.1753315643591</v>
      </c>
      <c r="N158" s="1454">
        <f t="shared" si="130"/>
        <v>0.5</v>
      </c>
      <c r="O158" s="530">
        <f t="shared" si="98"/>
        <v>751.91700000000026</v>
      </c>
      <c r="P158" s="1481">
        <f t="shared" si="127"/>
        <v>6226.0923315643595</v>
      </c>
      <c r="Q158" s="1364">
        <f t="shared" si="99"/>
        <v>39581.144068916758</v>
      </c>
      <c r="R158" s="1364">
        <f t="shared" si="125"/>
        <v>25893.202399393678</v>
      </c>
      <c r="S158" s="1514">
        <f t="shared" si="100"/>
        <v>0.86666996870259971</v>
      </c>
      <c r="T158" s="135" t="str">
        <f t="shared" si="101"/>
        <v>Yes</v>
      </c>
      <c r="U158" s="1514">
        <f t="shared" si="102"/>
        <v>0.86666996870259971</v>
      </c>
      <c r="V158" s="1539">
        <f t="shared" si="95"/>
        <v>43658.764281876</v>
      </c>
      <c r="W158" s="1540">
        <f t="shared" si="103"/>
        <v>0.37228569708247661</v>
      </c>
      <c r="X158" s="527">
        <f t="shared" si="104"/>
        <v>13687.941669523081</v>
      </c>
      <c r="Y158" s="1509">
        <f t="shared" si="105"/>
        <v>10744.054155835882</v>
      </c>
      <c r="Z158" s="1509">
        <f t="shared" si="106"/>
        <v>3164.033992993629</v>
      </c>
      <c r="AA158" s="1509">
        <f t="shared" si="107"/>
        <v>0</v>
      </c>
      <c r="AB158" s="1509">
        <f t="shared" si="108"/>
        <v>16062.734463523406</v>
      </c>
      <c r="AC158" s="1509">
        <f t="shared" si="109"/>
        <v>43658.764281876</v>
      </c>
      <c r="AD158" s="1554">
        <f t="shared" si="110"/>
        <v>0</v>
      </c>
      <c r="AE158" s="1504">
        <f t="shared" si="111"/>
        <v>0.31352105114906648</v>
      </c>
      <c r="AF158" s="1504">
        <f t="shared" si="112"/>
        <v>0.24609157708790319</v>
      </c>
      <c r="AG158" s="1504">
        <f t="shared" si="113"/>
        <v>7.2471909020730349E-2</v>
      </c>
      <c r="AH158" s="1504">
        <f t="shared" si="126"/>
        <v>0</v>
      </c>
      <c r="AI158" s="1504">
        <f t="shared" si="114"/>
        <v>0.36791546274229997</v>
      </c>
      <c r="AJ158" s="1541">
        <f t="shared" si="115"/>
        <v>1</v>
      </c>
      <c r="AK158" s="1555">
        <f t="shared" si="116"/>
        <v>9704.4859009227039</v>
      </c>
      <c r="AL158" s="1556">
        <f t="shared" si="117"/>
        <v>3798.359264361723</v>
      </c>
      <c r="AM158" s="1556">
        <f t="shared" si="118"/>
        <v>185.0965042386533</v>
      </c>
      <c r="AN158" s="1556">
        <f t="shared" si="119"/>
        <v>13687.941669523079</v>
      </c>
      <c r="AO158" s="1543">
        <f t="shared" si="120"/>
        <v>0</v>
      </c>
    </row>
    <row r="159" spans="1:41">
      <c r="A159" s="873">
        <f>'Input data'!A139</f>
        <v>2039</v>
      </c>
      <c r="B159" s="1551">
        <f>'Input data'!B139</f>
        <v>70.942722252264574</v>
      </c>
      <c r="C159" s="1550">
        <f>'Input data'!C139</f>
        <v>4572.7379558768307</v>
      </c>
      <c r="D159" s="1552">
        <f>'Input data'!D139</f>
        <v>12411484.037087778</v>
      </c>
      <c r="E159" s="1508">
        <f>'Input data'!J139*C159</f>
        <v>55014.818986614788</v>
      </c>
      <c r="F159" s="1509">
        <f>'Input data'!L139</f>
        <v>67426.303023702567</v>
      </c>
      <c r="G159" s="1509">
        <f t="shared" si="132"/>
        <v>13687.941669523079</v>
      </c>
      <c r="H159" s="1509">
        <f t="shared" si="121"/>
        <v>29527.538418170068</v>
      </c>
      <c r="I159" s="1511">
        <f t="shared" si="96"/>
        <v>12411.484037087777</v>
      </c>
      <c r="J159" s="1454">
        <f t="shared" si="131"/>
        <v>0.4</v>
      </c>
      <c r="K159" s="1512">
        <f t="shared" si="123"/>
        <v>4200.6948397423548</v>
      </c>
      <c r="L159" s="1512">
        <f t="shared" si="97"/>
        <v>0</v>
      </c>
      <c r="M159" s="1511">
        <f t="shared" si="124"/>
        <v>4200.6948397423548</v>
      </c>
      <c r="N159" s="1454">
        <f t="shared" si="130"/>
        <v>0.5</v>
      </c>
      <c r="O159" s="530">
        <f t="shared" si="98"/>
        <v>751.91700000000026</v>
      </c>
      <c r="P159" s="1481">
        <f t="shared" si="127"/>
        <v>4952.6118397423552</v>
      </c>
      <c r="Q159" s="1364">
        <f t="shared" si="99"/>
        <v>38262.868247950792</v>
      </c>
      <c r="R159" s="1364">
        <f t="shared" si="125"/>
        <v>24574.926578427712</v>
      </c>
      <c r="S159" s="1514">
        <f t="shared" si="100"/>
        <v>0.79747352874631605</v>
      </c>
      <c r="T159" s="135" t="str">
        <f t="shared" si="101"/>
        <v>Yes</v>
      </c>
      <c r="U159" s="1514">
        <f t="shared" si="102"/>
        <v>0.79747352874631605</v>
      </c>
      <c r="V159" s="1539">
        <f t="shared" si="95"/>
        <v>42851.376445274858</v>
      </c>
      <c r="W159" s="1540">
        <f t="shared" si="103"/>
        <v>0.36447091826744249</v>
      </c>
      <c r="X159" s="527">
        <f t="shared" si="104"/>
        <v>13687.941669523079</v>
      </c>
      <c r="Y159" s="1509">
        <f t="shared" si="105"/>
        <v>9370.078058073861</v>
      </c>
      <c r="Z159" s="1509">
        <f t="shared" si="106"/>
        <v>3238.0089949574353</v>
      </c>
      <c r="AA159" s="1509">
        <f t="shared" si="107"/>
        <v>0</v>
      </c>
      <c r="AB159" s="1509">
        <f t="shared" si="108"/>
        <v>16555.347722720482</v>
      </c>
      <c r="AC159" s="1509">
        <f t="shared" si="109"/>
        <v>42851.376445274858</v>
      </c>
      <c r="AD159" s="1554">
        <f t="shared" si="110"/>
        <v>0</v>
      </c>
      <c r="AE159" s="1504">
        <f t="shared" si="111"/>
        <v>0.31942828457339839</v>
      </c>
      <c r="AF159" s="1504">
        <f t="shared" si="112"/>
        <v>0.21866457592185659</v>
      </c>
      <c r="AG159" s="1504">
        <f t="shared" si="113"/>
        <v>7.5563710283441415E-2</v>
      </c>
      <c r="AH159" s="1504">
        <f t="shared" si="126"/>
        <v>0</v>
      </c>
      <c r="AI159" s="1504">
        <f t="shared" si="114"/>
        <v>0.38634342922130355</v>
      </c>
      <c r="AJ159" s="1541">
        <f t="shared" si="115"/>
        <v>1</v>
      </c>
      <c r="AK159" s="1555">
        <f t="shared" si="116"/>
        <v>7446.8904222526671</v>
      </c>
      <c r="AL159" s="1556">
        <f t="shared" si="117"/>
        <v>5946.5993818280394</v>
      </c>
      <c r="AM159" s="1556">
        <f t="shared" si="118"/>
        <v>294.45186544237362</v>
      </c>
      <c r="AN159" s="1556">
        <f t="shared" si="119"/>
        <v>13687.941669523079</v>
      </c>
      <c r="AO159" s="1543">
        <f t="shared" si="120"/>
        <v>0</v>
      </c>
    </row>
    <row r="160" spans="1:41">
      <c r="A160" s="873">
        <f>'Input data'!A140</f>
        <v>2040</v>
      </c>
      <c r="B160" s="1551">
        <f>'Input data'!B140</f>
        <v>71.425610993241406</v>
      </c>
      <c r="C160" s="1550">
        <f>'Input data'!C140</f>
        <v>4714.8820680263625</v>
      </c>
      <c r="D160" s="1552">
        <f>'Input data'!D140</f>
        <v>8648824.905971054</v>
      </c>
      <c r="E160" s="1508">
        <f>'Input data'!J140*C160</f>
        <v>56724.961285468657</v>
      </c>
      <c r="F160" s="1509">
        <f>'Input data'!L140</f>
        <v>65373.786191439707</v>
      </c>
      <c r="G160" s="1509">
        <f t="shared" si="132"/>
        <v>13687.941669523079</v>
      </c>
      <c r="H160" s="1509">
        <f t="shared" si="121"/>
        <v>26977.754274528019</v>
      </c>
      <c r="I160" s="1511">
        <f t="shared" si="96"/>
        <v>8648.8249059710542</v>
      </c>
      <c r="J160" s="1454">
        <f t="shared" si="131"/>
        <v>0.4</v>
      </c>
      <c r="K160" s="1512">
        <f t="shared" si="123"/>
        <v>2927.2143479203532</v>
      </c>
      <c r="L160" s="1512">
        <f t="shared" si="97"/>
        <v>0</v>
      </c>
      <c r="M160" s="1511">
        <f t="shared" si="124"/>
        <v>2927.2143479203532</v>
      </c>
      <c r="N160" s="1454">
        <f t="shared" si="130"/>
        <v>0.5</v>
      </c>
      <c r="O160" s="530">
        <f t="shared" si="98"/>
        <v>751.91700000000026</v>
      </c>
      <c r="P160" s="1481">
        <f t="shared" si="127"/>
        <v>3679.1313479203536</v>
      </c>
      <c r="Q160" s="1364">
        <f t="shared" si="99"/>
        <v>36986.564596130745</v>
      </c>
      <c r="R160" s="1364">
        <f t="shared" si="125"/>
        <v>23298.622926607666</v>
      </c>
      <c r="S160" s="1514">
        <f t="shared" si="100"/>
        <v>0.73272400999186427</v>
      </c>
      <c r="T160" s="135" t="str">
        <f t="shared" si="101"/>
        <v>Yes</v>
      </c>
      <c r="U160" s="1514">
        <f t="shared" si="102"/>
        <v>0.73272400999186427</v>
      </c>
      <c r="V160" s="1539">
        <f t="shared" si="95"/>
        <v>42075.163264832052</v>
      </c>
      <c r="W160" s="1540">
        <f t="shared" si="103"/>
        <v>0.35639090656888506</v>
      </c>
      <c r="X160" s="527">
        <f t="shared" si="104"/>
        <v>13687.941669523079</v>
      </c>
      <c r="Y160" s="1509">
        <f t="shared" si="105"/>
        <v>8001.9594221173338</v>
      </c>
      <c r="Z160" s="1509">
        <f t="shared" si="106"/>
        <v>3315.2894651604388</v>
      </c>
      <c r="AA160" s="1509">
        <f t="shared" si="107"/>
        <v>0</v>
      </c>
      <c r="AB160" s="1509">
        <f t="shared" si="108"/>
        <v>17069.9727080312</v>
      </c>
      <c r="AC160" s="1509">
        <f t="shared" si="109"/>
        <v>42075.163264832052</v>
      </c>
      <c r="AD160" s="1554">
        <f t="shared" si="110"/>
        <v>0</v>
      </c>
      <c r="AE160" s="1504">
        <f t="shared" si="111"/>
        <v>0.32532117780191616</v>
      </c>
      <c r="AF160" s="1504">
        <f t="shared" si="112"/>
        <v>0.19018249250159563</v>
      </c>
      <c r="AG160" s="1504">
        <f t="shared" si="113"/>
        <v>7.8794452781873761E-2</v>
      </c>
      <c r="AH160" s="1504">
        <f t="shared" si="126"/>
        <v>0</v>
      </c>
      <c r="AI160" s="1504">
        <f t="shared" si="114"/>
        <v>0.40570187691461446</v>
      </c>
      <c r="AJ160" s="1541">
        <f t="shared" si="115"/>
        <v>1</v>
      </c>
      <c r="AK160" s="1555">
        <f t="shared" si="116"/>
        <v>5189.2949435826322</v>
      </c>
      <c r="AL160" s="1556">
        <f t="shared" si="117"/>
        <v>8091.7294261551242</v>
      </c>
      <c r="AM160" s="1556">
        <f t="shared" si="118"/>
        <v>406.9172997853218</v>
      </c>
      <c r="AN160" s="1556">
        <f t="shared" si="119"/>
        <v>13687.941669523078</v>
      </c>
      <c r="AO160" s="1543">
        <f t="shared" si="120"/>
        <v>0</v>
      </c>
    </row>
    <row r="161" spans="1:41">
      <c r="A161" s="873">
        <f>'Input data'!A141</f>
        <v>2041</v>
      </c>
      <c r="B161" s="1551">
        <f>'Input data'!B141</f>
        <v>71.895928013305991</v>
      </c>
      <c r="C161" s="1550">
        <f>'Input data'!C141</f>
        <v>4861.7822977789338</v>
      </c>
      <c r="D161" s="1552">
        <f>'Input data'!D141</f>
        <v>7702881.2953237193</v>
      </c>
      <c r="E161" s="1508">
        <f>'Input data'!J141*C161</f>
        <v>58492.324652211188</v>
      </c>
      <c r="F161" s="1509">
        <f>'Input data'!L141</f>
        <v>66195.205947534909</v>
      </c>
      <c r="G161" s="1509">
        <f t="shared" si="132"/>
        <v>13687.941669523079</v>
      </c>
      <c r="H161" s="1509">
        <f t="shared" si="121"/>
        <v>27104.157036958171</v>
      </c>
      <c r="I161" s="1511">
        <f t="shared" si="96"/>
        <v>7702.8812953237193</v>
      </c>
      <c r="J161" s="1454">
        <f t="shared" si="131"/>
        <v>0.4</v>
      </c>
      <c r="K161" s="1512">
        <f t="shared" si="123"/>
        <v>2607.0575937353087</v>
      </c>
      <c r="L161" s="1512">
        <f t="shared" si="97"/>
        <v>0</v>
      </c>
      <c r="M161" s="1511">
        <f t="shared" si="124"/>
        <v>2607.0575937353087</v>
      </c>
      <c r="N161" s="1454">
        <f t="shared" si="130"/>
        <v>0.5</v>
      </c>
      <c r="O161" s="530">
        <f t="shared" si="98"/>
        <v>751.91700000000026</v>
      </c>
      <c r="P161" s="1481">
        <f t="shared" si="127"/>
        <v>3358.9745937353091</v>
      </c>
      <c r="Q161" s="1364">
        <f t="shared" si="99"/>
        <v>37433.124112745943</v>
      </c>
      <c r="R161" s="1364">
        <f t="shared" si="125"/>
        <v>23745.182443222864</v>
      </c>
      <c r="S161" s="1514">
        <f t="shared" si="100"/>
        <v>0.7236870666543872</v>
      </c>
      <c r="T161" s="135" t="str">
        <f t="shared" si="101"/>
        <v>Yes</v>
      </c>
      <c r="U161" s="1514">
        <f t="shared" si="102"/>
        <v>0.7236870666543872</v>
      </c>
      <c r="V161" s="1539">
        <f t="shared" si="95"/>
        <v>42450.023504312048</v>
      </c>
      <c r="W161" s="1540">
        <f t="shared" si="103"/>
        <v>0.35871453382957752</v>
      </c>
      <c r="X161" s="527">
        <f t="shared" si="104"/>
        <v>13687.941669523079</v>
      </c>
      <c r="Y161" s="1509">
        <f t="shared" si="105"/>
        <v>7765.1091511029153</v>
      </c>
      <c r="Z161" s="1509">
        <f t="shared" si="106"/>
        <v>3395.1557266364357</v>
      </c>
      <c r="AA161" s="1509">
        <f t="shared" si="107"/>
        <v>0</v>
      </c>
      <c r="AB161" s="1509">
        <f t="shared" si="108"/>
        <v>17601.816957049621</v>
      </c>
      <c r="AC161" s="1509">
        <f t="shared" si="109"/>
        <v>42450.023504312048</v>
      </c>
      <c r="AD161" s="1554">
        <f t="shared" si="110"/>
        <v>0</v>
      </c>
      <c r="AE161" s="1504">
        <f t="shared" si="111"/>
        <v>0.32244838847103741</v>
      </c>
      <c r="AF161" s="1504">
        <f t="shared" si="112"/>
        <v>0.18292355363040352</v>
      </c>
      <c r="AG161" s="1504">
        <f t="shared" si="113"/>
        <v>7.9980067061483667E-2</v>
      </c>
      <c r="AH161" s="1504">
        <f t="shared" si="126"/>
        <v>0</v>
      </c>
      <c r="AI161" s="1504">
        <f t="shared" si="114"/>
        <v>0.41464799083707549</v>
      </c>
      <c r="AJ161" s="1541">
        <f t="shared" si="115"/>
        <v>1</v>
      </c>
      <c r="AK161" s="1555">
        <f t="shared" si="116"/>
        <v>4621.728777194231</v>
      </c>
      <c r="AL161" s="1556">
        <f t="shared" si="117"/>
        <v>8625.9570700587101</v>
      </c>
      <c r="AM161" s="1556">
        <f t="shared" si="118"/>
        <v>440.25582227013876</v>
      </c>
      <c r="AN161" s="1556">
        <f t="shared" si="119"/>
        <v>13687.941669523081</v>
      </c>
      <c r="AO161" s="1543">
        <f t="shared" si="120"/>
        <v>0</v>
      </c>
    </row>
    <row r="162" spans="1:41">
      <c r="A162" s="873">
        <f>'Input data'!A142</f>
        <v>2042</v>
      </c>
      <c r="B162" s="1551">
        <f>'Input data'!B142</f>
        <v>72.353378891150228</v>
      </c>
      <c r="C162" s="1550">
        <f>'Input data'!C142</f>
        <v>4999.630924015547</v>
      </c>
      <c r="D162" s="1552">
        <f>'Input data'!D142</f>
        <v>6756937.6846763855</v>
      </c>
      <c r="E162" s="1508">
        <f>'Input data'!J142*C162</f>
        <v>60150.787764057408</v>
      </c>
      <c r="F162" s="1509">
        <f>'Input data'!L142</f>
        <v>66907.725448733792</v>
      </c>
      <c r="G162" s="1509">
        <f t="shared" si="132"/>
        <v>13687.941669523079</v>
      </c>
      <c r="H162" s="1509">
        <f t="shared" si="121"/>
        <v>27168.072057787376</v>
      </c>
      <c r="I162" s="1511">
        <f t="shared" si="96"/>
        <v>6756.9376846763853</v>
      </c>
      <c r="J162" s="1454">
        <f t="shared" si="131"/>
        <v>0.4</v>
      </c>
      <c r="K162" s="1512">
        <f t="shared" si="123"/>
        <v>2286.9008395502651</v>
      </c>
      <c r="L162" s="1512">
        <f t="shared" si="97"/>
        <v>0</v>
      </c>
      <c r="M162" s="1511">
        <f t="shared" si="124"/>
        <v>2286.9008395502651</v>
      </c>
      <c r="N162" s="1454">
        <f t="shared" si="130"/>
        <v>0.5</v>
      </c>
      <c r="O162" s="530">
        <f t="shared" si="98"/>
        <v>751.91700000000026</v>
      </c>
      <c r="P162" s="1481">
        <f t="shared" si="127"/>
        <v>3038.8178395502655</v>
      </c>
      <c r="Q162" s="1364">
        <f t="shared" si="99"/>
        <v>37817.195887760186</v>
      </c>
      <c r="R162" s="1364">
        <f t="shared" si="125"/>
        <v>24129.254218237107</v>
      </c>
      <c r="S162" s="1514">
        <f t="shared" si="100"/>
        <v>0.71466488275231543</v>
      </c>
      <c r="T162" s="135" t="str">
        <f t="shared" si="101"/>
        <v>Yes</v>
      </c>
      <c r="U162" s="1514">
        <f t="shared" si="102"/>
        <v>0.71466488275231543</v>
      </c>
      <c r="V162" s="1539">
        <f t="shared" si="95"/>
        <v>42778.471230496682</v>
      </c>
      <c r="W162" s="1540">
        <f t="shared" si="103"/>
        <v>0.36063480048691077</v>
      </c>
      <c r="X162" s="527">
        <f t="shared" si="104"/>
        <v>13687.941669523079</v>
      </c>
      <c r="Y162" s="1509">
        <f t="shared" si="105"/>
        <v>7519.5383500995285</v>
      </c>
      <c r="Z162" s="1509">
        <f t="shared" si="106"/>
        <v>3470.1008403756309</v>
      </c>
      <c r="AA162" s="1509">
        <f t="shared" si="107"/>
        <v>0</v>
      </c>
      <c r="AB162" s="1509">
        <f t="shared" si="108"/>
        <v>18100.890370498448</v>
      </c>
      <c r="AC162" s="1509">
        <f t="shared" si="109"/>
        <v>42778.471230496682</v>
      </c>
      <c r="AD162" s="1554">
        <f t="shared" si="110"/>
        <v>0</v>
      </c>
      <c r="AE162" s="1504">
        <f t="shared" si="111"/>
        <v>0.31997267026608878</v>
      </c>
      <c r="AF162" s="1504">
        <f t="shared" si="112"/>
        <v>0.17577856650330378</v>
      </c>
      <c r="AG162" s="1504">
        <f t="shared" si="113"/>
        <v>8.1117925455498827E-2</v>
      </c>
      <c r="AH162" s="1504">
        <f t="shared" si="126"/>
        <v>0</v>
      </c>
      <c r="AI162" s="1504">
        <f t="shared" si="114"/>
        <v>0.42313083777510874</v>
      </c>
      <c r="AJ162" s="1541">
        <f t="shared" si="115"/>
        <v>1</v>
      </c>
      <c r="AK162" s="1555">
        <f t="shared" si="116"/>
        <v>4054.1626108058308</v>
      </c>
      <c r="AL162" s="1556">
        <f t="shared" si="117"/>
        <v>9160.1743915568513</v>
      </c>
      <c r="AM162" s="1556">
        <f t="shared" si="118"/>
        <v>473.60466716039514</v>
      </c>
      <c r="AN162" s="1556">
        <f t="shared" si="119"/>
        <v>13687.941669523076</v>
      </c>
      <c r="AO162" s="1543">
        <f t="shared" si="120"/>
        <v>0</v>
      </c>
    </row>
    <row r="163" spans="1:41">
      <c r="A163" s="873">
        <f>'Input data'!A143</f>
        <v>2043</v>
      </c>
      <c r="B163" s="1551">
        <f>'Input data'!B143</f>
        <v>72.797675771420302</v>
      </c>
      <c r="C163" s="1550">
        <f>'Input data'!C143</f>
        <v>5140.3990299017887</v>
      </c>
      <c r="D163" s="1552">
        <f>'Input data'!D143</f>
        <v>5810994.0740290517</v>
      </c>
      <c r="E163" s="1508">
        <f>'Input data'!J143*C163</f>
        <v>61844.375268774857</v>
      </c>
      <c r="F163" s="1509">
        <f>'Input data'!L143</f>
        <v>67655.369342803911</v>
      </c>
      <c r="G163" s="1509">
        <f t="shared" si="132"/>
        <v>13687.941669523079</v>
      </c>
      <c r="H163" s="1509">
        <f t="shared" si="121"/>
        <v>27252.141705322621</v>
      </c>
      <c r="I163" s="1511">
        <f t="shared" si="96"/>
        <v>5810.9940740290513</v>
      </c>
      <c r="J163" s="1454">
        <f t="shared" si="131"/>
        <v>0.4</v>
      </c>
      <c r="K163" s="1512">
        <f t="shared" si="123"/>
        <v>1966.7440853652211</v>
      </c>
      <c r="L163" s="1512">
        <f t="shared" si="97"/>
        <v>0</v>
      </c>
      <c r="M163" s="1511">
        <f t="shared" si="124"/>
        <v>1966.7440853652211</v>
      </c>
      <c r="N163" s="1454">
        <f t="shared" si="130"/>
        <v>0.5</v>
      </c>
      <c r="O163" s="530">
        <f t="shared" si="98"/>
        <v>751.91700000000026</v>
      </c>
      <c r="P163" s="1481">
        <f t="shared" si="127"/>
        <v>2718.6610853652214</v>
      </c>
      <c r="Q163" s="1364">
        <f t="shared" si="99"/>
        <v>38221.422289480477</v>
      </c>
      <c r="R163" s="1364">
        <f t="shared" si="125"/>
        <v>24533.480619957398</v>
      </c>
      <c r="S163" s="1514">
        <f t="shared" si="100"/>
        <v>0.70630786316276883</v>
      </c>
      <c r="T163" s="135" t="str">
        <f t="shared" si="101"/>
        <v>Yes</v>
      </c>
      <c r="U163" s="1514">
        <f t="shared" si="102"/>
        <v>0.70630786316276883</v>
      </c>
      <c r="V163" s="1539">
        <f t="shared" si="95"/>
        <v>43121.888722846517</v>
      </c>
      <c r="W163" s="1540">
        <f t="shared" si="103"/>
        <v>0.36262429513389205</v>
      </c>
      <c r="X163" s="527">
        <f t="shared" si="104"/>
        <v>13687.941669523079</v>
      </c>
      <c r="Y163" s="1509">
        <f t="shared" si="105"/>
        <v>7276.7802451882635</v>
      </c>
      <c r="Z163" s="1509">
        <f t="shared" si="106"/>
        <v>3546.6332077594516</v>
      </c>
      <c r="AA163" s="1509">
        <f t="shared" si="107"/>
        <v>0</v>
      </c>
      <c r="AB163" s="1509">
        <f t="shared" si="108"/>
        <v>18610.533600375722</v>
      </c>
      <c r="AC163" s="1509">
        <f t="shared" si="109"/>
        <v>43121.888722846517</v>
      </c>
      <c r="AD163" s="1554">
        <f t="shared" si="110"/>
        <v>0</v>
      </c>
      <c r="AE163" s="1504">
        <f t="shared" si="111"/>
        <v>0.3174244467235276</v>
      </c>
      <c r="AF163" s="1504">
        <f t="shared" si="112"/>
        <v>0.1687491077201573</v>
      </c>
      <c r="AG163" s="1504">
        <f t="shared" si="113"/>
        <v>8.2246703769271609E-2</v>
      </c>
      <c r="AH163" s="1504">
        <f t="shared" si="126"/>
        <v>0</v>
      </c>
      <c r="AI163" s="1504">
        <f t="shared" si="114"/>
        <v>0.4315797417870435</v>
      </c>
      <c r="AJ163" s="1541">
        <f t="shared" si="115"/>
        <v>1</v>
      </c>
      <c r="AK163" s="1555">
        <f t="shared" si="116"/>
        <v>3486.5964444174301</v>
      </c>
      <c r="AL163" s="1556">
        <f t="shared" si="117"/>
        <v>9693.9265126235823</v>
      </c>
      <c r="AM163" s="1556">
        <f t="shared" si="118"/>
        <v>507.41871248206621</v>
      </c>
      <c r="AN163" s="1556">
        <f t="shared" si="119"/>
        <v>13687.941669523078</v>
      </c>
      <c r="AO163" s="1543">
        <f t="shared" si="120"/>
        <v>0</v>
      </c>
    </row>
    <row r="164" spans="1:41">
      <c r="A164" s="873">
        <f>'Input data'!A144</f>
        <v>2044</v>
      </c>
      <c r="B164" s="1551">
        <f>'Input data'!B144</f>
        <v>73.228597899236789</v>
      </c>
      <c r="C164" s="1550">
        <f>'Input data'!C144</f>
        <v>5284.2396924773611</v>
      </c>
      <c r="D164" s="1552">
        <f>'Input data'!D144</f>
        <v>4865050.463381717</v>
      </c>
      <c r="E164" s="1508">
        <f>'Input data'!J144*C164</f>
        <v>63574.928843212612</v>
      </c>
      <c r="F164" s="1509">
        <f>'Input data'!L144</f>
        <v>68439.979306594323</v>
      </c>
      <c r="G164" s="1509">
        <f t="shared" si="132"/>
        <v>13687.941669523079</v>
      </c>
      <c r="H164" s="1509">
        <f t="shared" si="121"/>
        <v>27357.42274685216</v>
      </c>
      <c r="I164" s="1511">
        <f t="shared" si="96"/>
        <v>4865.0504633817172</v>
      </c>
      <c r="J164" s="1454">
        <f t="shared" si="131"/>
        <v>0.4</v>
      </c>
      <c r="K164" s="1512">
        <f t="shared" si="123"/>
        <v>1646.587331180177</v>
      </c>
      <c r="L164" s="1512">
        <f t="shared" si="97"/>
        <v>0</v>
      </c>
      <c r="M164" s="1511">
        <f t="shared" si="124"/>
        <v>1646.587331180177</v>
      </c>
      <c r="N164" s="1454">
        <f t="shared" si="130"/>
        <v>0.5</v>
      </c>
      <c r="O164" s="530">
        <f t="shared" si="98"/>
        <v>751.91700000000026</v>
      </c>
      <c r="P164" s="1481">
        <f t="shared" si="127"/>
        <v>2398.5043311801774</v>
      </c>
      <c r="Q164" s="1364">
        <f t="shared" si="99"/>
        <v>38646.860085195061</v>
      </c>
      <c r="R164" s="1364">
        <f t="shared" si="125"/>
        <v>24958.918415671982</v>
      </c>
      <c r="S164" s="1514">
        <f t="shared" si="100"/>
        <v>0.69858478811567504</v>
      </c>
      <c r="T164" s="135" t="str">
        <f t="shared" si="101"/>
        <v>Yes</v>
      </c>
      <c r="U164" s="1514">
        <f t="shared" si="102"/>
        <v>0.69858478811567504</v>
      </c>
      <c r="V164" s="1539">
        <f t="shared" si="95"/>
        <v>43481.060890922352</v>
      </c>
      <c r="W164" s="1540">
        <f t="shared" si="103"/>
        <v>0.36468331329941139</v>
      </c>
      <c r="X164" s="527">
        <f t="shared" si="104"/>
        <v>13687.941669523079</v>
      </c>
      <c r="Y164" s="1509">
        <f t="shared" si="105"/>
        <v>7036.9823144278953</v>
      </c>
      <c r="Z164" s="1509">
        <f t="shared" si="106"/>
        <v>3624.8360532382567</v>
      </c>
      <c r="AA164" s="1509">
        <f t="shared" si="107"/>
        <v>0</v>
      </c>
      <c r="AB164" s="1509">
        <f t="shared" si="108"/>
        <v>19131.300853733122</v>
      </c>
      <c r="AC164" s="1509">
        <f t="shared" si="109"/>
        <v>43481.060890922352</v>
      </c>
      <c r="AD164" s="1554">
        <f t="shared" si="110"/>
        <v>0</v>
      </c>
      <c r="AE164" s="1504">
        <f t="shared" si="111"/>
        <v>0.31480238497080332</v>
      </c>
      <c r="AF164" s="1504">
        <f t="shared" si="112"/>
        <v>0.16184017064535386</v>
      </c>
      <c r="AG164" s="1504">
        <f t="shared" si="113"/>
        <v>8.3365860422118229E-2</v>
      </c>
      <c r="AH164" s="1504">
        <f t="shared" si="126"/>
        <v>0</v>
      </c>
      <c r="AI164" s="1504">
        <f t="shared" si="114"/>
        <v>0.43999158396172461</v>
      </c>
      <c r="AJ164" s="1541">
        <f t="shared" si="115"/>
        <v>1</v>
      </c>
      <c r="AK164" s="1555">
        <f t="shared" si="116"/>
        <v>2919.0302780290303</v>
      </c>
      <c r="AL164" s="1556">
        <f t="shared" si="117"/>
        <v>10227.235267639115</v>
      </c>
      <c r="AM164" s="1556">
        <f t="shared" si="118"/>
        <v>541.67612385493453</v>
      </c>
      <c r="AN164" s="1556">
        <f t="shared" si="119"/>
        <v>13687.941669523081</v>
      </c>
      <c r="AO164" s="1543">
        <f t="shared" si="120"/>
        <v>0</v>
      </c>
    </row>
    <row r="165" spans="1:41">
      <c r="A165" s="873">
        <f>'Input data'!A145</f>
        <v>2045</v>
      </c>
      <c r="B165" s="1551">
        <f>'Input data'!B145</f>
        <v>73.645872502840064</v>
      </c>
      <c r="C165" s="1550">
        <f>'Input data'!C145</f>
        <v>5434.6458323535726</v>
      </c>
      <c r="D165" s="1552">
        <f>'Input data'!D145</f>
        <v>3919106.8527343827</v>
      </c>
      <c r="E165" s="1508">
        <f>'Input data'!J145*C165</f>
        <v>65384.471974616165</v>
      </c>
      <c r="F165" s="1509">
        <f>'Input data'!L145</f>
        <v>69303.578827350546</v>
      </c>
      <c r="G165" s="1509">
        <f t="shared" si="132"/>
        <v>13687.941669523079</v>
      </c>
      <c r="H165" s="1509">
        <f t="shared" si="121"/>
        <v>27508.028558553746</v>
      </c>
      <c r="I165" s="1511">
        <f t="shared" si="96"/>
        <v>3919.1068527343828</v>
      </c>
      <c r="J165" s="1454">
        <f t="shared" si="131"/>
        <v>0.4</v>
      </c>
      <c r="K165" s="1512">
        <f t="shared" si="123"/>
        <v>1326.4305769951329</v>
      </c>
      <c r="L165" s="1512">
        <f t="shared" si="97"/>
        <v>0</v>
      </c>
      <c r="M165" s="1511">
        <f t="shared" si="124"/>
        <v>1326.4305769951329</v>
      </c>
      <c r="N165" s="1454">
        <f t="shared" si="130"/>
        <v>0.5</v>
      </c>
      <c r="O165" s="530">
        <f t="shared" si="98"/>
        <v>751.91700000000026</v>
      </c>
      <c r="P165" s="1481">
        <f t="shared" si="127"/>
        <v>2078.3475769951333</v>
      </c>
      <c r="Q165" s="1364">
        <f t="shared" si="99"/>
        <v>39117.622651081692</v>
      </c>
      <c r="R165" s="1364">
        <f t="shared" si="125"/>
        <v>25429.680981558613</v>
      </c>
      <c r="S165" s="1514">
        <f t="shared" si="100"/>
        <v>0.69165999364004283</v>
      </c>
      <c r="T165" s="135" t="str">
        <f t="shared" si="101"/>
        <v>Yes</v>
      </c>
      <c r="U165" s="1514">
        <f t="shared" si="102"/>
        <v>0.69165999364004283</v>
      </c>
      <c r="V165" s="1539">
        <f t="shared" si="95"/>
        <v>43873.897845791944</v>
      </c>
      <c r="W165" s="1540">
        <f t="shared" si="103"/>
        <v>0.36693171423237991</v>
      </c>
      <c r="X165" s="527">
        <f t="shared" si="104"/>
        <v>13687.941669523079</v>
      </c>
      <c r="Y165" s="1509">
        <f t="shared" si="105"/>
        <v>6803.5097205640423</v>
      </c>
      <c r="Z165" s="1509">
        <f t="shared" si="106"/>
        <v>3706.6083970608752</v>
      </c>
      <c r="AA165" s="1509">
        <f t="shared" si="107"/>
        <v>0</v>
      </c>
      <c r="AB165" s="1509">
        <f t="shared" si="108"/>
        <v>19675.838058643949</v>
      </c>
      <c r="AC165" s="1509">
        <f t="shared" si="109"/>
        <v>43873.897845791944</v>
      </c>
      <c r="AD165" s="1554">
        <f t="shared" si="110"/>
        <v>0</v>
      </c>
      <c r="AE165" s="1504">
        <f t="shared" si="111"/>
        <v>0.31198371563961519</v>
      </c>
      <c r="AF165" s="1504">
        <f t="shared" si="112"/>
        <v>0.15506964401651821</v>
      </c>
      <c r="AG165" s="1504">
        <f t="shared" si="113"/>
        <v>8.4483225312892624E-2</v>
      </c>
      <c r="AH165" s="1504">
        <f t="shared" si="126"/>
        <v>0</v>
      </c>
      <c r="AI165" s="1504">
        <f t="shared" si="114"/>
        <v>0.44846341503097403</v>
      </c>
      <c r="AJ165" s="1541">
        <f t="shared" si="115"/>
        <v>1</v>
      </c>
      <c r="AK165" s="1555">
        <f t="shared" si="116"/>
        <v>2351.4641116406297</v>
      </c>
      <c r="AL165" s="1556">
        <f t="shared" si="117"/>
        <v>10759.985723811425</v>
      </c>
      <c r="AM165" s="1556">
        <f t="shared" si="118"/>
        <v>576.49183407102225</v>
      </c>
      <c r="AN165" s="1556">
        <f t="shared" si="119"/>
        <v>13687.941669523078</v>
      </c>
      <c r="AO165" s="1543">
        <f t="shared" si="120"/>
        <v>0</v>
      </c>
    </row>
    <row r="166" spans="1:41">
      <c r="A166" s="873">
        <f>'Input data'!A146</f>
        <v>2046</v>
      </c>
      <c r="B166" s="1551">
        <f>'Input data'!B146</f>
        <v>74.049234192071822</v>
      </c>
      <c r="C166" s="1550">
        <f>'Input data'!C146</f>
        <v>5588.9785645796028</v>
      </c>
      <c r="D166" s="1552">
        <f>'Input data'!D146</f>
        <v>3263474.9196310313</v>
      </c>
      <c r="E166" s="1508">
        <f>'Input data'!J146*C166</f>
        <v>67241.256117738274</v>
      </c>
      <c r="F166" s="1509">
        <f>'Input data'!L146</f>
        <v>70504.731037369304</v>
      </c>
      <c r="G166" s="1509">
        <f t="shared" si="132"/>
        <v>13687.941669523079</v>
      </c>
      <c r="H166" s="1509">
        <f t="shared" si="121"/>
        <v>27958.185249426508</v>
      </c>
      <c r="I166" s="1511">
        <f t="shared" si="96"/>
        <v>3263.4749196310313</v>
      </c>
      <c r="J166" s="1454">
        <f t="shared" si="131"/>
        <v>0.4</v>
      </c>
      <c r="K166" s="1512">
        <f t="shared" si="123"/>
        <v>1104.530466587081</v>
      </c>
      <c r="L166" s="1512">
        <f t="shared" si="97"/>
        <v>0</v>
      </c>
      <c r="M166" s="1511">
        <f t="shared" si="124"/>
        <v>1104.530466587081</v>
      </c>
      <c r="N166" s="1454">
        <f t="shared" si="130"/>
        <v>0.5</v>
      </c>
      <c r="O166" s="530">
        <f t="shared" si="98"/>
        <v>751.91700000000026</v>
      </c>
      <c r="P166" s="1481">
        <f t="shared" si="127"/>
        <v>1856.4474665870812</v>
      </c>
      <c r="Q166" s="1364">
        <f t="shared" si="99"/>
        <v>39789.679452362507</v>
      </c>
      <c r="R166" s="1364">
        <f t="shared" si="125"/>
        <v>26101.737782839427</v>
      </c>
      <c r="S166" s="1514">
        <f t="shared" si="100"/>
        <v>0.68994548412271062</v>
      </c>
      <c r="T166" s="135" t="str">
        <f t="shared" si="101"/>
        <v>Yes</v>
      </c>
      <c r="U166" s="1514">
        <f t="shared" si="102"/>
        <v>0.68994548412271062</v>
      </c>
      <c r="V166" s="1539">
        <f t="shared" si="95"/>
        <v>44402.99325452988</v>
      </c>
      <c r="W166" s="1540">
        <f t="shared" si="103"/>
        <v>0.37021257153658016</v>
      </c>
      <c r="X166" s="527">
        <f t="shared" si="104"/>
        <v>13687.941669523079</v>
      </c>
      <c r="Y166" s="1509">
        <f t="shared" si="105"/>
        <v>6689.944770124901</v>
      </c>
      <c r="Z166" s="1509">
        <f t="shared" si="106"/>
        <v>3790.5155384385994</v>
      </c>
      <c r="AA166" s="1509">
        <f t="shared" si="107"/>
        <v>0</v>
      </c>
      <c r="AB166" s="1509">
        <f t="shared" si="108"/>
        <v>20234.591276443305</v>
      </c>
      <c r="AC166" s="1509">
        <f t="shared" si="109"/>
        <v>44402.99325452988</v>
      </c>
      <c r="AD166" s="1535">
        <f t="shared" si="110"/>
        <v>0</v>
      </c>
      <c r="AE166" s="1504">
        <f t="shared" si="111"/>
        <v>0.30826619257535459</v>
      </c>
      <c r="AF166" s="1504">
        <f t="shared" si="112"/>
        <v>0.15066427463068405</v>
      </c>
      <c r="AG166" s="1504">
        <f t="shared" si="113"/>
        <v>8.5366216568111677E-2</v>
      </c>
      <c r="AH166" s="1504">
        <f t="shared" si="126"/>
        <v>0</v>
      </c>
      <c r="AI166" s="1504">
        <f t="shared" si="114"/>
        <v>0.45570331622584981</v>
      </c>
      <c r="AJ166" s="1541">
        <f t="shared" si="115"/>
        <v>1</v>
      </c>
      <c r="AK166" s="1555">
        <f t="shared" si="116"/>
        <v>1958.0849517786185</v>
      </c>
      <c r="AL166" s="1556">
        <f t="shared" si="117"/>
        <v>11127.076558311728</v>
      </c>
      <c r="AM166" s="1556">
        <f t="shared" si="118"/>
        <v>602.78015943273238</v>
      </c>
      <c r="AN166" s="1556">
        <f t="shared" si="119"/>
        <v>13687.941669523079</v>
      </c>
      <c r="AO166" s="1543">
        <f t="shared" si="120"/>
        <v>0</v>
      </c>
    </row>
    <row r="167" spans="1:41">
      <c r="A167" s="873">
        <f>'Input data'!A147</f>
        <v>2047</v>
      </c>
      <c r="B167" s="1551">
        <f>'Input data'!B147</f>
        <v>74.438425238522782</v>
      </c>
      <c r="C167" s="1550">
        <f>'Input data'!C147</f>
        <v>5683.8226319462565</v>
      </c>
      <c r="D167" s="1552">
        <f>'Input data'!D147</f>
        <v>2607842.98652768</v>
      </c>
      <c r="E167" s="1508">
        <f>'Input data'!J147*C167</f>
        <v>68382.329419659043</v>
      </c>
      <c r="F167" s="1509">
        <f>'Input data'!L147</f>
        <v>70990.172406186728</v>
      </c>
      <c r="G167" s="1509">
        <f t="shared" si="132"/>
        <v>13687.941669523079</v>
      </c>
      <c r="H167" s="1509">
        <f t="shared" si="121"/>
        <v>27997.661963943221</v>
      </c>
      <c r="I167" s="1511">
        <f t="shared" si="96"/>
        <v>2607.8429865276798</v>
      </c>
      <c r="J167" s="1454">
        <f t="shared" si="131"/>
        <v>0.4</v>
      </c>
      <c r="K167" s="1512">
        <f t="shared" si="123"/>
        <v>882.63035617902892</v>
      </c>
      <c r="L167" s="1512">
        <f t="shared" si="97"/>
        <v>0</v>
      </c>
      <c r="M167" s="1511">
        <f t="shared" si="124"/>
        <v>882.63035617902892</v>
      </c>
      <c r="N167" s="1454">
        <f t="shared" si="130"/>
        <v>0.5</v>
      </c>
      <c r="O167" s="530">
        <f t="shared" si="98"/>
        <v>751.91700000000026</v>
      </c>
      <c r="P167" s="1481">
        <f t="shared" si="127"/>
        <v>1634.5473561790291</v>
      </c>
      <c r="Q167" s="1364">
        <f t="shared" si="99"/>
        <v>40051.056277287273</v>
      </c>
      <c r="R167" s="1364">
        <f t="shared" si="125"/>
        <v>26363.114607764193</v>
      </c>
      <c r="S167" s="1514">
        <f t="shared" si="100"/>
        <v>0.68499907825204875</v>
      </c>
      <c r="T167" s="135" t="str">
        <f t="shared" si="101"/>
        <v>Yes</v>
      </c>
      <c r="U167" s="1514">
        <f t="shared" si="102"/>
        <v>0.68499907825204875</v>
      </c>
      <c r="V167" s="1539">
        <f t="shared" si="95"/>
        <v>44627.057798422538</v>
      </c>
      <c r="W167" s="1540">
        <f t="shared" si="103"/>
        <v>0.37136287621505581</v>
      </c>
      <c r="X167" s="527">
        <f t="shared" si="104"/>
        <v>13687.941669523076</v>
      </c>
      <c r="Y167" s="1509">
        <f t="shared" si="105"/>
        <v>6519.0670258812952</v>
      </c>
      <c r="Z167" s="1509">
        <f t="shared" si="106"/>
        <v>3842.0800669387309</v>
      </c>
      <c r="AA167" s="1509">
        <f t="shared" si="107"/>
        <v>0</v>
      </c>
      <c r="AB167" s="1509">
        <f t="shared" si="108"/>
        <v>20577.969036079438</v>
      </c>
      <c r="AC167" s="1509">
        <f t="shared" si="109"/>
        <v>44627.057798422538</v>
      </c>
      <c r="AD167" s="1535">
        <f t="shared" si="110"/>
        <v>0</v>
      </c>
      <c r="AE167" s="1504">
        <f t="shared" si="111"/>
        <v>0.30671844268449427</v>
      </c>
      <c r="AF167" s="1504">
        <f t="shared" si="112"/>
        <v>0.14607879944332178</v>
      </c>
      <c r="AG167" s="1504">
        <f t="shared" si="113"/>
        <v>8.6093062291786107E-2</v>
      </c>
      <c r="AH167" s="1504">
        <f t="shared" si="126"/>
        <v>0</v>
      </c>
      <c r="AI167" s="1504">
        <f t="shared" si="114"/>
        <v>0.46110969558039788</v>
      </c>
      <c r="AJ167" s="1541">
        <f t="shared" si="115"/>
        <v>1</v>
      </c>
      <c r="AK167" s="1555">
        <f t="shared" si="116"/>
        <v>1564.705791916608</v>
      </c>
      <c r="AL167" s="1556">
        <f t="shared" si="117"/>
        <v>11496.427705864822</v>
      </c>
      <c r="AM167" s="1556">
        <f t="shared" si="118"/>
        <v>626.80817174164554</v>
      </c>
      <c r="AN167" s="1556">
        <f t="shared" si="119"/>
        <v>13687.941669523076</v>
      </c>
      <c r="AO167" s="1543">
        <f t="shared" si="120"/>
        <v>0</v>
      </c>
    </row>
    <row r="168" spans="1:41">
      <c r="A168" s="873">
        <f>'Input data'!A148</f>
        <v>2048</v>
      </c>
      <c r="B168" s="1551">
        <f>'Input data'!B148</f>
        <v>74.813195848926668</v>
      </c>
      <c r="C168" s="1550">
        <f>'Input data'!C148</f>
        <v>5769.8658364340272</v>
      </c>
      <c r="D168" s="1552">
        <f>'Input data'!D148</f>
        <v>1952211.0534243288</v>
      </c>
      <c r="E168" s="1508">
        <f>'Input data'!J148*C168</f>
        <v>69417.519138728632</v>
      </c>
      <c r="F168" s="1509">
        <f>'Input data'!L148</f>
        <v>71369.730192152958</v>
      </c>
      <c r="G168" s="1509">
        <f t="shared" si="132"/>
        <v>13687.941669523079</v>
      </c>
      <c r="H168" s="1509">
        <f t="shared" si="121"/>
        <v>27976.381924756399</v>
      </c>
      <c r="I168" s="1511">
        <f t="shared" si="96"/>
        <v>1952.2110534243288</v>
      </c>
      <c r="J168" s="1454">
        <f t="shared" si="131"/>
        <v>0.4</v>
      </c>
      <c r="K168" s="1512">
        <f t="shared" si="123"/>
        <v>660.73024577097704</v>
      </c>
      <c r="L168" s="1512">
        <f t="shared" si="97"/>
        <v>0</v>
      </c>
      <c r="M168" s="1511">
        <f t="shared" si="124"/>
        <v>660.73024577097704</v>
      </c>
      <c r="N168" s="1454">
        <f t="shared" si="130"/>
        <v>0.5</v>
      </c>
      <c r="O168" s="530">
        <f t="shared" si="98"/>
        <v>751.91700000000026</v>
      </c>
      <c r="P168" s="1481">
        <f t="shared" si="127"/>
        <v>1412.6472457709774</v>
      </c>
      <c r="Q168" s="1364">
        <f t="shared" si="99"/>
        <v>40251.676348508503</v>
      </c>
      <c r="R168" s="1364">
        <f t="shared" si="125"/>
        <v>26563.734678985424</v>
      </c>
      <c r="S168" s="1514">
        <f t="shared" si="100"/>
        <v>0.67972100740442853</v>
      </c>
      <c r="T168" s="135" t="str">
        <f t="shared" si="101"/>
        <v>Yes</v>
      </c>
      <c r="U168" s="1514">
        <f t="shared" si="102"/>
        <v>0.67972100740442853</v>
      </c>
      <c r="V168" s="1539">
        <f t="shared" si="95"/>
        <v>44805.995513167552</v>
      </c>
      <c r="W168" s="1540">
        <f t="shared" si="103"/>
        <v>0.37219889450984733</v>
      </c>
      <c r="X168" s="527">
        <f t="shared" si="104"/>
        <v>13687.941669523079</v>
      </c>
      <c r="Y168" s="1509">
        <f t="shared" si="105"/>
        <v>6339.7103211387221</v>
      </c>
      <c r="Z168" s="1509">
        <f t="shared" si="106"/>
        <v>3888.8597695942517</v>
      </c>
      <c r="AA168" s="1509">
        <f t="shared" si="107"/>
        <v>0</v>
      </c>
      <c r="AB168" s="1509">
        <f t="shared" si="108"/>
        <v>20889.483752911496</v>
      </c>
      <c r="AC168" s="1509">
        <f t="shared" si="109"/>
        <v>44805.995513167552</v>
      </c>
      <c r="AD168" s="1535">
        <f t="shared" si="110"/>
        <v>0</v>
      </c>
      <c r="AE168" s="1504">
        <f t="shared" si="111"/>
        <v>0.30549352855022444</v>
      </c>
      <c r="AF168" s="1504">
        <f t="shared" si="112"/>
        <v>0.14149245538525335</v>
      </c>
      <c r="AG168" s="1504">
        <f t="shared" si="113"/>
        <v>8.6793290162505074E-2</v>
      </c>
      <c r="AH168" s="1504">
        <f t="shared" si="126"/>
        <v>0</v>
      </c>
      <c r="AI168" s="1504">
        <f t="shared" si="114"/>
        <v>0.46622072590201707</v>
      </c>
      <c r="AJ168" s="1541">
        <f t="shared" si="115"/>
        <v>1</v>
      </c>
      <c r="AK168" s="1555">
        <f t="shared" si="116"/>
        <v>1171.3266320545972</v>
      </c>
      <c r="AL168" s="1556">
        <f t="shared" si="117"/>
        <v>11866.01081217978</v>
      </c>
      <c r="AM168" s="1556">
        <f t="shared" si="118"/>
        <v>650.60422528870004</v>
      </c>
      <c r="AN168" s="1556">
        <f t="shared" si="119"/>
        <v>13687.941669523078</v>
      </c>
      <c r="AO168" s="1543">
        <f t="shared" si="120"/>
        <v>0</v>
      </c>
    </row>
    <row r="169" spans="1:41">
      <c r="A169" s="127">
        <f>'Input data'!A149</f>
        <v>2049</v>
      </c>
      <c r="B169" s="662">
        <f>'Input data'!B149</f>
        <v>75.173102421925719</v>
      </c>
      <c r="C169" s="236">
        <f>'Input data'!C149</f>
        <v>5861.5540552090788</v>
      </c>
      <c r="D169" s="237">
        <f>'Input data'!D149</f>
        <v>1296579.1203209779</v>
      </c>
      <c r="E169" s="527">
        <f>'Input data'!J149*C169</f>
        <v>70520.624282252509</v>
      </c>
      <c r="F169" s="528">
        <f>'Input data'!L149</f>
        <v>71817.20340257349</v>
      </c>
      <c r="G169" s="528">
        <f t="shared" si="132"/>
        <v>13687.941669523079</v>
      </c>
      <c r="H169" s="1509">
        <f t="shared" si="121"/>
        <v>27994.072239661571</v>
      </c>
      <c r="I169" s="1511">
        <f t="shared" si="96"/>
        <v>1296.5791203209778</v>
      </c>
      <c r="J169" s="649">
        <f t="shared" si="131"/>
        <v>0.4</v>
      </c>
      <c r="K169" s="1512">
        <f t="shared" si="123"/>
        <v>438.83013536292509</v>
      </c>
      <c r="L169" s="1512">
        <f t="shared" si="97"/>
        <v>0</v>
      </c>
      <c r="M169" s="1511">
        <f t="shared" si="124"/>
        <v>438.83013536292509</v>
      </c>
      <c r="N169" s="649">
        <f t="shared" si="130"/>
        <v>0.5</v>
      </c>
      <c r="O169" s="530">
        <f t="shared" si="98"/>
        <v>751.91700000000026</v>
      </c>
      <c r="P169" s="1481">
        <f t="shared" si="127"/>
        <v>1190.7471353629253</v>
      </c>
      <c r="Q169" s="1364">
        <f t="shared" si="99"/>
        <v>40491.266773821728</v>
      </c>
      <c r="R169" s="1364">
        <f t="shared" si="125"/>
        <v>26803.325104298649</v>
      </c>
      <c r="S169" s="1514">
        <f t="shared" si="100"/>
        <v>0.67492029313195956</v>
      </c>
      <c r="T169" s="135" t="str">
        <f t="shared" si="101"/>
        <v>Yes</v>
      </c>
      <c r="U169" s="1514">
        <f t="shared" si="102"/>
        <v>0.67492029313195956</v>
      </c>
      <c r="V169" s="1539">
        <f t="shared" si="95"/>
        <v>45013.878298274853</v>
      </c>
      <c r="W169" s="1540">
        <f t="shared" si="103"/>
        <v>0.37321594039316452</v>
      </c>
      <c r="X169" s="527">
        <f t="shared" si="104"/>
        <v>13687.941669523081</v>
      </c>
      <c r="Y169" s="1509">
        <f t="shared" si="105"/>
        <v>6165.7921573456742</v>
      </c>
      <c r="Z169" s="1509">
        <f t="shared" si="106"/>
        <v>3938.7085361162012</v>
      </c>
      <c r="AA169" s="1509">
        <f t="shared" si="107"/>
        <v>0</v>
      </c>
      <c r="AB169" s="1509">
        <f t="shared" si="108"/>
        <v>21221.435935289894</v>
      </c>
      <c r="AC169" s="1509">
        <f t="shared" si="109"/>
        <v>45013.878298274853</v>
      </c>
      <c r="AD169" s="1535">
        <f t="shared" si="110"/>
        <v>0</v>
      </c>
      <c r="AE169" s="1504">
        <f t="shared" si="111"/>
        <v>0.30408270042458591</v>
      </c>
      <c r="AF169" s="1504">
        <f t="shared" si="112"/>
        <v>0.13697535938781744</v>
      </c>
      <c r="AG169" s="1504">
        <f t="shared" si="113"/>
        <v>8.7499870817999509E-2</v>
      </c>
      <c r="AH169" s="1504">
        <f t="shared" si="126"/>
        <v>0</v>
      </c>
      <c r="AI169" s="1504">
        <f t="shared" si="114"/>
        <v>0.47144206936959709</v>
      </c>
      <c r="AJ169" s="1541">
        <f t="shared" si="115"/>
        <v>0.99999999999999989</v>
      </c>
      <c r="AK169" s="1555">
        <f t="shared" si="116"/>
        <v>777.9474721925867</v>
      </c>
      <c r="AL169" s="1556">
        <f t="shared" si="117"/>
        <v>12235.260066421621</v>
      </c>
      <c r="AM169" s="1556">
        <f t="shared" si="118"/>
        <v>674.73413090886982</v>
      </c>
      <c r="AN169" s="1556">
        <f t="shared" si="119"/>
        <v>13687.941669523078</v>
      </c>
      <c r="AO169" s="1543">
        <f t="shared" si="120"/>
        <v>0</v>
      </c>
    </row>
    <row r="170" spans="1:41" ht="15.75" thickBot="1">
      <c r="A170" s="172">
        <f>'Input data'!A150</f>
        <v>2050</v>
      </c>
      <c r="B170" s="664">
        <f>'Input data'!B150</f>
        <v>75.517908954390194</v>
      </c>
      <c r="C170" s="239">
        <f>'Input data'!C150</f>
        <v>5947.0928685667695</v>
      </c>
      <c r="D170" s="240">
        <f>'Input data'!D150</f>
        <v>640947.1872176266</v>
      </c>
      <c r="E170" s="670">
        <f>'Input data'!J150*C170</f>
        <v>71549.745648622338</v>
      </c>
      <c r="F170" s="667">
        <f>'Input data'!L150</f>
        <v>72190.69283583996</v>
      </c>
      <c r="G170" s="667">
        <f t="shared" si="132"/>
        <v>13687.941669523079</v>
      </c>
      <c r="H170" s="667">
        <f t="shared" si="121"/>
        <v>27969.310136490534</v>
      </c>
      <c r="I170" s="659">
        <f t="shared" si="96"/>
        <v>640.94718721762661</v>
      </c>
      <c r="J170" s="650">
        <f t="shared" si="131"/>
        <v>0.4</v>
      </c>
      <c r="K170" s="1518">
        <f t="shared" si="123"/>
        <v>216.93002495487315</v>
      </c>
      <c r="L170" s="1518">
        <f t="shared" si="97"/>
        <v>0</v>
      </c>
      <c r="M170" s="1520">
        <f t="shared" si="124"/>
        <v>216.93002495487315</v>
      </c>
      <c r="N170" s="650">
        <f t="shared" si="130"/>
        <v>0.5</v>
      </c>
      <c r="O170" s="659">
        <f t="shared" si="98"/>
        <v>751.91700000000026</v>
      </c>
      <c r="P170" s="1482">
        <f t="shared" si="127"/>
        <v>968.8470249548734</v>
      </c>
      <c r="Q170" s="1485">
        <f t="shared" si="99"/>
        <v>40688.404781058744</v>
      </c>
      <c r="R170" s="1485">
        <f t="shared" si="125"/>
        <v>27000.463111535664</v>
      </c>
      <c r="S170" s="1523">
        <f t="shared" si="100"/>
        <v>0.66992290256252363</v>
      </c>
      <c r="T170" s="1105" t="str">
        <f t="shared" si="101"/>
        <v>Yes</v>
      </c>
      <c r="U170" s="1523">
        <f t="shared" si="102"/>
        <v>0.66992290256252363</v>
      </c>
      <c r="V170" s="1544">
        <f t="shared" si="95"/>
        <v>45190.229724304314</v>
      </c>
      <c r="W170" s="1545">
        <f t="shared" si="103"/>
        <v>0.37401584679252353</v>
      </c>
      <c r="X170" s="670">
        <f t="shared" si="104"/>
        <v>13687.941669523076</v>
      </c>
      <c r="Y170" s="1518">
        <f t="shared" si="105"/>
        <v>5985.9495101987231</v>
      </c>
      <c r="Z170" s="1518">
        <f t="shared" si="106"/>
        <v>3985.2140129658874</v>
      </c>
      <c r="AA170" s="1518">
        <f t="shared" si="107"/>
        <v>0</v>
      </c>
      <c r="AB170" s="1518">
        <f t="shared" si="108"/>
        <v>21531.124531616624</v>
      </c>
      <c r="AC170" s="1518">
        <f t="shared" si="109"/>
        <v>45190.229724304314</v>
      </c>
      <c r="AD170" s="1546">
        <f t="shared" si="110"/>
        <v>0</v>
      </c>
      <c r="AE170" s="1521">
        <f t="shared" si="111"/>
        <v>0.30289604087056443</v>
      </c>
      <c r="AF170" s="1521">
        <f t="shared" si="112"/>
        <v>0.1324611436303309</v>
      </c>
      <c r="AG170" s="1521">
        <f t="shared" si="113"/>
        <v>8.8187513922341282E-2</v>
      </c>
      <c r="AH170" s="1521">
        <f t="shared" si="126"/>
        <v>0</v>
      </c>
      <c r="AI170" s="1521">
        <f>AB170/AC170</f>
        <v>0.4764553015767633</v>
      </c>
      <c r="AJ170" s="1547">
        <f t="shared" si="115"/>
        <v>0.99999999999999989</v>
      </c>
      <c r="AK170" s="1639">
        <f t="shared" si="116"/>
        <v>384.56831233057596</v>
      </c>
      <c r="AL170" s="1640">
        <f t="shared" si="117"/>
        <v>12604.646871485826</v>
      </c>
      <c r="AM170" s="1640">
        <f t="shared" si="118"/>
        <v>698.7264857066707</v>
      </c>
      <c r="AN170" s="1640">
        <f t="shared" si="119"/>
        <v>13687.941669523072</v>
      </c>
      <c r="AO170" s="1548">
        <f t="shared" si="120"/>
        <v>0</v>
      </c>
    </row>
    <row r="172" spans="1:41" ht="23.25">
      <c r="A172" s="686" t="s">
        <v>653</v>
      </c>
    </row>
    <row r="173" spans="1:41" ht="24" thickBot="1">
      <c r="A173" s="686"/>
    </row>
    <row r="174" spans="1:41" ht="21.6" customHeight="1" thickBot="1">
      <c r="A174" s="1819" t="s">
        <v>602</v>
      </c>
      <c r="B174" s="1820"/>
      <c r="C174" s="1820"/>
      <c r="D174" s="1821"/>
      <c r="E174" s="1915" t="s">
        <v>603</v>
      </c>
      <c r="F174" s="1916"/>
      <c r="G174" s="1916"/>
      <c r="H174" s="1916"/>
      <c r="I174" s="1917"/>
      <c r="J174" s="1826" t="s">
        <v>604</v>
      </c>
      <c r="K174" s="1826"/>
      <c r="L174" s="1827"/>
      <c r="M174" s="1828" t="s">
        <v>764</v>
      </c>
      <c r="N174" s="1830" t="s">
        <v>607</v>
      </c>
      <c r="O174" s="1831"/>
      <c r="P174" s="1809" t="s">
        <v>594</v>
      </c>
      <c r="Q174" s="1811" t="s">
        <v>772</v>
      </c>
      <c r="R174" s="1811" t="s">
        <v>775</v>
      </c>
      <c r="S174" s="1811" t="s">
        <v>774</v>
      </c>
      <c r="T174" s="1843" t="s">
        <v>776</v>
      </c>
      <c r="U174" s="1876" t="s">
        <v>777</v>
      </c>
      <c r="V174" s="1813" t="s">
        <v>767</v>
      </c>
      <c r="W174" s="1815" t="s">
        <v>768</v>
      </c>
      <c r="X174" s="1910" t="s">
        <v>592</v>
      </c>
      <c r="Y174" s="1880"/>
      <c r="Z174" s="1880"/>
      <c r="AA174" s="1880"/>
      <c r="AB174" s="1880"/>
      <c r="AC174" s="1880"/>
      <c r="AD174" s="1880"/>
      <c r="AE174" s="1880"/>
      <c r="AF174" s="1880"/>
      <c r="AG174" s="1880"/>
      <c r="AH174" s="1880"/>
      <c r="AI174" s="1880"/>
      <c r="AJ174" s="1880"/>
      <c r="AK174" s="1924" t="s">
        <v>730</v>
      </c>
      <c r="AL174" s="1925"/>
      <c r="AM174" s="1925"/>
      <c r="AN174" s="1925"/>
      <c r="AO174" s="1926"/>
    </row>
    <row r="175" spans="1:41" ht="43.15" customHeight="1">
      <c r="A175" s="1817" t="s">
        <v>217</v>
      </c>
      <c r="B175" s="703" t="s">
        <v>218</v>
      </c>
      <c r="C175" s="703" t="s">
        <v>390</v>
      </c>
      <c r="D175" s="1562" t="s">
        <v>630</v>
      </c>
      <c r="E175" s="704" t="s">
        <v>786</v>
      </c>
      <c r="F175" s="704" t="s">
        <v>787</v>
      </c>
      <c r="G175" s="704" t="s">
        <v>771</v>
      </c>
      <c r="H175" s="704" t="s">
        <v>597</v>
      </c>
      <c r="I175" s="705" t="s">
        <v>626</v>
      </c>
      <c r="J175" s="1461" t="s">
        <v>326</v>
      </c>
      <c r="K175" s="1461" t="s">
        <v>765</v>
      </c>
      <c r="L175" s="706" t="s">
        <v>766</v>
      </c>
      <c r="M175" s="1829"/>
      <c r="N175" s="508" t="s">
        <v>605</v>
      </c>
      <c r="O175" s="559" t="s">
        <v>606</v>
      </c>
      <c r="P175" s="1810"/>
      <c r="Q175" s="1812"/>
      <c r="R175" s="1812"/>
      <c r="S175" s="1812"/>
      <c r="T175" s="1844"/>
      <c r="U175" s="1877"/>
      <c r="V175" s="1814"/>
      <c r="W175" s="1816"/>
      <c r="X175" s="1464" t="s">
        <v>473</v>
      </c>
      <c r="Y175" s="1465" t="s">
        <v>489</v>
      </c>
      <c r="Z175" s="1636" t="s">
        <v>814</v>
      </c>
      <c r="AA175" s="1465" t="s">
        <v>377</v>
      </c>
      <c r="AB175" s="1465" t="s">
        <v>477</v>
      </c>
      <c r="AC175" s="1465" t="s">
        <v>225</v>
      </c>
      <c r="AD175" s="713" t="s">
        <v>617</v>
      </c>
      <c r="AE175" s="1092" t="s">
        <v>473</v>
      </c>
      <c r="AF175" s="1465" t="s">
        <v>489</v>
      </c>
      <c r="AG175" s="1636" t="s">
        <v>814</v>
      </c>
      <c r="AH175" s="1465" t="s">
        <v>377</v>
      </c>
      <c r="AI175" s="1465" t="s">
        <v>477</v>
      </c>
      <c r="AJ175" s="718" t="s">
        <v>225</v>
      </c>
      <c r="AK175" s="189" t="s">
        <v>731</v>
      </c>
      <c r="AL175" s="712" t="s">
        <v>493</v>
      </c>
      <c r="AM175" s="712" t="s">
        <v>732</v>
      </c>
      <c r="AN175" s="712" t="s">
        <v>225</v>
      </c>
      <c r="AO175" s="1183" t="s">
        <v>617</v>
      </c>
    </row>
    <row r="176" spans="1:41" ht="36.6" customHeight="1" thickBot="1">
      <c r="A176" s="1852"/>
      <c r="B176" s="458" t="s">
        <v>232</v>
      </c>
      <c r="C176" s="459" t="s">
        <v>482</v>
      </c>
      <c r="D176" s="477" t="s">
        <v>480</v>
      </c>
      <c r="E176" s="1561" t="s">
        <v>228</v>
      </c>
      <c r="F176" s="1558" t="s">
        <v>228</v>
      </c>
      <c r="G176" s="1558" t="s">
        <v>228</v>
      </c>
      <c r="H176" s="1559" t="str">
        <f>G176</f>
        <v>Gg</v>
      </c>
      <c r="I176" s="1560" t="s">
        <v>228</v>
      </c>
      <c r="J176" s="707" t="s">
        <v>229</v>
      </c>
      <c r="K176" s="1114" t="s">
        <v>228</v>
      </c>
      <c r="L176" s="1114" t="s">
        <v>228</v>
      </c>
      <c r="M176" s="1114" t="s">
        <v>228</v>
      </c>
      <c r="N176" s="688" t="s">
        <v>229</v>
      </c>
      <c r="O176" s="690" t="s">
        <v>228</v>
      </c>
      <c r="P176" s="1115" t="s">
        <v>228</v>
      </c>
      <c r="Q176" s="1116" t="s">
        <v>228</v>
      </c>
      <c r="R176" s="1116" t="s">
        <v>228</v>
      </c>
      <c r="S176" s="1117" t="s">
        <v>28</v>
      </c>
      <c r="T176" s="1844"/>
      <c r="U176" s="1117" t="s">
        <v>28</v>
      </c>
      <c r="V176" s="1116" t="s">
        <v>228</v>
      </c>
      <c r="W176" s="1496"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6" t="s">
        <v>229</v>
      </c>
      <c r="AK176" s="191" t="s">
        <v>228</v>
      </c>
      <c r="AL176" s="1095" t="s">
        <v>228</v>
      </c>
      <c r="AM176" s="1095" t="s">
        <v>228</v>
      </c>
      <c r="AN176" s="1095" t="s">
        <v>228</v>
      </c>
      <c r="AO176" s="1096" t="s">
        <v>590</v>
      </c>
    </row>
    <row r="177" spans="1:41">
      <c r="A177" s="100">
        <f>'Input data'!A117</f>
        <v>2017</v>
      </c>
      <c r="B177" s="1506">
        <f>'Input data'!B117</f>
        <v>56.521948041648095</v>
      </c>
      <c r="C177" s="1507">
        <f>'Input data'!C117</f>
        <v>3117.5115237718705</v>
      </c>
      <c r="D177" s="1507">
        <f>'Input data'!E117</f>
        <v>49995051</v>
      </c>
      <c r="E177" s="1508">
        <f>'Input data'!J117*C177</f>
        <v>37506.923384615395</v>
      </c>
      <c r="F177" s="1509">
        <f>'Input data'!L117</f>
        <v>87501.974384615402</v>
      </c>
      <c r="G177" s="1510">
        <f>F177*B11</f>
        <v>68439.708347615408</v>
      </c>
      <c r="H177" s="1513">
        <f t="shared" ref="H177" si="133">E177*$B$12+I177*$E$80-G177</f>
        <v>0</v>
      </c>
      <c r="I177" s="1511">
        <f>D177/1000</f>
        <v>49995.050999999999</v>
      </c>
      <c r="J177" s="1504">
        <f>H17</f>
        <v>6.154773859516615E-2</v>
      </c>
      <c r="K177" s="1501">
        <f>(I177)*J177-(I177)*$J$137</f>
        <v>0</v>
      </c>
      <c r="L177" s="1501">
        <f>(E177)*$C$12*$G$12-(E177)*$C$12*$G$12</f>
        <v>0</v>
      </c>
      <c r="M177" s="1503">
        <f>L177+K177</f>
        <v>0</v>
      </c>
      <c r="N177" s="1453">
        <v>0</v>
      </c>
      <c r="O177" s="1503">
        <f>N177*$E$177*($C$85)*$B$12</f>
        <v>0</v>
      </c>
      <c r="P177" s="1480">
        <f>O177+M177</f>
        <v>0</v>
      </c>
      <c r="Q177" s="1484">
        <f>E177*$B$12+(1-$J$137)*I177-P177</f>
        <v>68439.708347615408</v>
      </c>
      <c r="R177" s="1484">
        <f>Q177-G177</f>
        <v>0</v>
      </c>
      <c r="S177" s="1505">
        <f>R177/(Q177-I177*(1-J177))</f>
        <v>0</v>
      </c>
      <c r="T177" s="1489" t="str">
        <f>IF(AND(S177&gt;=0,S177&lt;=1),"Yes","No")</f>
        <v>Yes</v>
      </c>
      <c r="U177" s="1119">
        <f>IF(S177&lt;=0,0,IF(S177&gt;=1,1,S177))</f>
        <v>0</v>
      </c>
      <c r="V177" s="1493">
        <f>AC177</f>
        <v>87501.974384615402</v>
      </c>
      <c r="W177" s="1490">
        <f t="shared" ref="W177:W210" si="134">(1-V177/F177)</f>
        <v>0</v>
      </c>
      <c r="X177" s="527">
        <f>(E177*$B$12-O177-L177)*(1-U177)+I177*(1-J177)</f>
        <v>68439.708347615408</v>
      </c>
      <c r="Y177" s="1501">
        <f>I177*J177+E177*$G$12*$C$12</f>
        <v>6080.5670370000007</v>
      </c>
      <c r="Z177" s="1531">
        <f>($C$12*$H$12*E177+O177)</f>
        <v>1694.9190000000001</v>
      </c>
      <c r="AA177" s="1531">
        <f>$F$137*$D$11</f>
        <v>0</v>
      </c>
      <c r="AB177" s="1531">
        <f>E177*$E$12</f>
        <v>11286.78</v>
      </c>
      <c r="AC177" s="1531">
        <f>SUM(X177:AB177)</f>
        <v>87501.974384615402</v>
      </c>
      <c r="AD177" s="1487">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7">
        <f>I177*(1-$J$177)-K177</f>
        <v>46917.968670000002</v>
      </c>
      <c r="AL177" s="1498">
        <f>(E177*$C$86*$B$12-L177)*(1-U177)</f>
        <v>20017.905677615392</v>
      </c>
      <c r="AM177" s="1498">
        <f>(E177*($C$85)*$B$12-O177)*(1-U177)</f>
        <v>1503.8340000000005</v>
      </c>
      <c r="AN177" s="1498">
        <f>SUM(AK177:AM177)</f>
        <v>68439.708347615393</v>
      </c>
      <c r="AO177" s="1184">
        <f>AN177-X177</f>
        <v>0</v>
      </c>
    </row>
    <row r="178" spans="1:41">
      <c r="A178" s="100">
        <f>'Input data'!A118</f>
        <v>2018</v>
      </c>
      <c r="B178" s="1506">
        <f>'Input data'!B118</f>
        <v>57.436000617299655</v>
      </c>
      <c r="C178" s="1507">
        <f>'Input data'!C118</f>
        <v>3154.0370052724184</v>
      </c>
      <c r="D178" s="1507">
        <f>'Input data'!E118</f>
        <v>50359792.847133137</v>
      </c>
      <c r="E178" s="1508">
        <f>'Input data'!J118*C178</f>
        <v>37946.363119089809</v>
      </c>
      <c r="F178" s="1509">
        <f>'Input data'!L118</f>
        <v>88306.155966222956</v>
      </c>
      <c r="G178" s="1510">
        <f>G177*0.94</f>
        <v>64333.325846758482</v>
      </c>
      <c r="H178" s="1509">
        <f>E178*$B$12+I178*$E$80-G178</f>
        <v>4700.8289604658348</v>
      </c>
      <c r="I178" s="1511">
        <f t="shared" ref="I178:I210" si="135">D178/1000</f>
        <v>50359.79284713314</v>
      </c>
      <c r="J178" s="1454">
        <f>($J$190-$J$177)/($A$190-$A$177)+J177</f>
        <v>8.7582527933999524E-2</v>
      </c>
      <c r="K178" s="1512">
        <f>(I178)*J178-(I178)*$J$137</f>
        <v>1311.106597922399</v>
      </c>
      <c r="L178" s="1512">
        <f t="shared" ref="L178:L210" si="136">(E178)*$C$12*$G$12-(E178)*$C$12*$G$12</f>
        <v>0</v>
      </c>
      <c r="M178" s="1511">
        <f>L178+K178</f>
        <v>1311.106597922399</v>
      </c>
      <c r="N178" s="1454">
        <v>0.05</v>
      </c>
      <c r="O178" s="1511">
        <f t="shared" ref="O178:O210" si="137">N178*$E$177*($C$85)*$B$12</f>
        <v>75.191700000000026</v>
      </c>
      <c r="P178" s="1481">
        <f>O178+M178</f>
        <v>1386.2982979223991</v>
      </c>
      <c r="Q178" s="1364">
        <f t="shared" ref="Q178:Q210" si="138">E178*$B$12+(1-$J$137)*I178-P178</f>
        <v>67647.856509301913</v>
      </c>
      <c r="R178" s="1364">
        <f>Q178-G178</f>
        <v>3314.5306625434314</v>
      </c>
      <c r="S178" s="1514">
        <f t="shared" ref="S178:S210" si="139">R178/(Q178-I178*(1-J178))</f>
        <v>0.15275248812947445</v>
      </c>
      <c r="T178" s="135" t="str">
        <f t="shared" ref="T178:T210" si="140">IF(AND(S178&gt;=0,S178&lt;=1),"Yes","No")</f>
        <v>Yes</v>
      </c>
      <c r="U178" s="1526">
        <f t="shared" ref="U178:U210" si="141">IF(S178&lt;=0,0,IF(S178&gt;=1,1,S178))</f>
        <v>0.15275248812947445</v>
      </c>
      <c r="V178" s="1494">
        <f t="shared" ref="V178:V210" si="142">AC178</f>
        <v>84991.625303679524</v>
      </c>
      <c r="W178" s="1491">
        <f t="shared" si="134"/>
        <v>3.7534536819961217E-2</v>
      </c>
      <c r="X178" s="527">
        <f t="shared" ref="X178:X210" si="143">(E178*$B$12-O178-L178)*(1-U178)+I178*(1-J178)</f>
        <v>64333.325846758482</v>
      </c>
      <c r="Y178" s="1509">
        <f t="shared" ref="Y178:Y210" si="144">I178*J178+E178*$G$12*$C$12</f>
        <v>7449.3121878932852</v>
      </c>
      <c r="Z178" s="1531">
        <f t="shared" ref="Z178:Z210" si="145">($C$12*$H$12*E178+O178)</f>
        <v>1789.9687605419947</v>
      </c>
      <c r="AA178" s="1531">
        <f t="shared" ref="AA178:AA210" si="146">$F$137*$D$11</f>
        <v>0</v>
      </c>
      <c r="AB178" s="1531">
        <f t="shared" ref="AB178:AB210" si="147">E178*$E$12</f>
        <v>11419.018508485759</v>
      </c>
      <c r="AC178" s="1531">
        <f t="shared" ref="AC178:AC210" si="148">SUM(X178:AB178)</f>
        <v>84991.625303679524</v>
      </c>
      <c r="AD178" s="1487">
        <f t="shared" ref="AD178:AD210" si="149">X178-G178</f>
        <v>0</v>
      </c>
      <c r="AE178" s="649">
        <f t="shared" ref="AE178:AE210" si="150">X178/AC178</f>
        <v>0.75693723489687537</v>
      </c>
      <c r="AF178" s="417">
        <f t="shared" ref="AF178:AF210" si="151">Y178/AC178</f>
        <v>8.7647602469966931E-2</v>
      </c>
      <c r="AG178" s="417">
        <f t="shared" ref="AG178:AG210" si="152">Z178/AC178</f>
        <v>2.1060531012865594E-2</v>
      </c>
      <c r="AH178" s="417">
        <f>AA178/AC178</f>
        <v>0</v>
      </c>
      <c r="AI178" s="417">
        <f t="shared" ref="AI178:AI209" si="153">AB178/AC178</f>
        <v>0.1343546316202921</v>
      </c>
      <c r="AJ178" s="417">
        <f t="shared" ref="AJ178:AJ210" si="154">SUM(AE178:AI178)</f>
        <v>1</v>
      </c>
      <c r="AK178" s="1497">
        <f t="shared" ref="AK178:AK210" si="155">I178*(1-$J$177)-K178</f>
        <v>45949.154883348674</v>
      </c>
      <c r="AL178" s="1498">
        <f t="shared" ref="AL178:AL210" si="156">(E178*$C$86*$B$12-L178)*(1-U178)</f>
        <v>17158.829451148249</v>
      </c>
      <c r="AM178" s="1498">
        <f t="shared" ref="AM178:AM210" si="157">(E178*($C$85)*$B$12-O178)*(1-U178)</f>
        <v>1225.3415122615597</v>
      </c>
      <c r="AN178" s="1498">
        <f t="shared" ref="AN178:AN210" si="158">SUM(AK178:AM178)</f>
        <v>64333.325846758489</v>
      </c>
      <c r="AO178" s="1184">
        <f t="shared" ref="AO178:AO210" si="159">AN178-X178</f>
        <v>0</v>
      </c>
    </row>
    <row r="179" spans="1:41">
      <c r="A179" s="100">
        <f>'Input data'!A119</f>
        <v>2019</v>
      </c>
      <c r="B179" s="1506">
        <f>'Input data'!B119</f>
        <v>58.364834921819444</v>
      </c>
      <c r="C179" s="1507">
        <f>'Input data'!C119</f>
        <v>3164.1559328574817</v>
      </c>
      <c r="D179" s="1507">
        <f>'Input data'!E119</f>
        <v>53404857.831011549</v>
      </c>
      <c r="E179" s="1508">
        <f>'Input data'!J119*C179</f>
        <v>38068.104398560121</v>
      </c>
      <c r="F179" s="1509">
        <f>'Input data'!L119</f>
        <v>91472.962229571669</v>
      </c>
      <c r="G179" s="1510">
        <f>G177*0.89</f>
        <v>60911.340429377713</v>
      </c>
      <c r="H179" s="1509">
        <f t="shared" ref="H179:H210" si="160">E179*$B$12+I179*$E$80-G179</f>
        <v>11050.318511018224</v>
      </c>
      <c r="I179" s="1511">
        <f t="shared" si="135"/>
        <v>53404.857831011548</v>
      </c>
      <c r="J179" s="1454">
        <f t="shared" ref="J179:J189" si="161">($J$190-$J$177)/($A$190-$A$177)+J178</f>
        <v>0.11361731727283289</v>
      </c>
      <c r="K179" s="1512">
        <f t="shared" ref="K179:K210" si="162">(I179)*J179-(I179)*$J$137</f>
        <v>2780.7684466014621</v>
      </c>
      <c r="L179" s="1512">
        <f t="shared" si="136"/>
        <v>0</v>
      </c>
      <c r="M179" s="1511">
        <f t="shared" ref="M179:M210" si="163">L179+K179</f>
        <v>2780.7684466014621</v>
      </c>
      <c r="N179" s="1454">
        <v>0.1</v>
      </c>
      <c r="O179" s="1511">
        <f t="shared" si="137"/>
        <v>150.38340000000005</v>
      </c>
      <c r="P179" s="1481">
        <f>O179+M179</f>
        <v>2931.1518466014622</v>
      </c>
      <c r="Q179" s="1364">
        <f t="shared" si="138"/>
        <v>69030.507093794469</v>
      </c>
      <c r="R179" s="1364">
        <f t="shared" ref="R179:R210" si="164">Q179-G179</f>
        <v>8119.1666644167562</v>
      </c>
      <c r="S179" s="1514">
        <f t="shared" si="139"/>
        <v>0.37426956643299625</v>
      </c>
      <c r="T179" s="135" t="str">
        <f t="shared" si="140"/>
        <v>Yes</v>
      </c>
      <c r="U179" s="1526">
        <f t="shared" si="141"/>
        <v>0.37426956643299625</v>
      </c>
      <c r="V179" s="1494">
        <f t="shared" si="142"/>
        <v>83353.795565154913</v>
      </c>
      <c r="W179" s="1491">
        <f t="shared" si="134"/>
        <v>8.8760290106708384E-2</v>
      </c>
      <c r="X179" s="527">
        <f t="shared" si="143"/>
        <v>60911.34042937772</v>
      </c>
      <c r="Y179" s="1509">
        <f t="shared" si="144"/>
        <v>9116.1397155734267</v>
      </c>
      <c r="Z179" s="1531">
        <f t="shared" si="145"/>
        <v>1870.6618877196547</v>
      </c>
      <c r="AA179" s="1531">
        <f t="shared" si="146"/>
        <v>0</v>
      </c>
      <c r="AB179" s="1531">
        <f t="shared" si="147"/>
        <v>11455.653532484115</v>
      </c>
      <c r="AC179" s="1531">
        <f t="shared" si="148"/>
        <v>83353.795565154913</v>
      </c>
      <c r="AD179" s="1487">
        <f t="shared" si="149"/>
        <v>0</v>
      </c>
      <c r="AE179" s="649">
        <f t="shared" si="150"/>
        <v>0.7307566502087518</v>
      </c>
      <c r="AF179" s="417">
        <f t="shared" si="151"/>
        <v>0.10936682191571757</v>
      </c>
      <c r="AG179" s="417">
        <f t="shared" si="152"/>
        <v>2.2442431985684682E-2</v>
      </c>
      <c r="AH179" s="417">
        <f t="shared" ref="AH179:AH210" si="165">AA179/AC179</f>
        <v>0</v>
      </c>
      <c r="AI179" s="417">
        <f t="shared" si="153"/>
        <v>0.13743409588984593</v>
      </c>
      <c r="AJ179" s="417">
        <f t="shared" si="154"/>
        <v>0.99999999999999989</v>
      </c>
      <c r="AK179" s="1497">
        <f t="shared" si="155"/>
        <v>47337.141154914978</v>
      </c>
      <c r="AL179" s="1498">
        <f t="shared" si="156"/>
        <v>12713.224820127884</v>
      </c>
      <c r="AM179" s="1498">
        <f t="shared" si="157"/>
        <v>860.97445433485484</v>
      </c>
      <c r="AN179" s="1498">
        <f t="shared" si="158"/>
        <v>60911.34042937772</v>
      </c>
      <c r="AO179" s="1184">
        <f t="shared" si="159"/>
        <v>0</v>
      </c>
    </row>
    <row r="180" spans="1:41">
      <c r="A180" s="100">
        <f>'Input data'!A120</f>
        <v>2020</v>
      </c>
      <c r="B180" s="1506">
        <f>'Input data'!B120</f>
        <v>59.308690000000006</v>
      </c>
      <c r="C180" s="1507">
        <f>'Input data'!C120</f>
        <v>2966.4312031486884</v>
      </c>
      <c r="D180" s="1507">
        <f>'Input data'!E120</f>
        <v>50522212.337504238</v>
      </c>
      <c r="E180" s="1508">
        <f>'Input data'!J120*C180</f>
        <v>35689.269153884321</v>
      </c>
      <c r="F180" s="1509">
        <f>'Input data'!L120</f>
        <v>86211.481491388549</v>
      </c>
      <c r="G180" s="1510">
        <f>G177*0.81</f>
        <v>55436.163761568481</v>
      </c>
      <c r="H180" s="1509">
        <f t="shared" si="160"/>
        <v>12455.277396534897</v>
      </c>
      <c r="I180" s="1511">
        <f t="shared" si="135"/>
        <v>50522.212337504236</v>
      </c>
      <c r="J180" s="1454">
        <f t="shared" si="161"/>
        <v>0.13965210661166627</v>
      </c>
      <c r="K180" s="1512">
        <f t="shared" si="162"/>
        <v>3946.0054654161941</v>
      </c>
      <c r="L180" s="1512">
        <f t="shared" si="136"/>
        <v>0</v>
      </c>
      <c r="M180" s="1511">
        <f t="shared" si="163"/>
        <v>3946.0054654161941</v>
      </c>
      <c r="N180" s="1454">
        <f>($N$142-$N$137)/($A$102-$A$97)+N179</f>
        <v>0.2</v>
      </c>
      <c r="O180" s="1511">
        <f t="shared" si="137"/>
        <v>300.7668000000001</v>
      </c>
      <c r="P180" s="1481">
        <f t="shared" ref="P180:P210" si="166">O180+M180</f>
        <v>4246.7722654161944</v>
      </c>
      <c r="Q180" s="1364">
        <f t="shared" si="138"/>
        <v>63644.668892687187</v>
      </c>
      <c r="R180" s="1364">
        <f t="shared" si="164"/>
        <v>8208.5051311187053</v>
      </c>
      <c r="S180" s="1514">
        <f t="shared" si="139"/>
        <v>0.40680489761449229</v>
      </c>
      <c r="T180" s="135" t="str">
        <f t="shared" si="140"/>
        <v>Yes</v>
      </c>
      <c r="U180" s="1526">
        <f t="shared" si="141"/>
        <v>0.40680489761449229</v>
      </c>
      <c r="V180" s="1494">
        <f t="shared" si="142"/>
        <v>78002.976360269866</v>
      </c>
      <c r="W180" s="1491">
        <f t="shared" si="134"/>
        <v>9.5213595557322783E-2</v>
      </c>
      <c r="X180" s="527">
        <f t="shared" si="143"/>
        <v>55436.163761568474</v>
      </c>
      <c r="Y180" s="1509">
        <f t="shared" si="144"/>
        <v>9913.4637184620151</v>
      </c>
      <c r="Z180" s="1531">
        <f t="shared" si="145"/>
        <v>1913.5469196790364</v>
      </c>
      <c r="AA180" s="1531">
        <f t="shared" si="146"/>
        <v>0</v>
      </c>
      <c r="AB180" s="1531">
        <f t="shared" si="147"/>
        <v>10739.801960560329</v>
      </c>
      <c r="AC180" s="1531">
        <f t="shared" si="148"/>
        <v>78002.976360269866</v>
      </c>
      <c r="AD180" s="1487">
        <f t="shared" si="149"/>
        <v>0</v>
      </c>
      <c r="AE180" s="649">
        <f t="shared" si="150"/>
        <v>0.71069292927397065</v>
      </c>
      <c r="AF180" s="417">
        <f t="shared" si="151"/>
        <v>0.12709083910689531</v>
      </c>
      <c r="AG180" s="417">
        <f t="shared" si="152"/>
        <v>2.4531716723743952E-2</v>
      </c>
      <c r="AH180" s="417">
        <f t="shared" si="165"/>
        <v>0</v>
      </c>
      <c r="AI180" s="417">
        <f t="shared" si="153"/>
        <v>0.13768451489538999</v>
      </c>
      <c r="AJ180" s="417">
        <f t="shared" si="154"/>
        <v>1</v>
      </c>
      <c r="AK180" s="1497">
        <f t="shared" si="155"/>
        <v>43466.678953889852</v>
      </c>
      <c r="AL180" s="1498">
        <f t="shared" si="156"/>
        <v>11299.062436378306</v>
      </c>
      <c r="AM180" s="1498">
        <f t="shared" si="157"/>
        <v>670.42237130031697</v>
      </c>
      <c r="AN180" s="1498">
        <f t="shared" si="158"/>
        <v>55436.163761568474</v>
      </c>
      <c r="AO180" s="1184">
        <f t="shared" si="159"/>
        <v>0</v>
      </c>
    </row>
    <row r="181" spans="1:41">
      <c r="A181" s="100">
        <f>'Input data'!A121</f>
        <v>2021</v>
      </c>
      <c r="B181" s="1506">
        <f>'Input data'!B121</f>
        <v>60.097873988486953</v>
      </c>
      <c r="C181" s="1507">
        <f>'Input data'!C121</f>
        <v>3038.4599250524875</v>
      </c>
      <c r="D181" s="1507">
        <f>'Input data'!E121</f>
        <v>50478759.434739612</v>
      </c>
      <c r="E181" s="1508">
        <f>'Input data'!J121*C181</f>
        <v>36555.849993549964</v>
      </c>
      <c r="F181" s="1509">
        <f>'Input data'!L121</f>
        <v>87034.609428289579</v>
      </c>
      <c r="G181" s="1510">
        <f>G177*0.65</f>
        <v>44485.810425950018</v>
      </c>
      <c r="H181" s="1509">
        <f t="shared" si="160"/>
        <v>23862.102512919249</v>
      </c>
      <c r="I181" s="1511">
        <f t="shared" si="135"/>
        <v>50478.759434739615</v>
      </c>
      <c r="J181" s="1454">
        <f t="shared" si="161"/>
        <v>0.16568689595049965</v>
      </c>
      <c r="K181" s="1512">
        <f t="shared" si="162"/>
        <v>5256.8154718763753</v>
      </c>
      <c r="L181" s="1512">
        <f t="shared" si="136"/>
        <v>0</v>
      </c>
      <c r="M181" s="1511">
        <f t="shared" si="163"/>
        <v>5256.8154718763753</v>
      </c>
      <c r="N181" s="1454">
        <v>0.4</v>
      </c>
      <c r="O181" s="1511">
        <f t="shared" si="137"/>
        <v>601.53360000000021</v>
      </c>
      <c r="P181" s="1481">
        <f t="shared" si="166"/>
        <v>5858.3490718763751</v>
      </c>
      <c r="Q181" s="1364">
        <f t="shared" si="138"/>
        <v>62489.563866992889</v>
      </c>
      <c r="R181" s="1364">
        <f t="shared" si="164"/>
        <v>18003.753441042871</v>
      </c>
      <c r="S181" s="1514">
        <f t="shared" si="139"/>
        <v>0.88364263912544427</v>
      </c>
      <c r="T181" s="135" t="str">
        <f t="shared" si="140"/>
        <v>Yes</v>
      </c>
      <c r="U181" s="1526">
        <f t="shared" si="141"/>
        <v>0.88364263912544427</v>
      </c>
      <c r="V181" s="1494">
        <f t="shared" si="142"/>
        <v>69030.855987246701</v>
      </c>
      <c r="W181" s="1491">
        <f t="shared" si="134"/>
        <v>0.20685740487956927</v>
      </c>
      <c r="X181" s="527">
        <f t="shared" si="143"/>
        <v>44485.810425950018</v>
      </c>
      <c r="Y181" s="1509">
        <f t="shared" si="144"/>
        <v>11290.993479866895</v>
      </c>
      <c r="Z181" s="1531">
        <f t="shared" si="145"/>
        <v>2253.4740718925086</v>
      </c>
      <c r="AA181" s="1531">
        <f t="shared" si="146"/>
        <v>0</v>
      </c>
      <c r="AB181" s="1531">
        <f t="shared" si="147"/>
        <v>11000.578009537285</v>
      </c>
      <c r="AC181" s="1531">
        <f t="shared" si="148"/>
        <v>69030.855987246701</v>
      </c>
      <c r="AD181" s="1005">
        <f t="shared" si="149"/>
        <v>0</v>
      </c>
      <c r="AE181" s="649">
        <f t="shared" si="150"/>
        <v>0.64443370706816494</v>
      </c>
      <c r="AF181" s="417">
        <f t="shared" si="151"/>
        <v>0.16356444257265013</v>
      </c>
      <c r="AG181" s="417">
        <f t="shared" si="152"/>
        <v>3.264444630831223E-2</v>
      </c>
      <c r="AH181" s="417">
        <f t="shared" si="165"/>
        <v>0</v>
      </c>
      <c r="AI181" s="417">
        <f t="shared" si="153"/>
        <v>0.15935740405087281</v>
      </c>
      <c r="AJ181" s="417">
        <f t="shared" si="154"/>
        <v>1</v>
      </c>
      <c r="AK181" s="1497">
        <f t="shared" si="155"/>
        <v>42115.090472565607</v>
      </c>
      <c r="AL181" s="1498">
        <f t="shared" si="156"/>
        <v>2270.1677308549342</v>
      </c>
      <c r="AM181" s="1498">
        <f t="shared" si="157"/>
        <v>100.55222252947536</v>
      </c>
      <c r="AN181" s="1498">
        <f t="shared" si="158"/>
        <v>44485.810425950018</v>
      </c>
      <c r="AO181" s="1184">
        <f t="shared" si="159"/>
        <v>0</v>
      </c>
    </row>
    <row r="182" spans="1:41">
      <c r="A182" s="100">
        <f>'Input data'!A122</f>
        <v>2022</v>
      </c>
      <c r="B182" s="1506">
        <f>'Input data'!B122</f>
        <v>60.841582286809363</v>
      </c>
      <c r="C182" s="1507">
        <f>'Input data'!C122</f>
        <v>3105.6495314991057</v>
      </c>
      <c r="D182" s="1507">
        <f>'Input data'!E122</f>
        <v>50359792.847133152</v>
      </c>
      <c r="E182" s="1508">
        <f>'Input data'!J122*C182</f>
        <v>37364.211214356852</v>
      </c>
      <c r="F182" s="1509">
        <f>'Input data'!L122</f>
        <v>87724.004061490006</v>
      </c>
      <c r="G182" s="1510">
        <f>G177*(1-E4)</f>
        <v>34219.854173807704</v>
      </c>
      <c r="H182" s="1509">
        <f t="shared" si="160"/>
        <v>34480.257725710951</v>
      </c>
      <c r="I182" s="1511">
        <f t="shared" si="135"/>
        <v>50359.792847133154</v>
      </c>
      <c r="J182" s="1454">
        <f t="shared" si="161"/>
        <v>0.19172168528933303</v>
      </c>
      <c r="K182" s="1512">
        <f t="shared" si="162"/>
        <v>6555.5329896119983</v>
      </c>
      <c r="L182" s="1512">
        <f t="shared" si="136"/>
        <v>0</v>
      </c>
      <c r="M182" s="1511">
        <f t="shared" si="163"/>
        <v>6555.5329896119983</v>
      </c>
      <c r="N182" s="1454">
        <f>$E$26</f>
        <v>0.5</v>
      </c>
      <c r="O182" s="1511">
        <f t="shared" si="137"/>
        <v>751.91700000000026</v>
      </c>
      <c r="P182" s="1481">
        <f t="shared" si="166"/>
        <v>7307.4499896119987</v>
      </c>
      <c r="Q182" s="1364">
        <f t="shared" si="138"/>
        <v>61392.661909906659</v>
      </c>
      <c r="R182" s="1364">
        <f t="shared" si="164"/>
        <v>27172.807736098956</v>
      </c>
      <c r="S182" s="1514">
        <f t="shared" si="139"/>
        <v>1.3134616777203791</v>
      </c>
      <c r="T182" s="135" t="str">
        <f t="shared" si="140"/>
        <v>No</v>
      </c>
      <c r="U182" s="1526">
        <f t="shared" si="141"/>
        <v>1</v>
      </c>
      <c r="V182" s="1494">
        <f t="shared" si="142"/>
        <v>67036.070643242434</v>
      </c>
      <c r="W182" s="1491">
        <f>(1-V182/F182)</f>
        <v>0.23582978957214951</v>
      </c>
      <c r="X182" s="527">
        <f t="shared" si="143"/>
        <v>40704.728491659087</v>
      </c>
      <c r="Y182" s="1509">
        <f t="shared" si="144"/>
        <v>12647.120937152275</v>
      </c>
      <c r="Z182" s="1531">
        <f t="shared" si="145"/>
        <v>2440.3869088169668</v>
      </c>
      <c r="AA182" s="1531">
        <f t="shared" si="146"/>
        <v>0</v>
      </c>
      <c r="AB182" s="1531">
        <f t="shared" si="147"/>
        <v>11243.834305614109</v>
      </c>
      <c r="AC182" s="1531">
        <f t="shared" si="148"/>
        <v>67036.070643242434</v>
      </c>
      <c r="AD182" s="1005">
        <f t="shared" si="149"/>
        <v>6484.8743178513832</v>
      </c>
      <c r="AE182" s="649">
        <f t="shared" si="150"/>
        <v>0.6072063607111543</v>
      </c>
      <c r="AF182" s="417">
        <f t="shared" si="151"/>
        <v>0.18866142982124753</v>
      </c>
      <c r="AG182" s="417">
        <f t="shared" si="152"/>
        <v>3.6404086417958476E-2</v>
      </c>
      <c r="AH182" s="417">
        <f t="shared" si="165"/>
        <v>0</v>
      </c>
      <c r="AI182" s="417">
        <f t="shared" si="153"/>
        <v>0.16772812304963974</v>
      </c>
      <c r="AJ182" s="417">
        <f t="shared" si="154"/>
        <v>1</v>
      </c>
      <c r="AK182" s="1497">
        <f t="shared" si="155"/>
        <v>40704.728491659087</v>
      </c>
      <c r="AL182" s="1498">
        <f t="shared" si="156"/>
        <v>0</v>
      </c>
      <c r="AM182" s="1498">
        <f t="shared" si="157"/>
        <v>0</v>
      </c>
      <c r="AN182" s="1498">
        <f t="shared" si="158"/>
        <v>40704.728491659087</v>
      </c>
      <c r="AO182" s="1184">
        <f t="shared" si="159"/>
        <v>0</v>
      </c>
    </row>
    <row r="183" spans="1:41">
      <c r="A183" s="100">
        <f>'Input data'!A123</f>
        <v>2023</v>
      </c>
      <c r="B183" s="1506">
        <f>'Input data'!B123</f>
        <v>61.537824355929828</v>
      </c>
      <c r="C183" s="1507">
        <f>'Input data'!C123</f>
        <v>3166.2503551240475</v>
      </c>
      <c r="D183" s="1507">
        <f>'Input data'!E123</f>
        <v>49907933.066043317</v>
      </c>
      <c r="E183" s="1508">
        <f>'Input data'!J123*C183</f>
        <v>38093.302488410991</v>
      </c>
      <c r="F183" s="1509">
        <f>'Input data'!L123</f>
        <v>88001.23555445431</v>
      </c>
      <c r="G183" s="1510">
        <f>($G$147-$G$142)/($A$147-$A$142)+G182</f>
        <v>32166.662923379241</v>
      </c>
      <c r="H183" s="1509">
        <f t="shared" si="160"/>
        <v>36527.757906729959</v>
      </c>
      <c r="I183" s="1511">
        <f t="shared" si="135"/>
        <v>49907.933066043319</v>
      </c>
      <c r="J183" s="1454">
        <f t="shared" si="161"/>
        <v>0.21775647462816641</v>
      </c>
      <c r="K183" s="1512">
        <f t="shared" si="162"/>
        <v>7796.0551422662065</v>
      </c>
      <c r="L183" s="1512">
        <f t="shared" si="136"/>
        <v>0</v>
      </c>
      <c r="M183" s="1511">
        <f t="shared" si="163"/>
        <v>7796.0551422662065</v>
      </c>
      <c r="N183" s="1454">
        <f>($N$147-$N$142)/($A$107-$A$102)+N182</f>
        <v>0.5</v>
      </c>
      <c r="O183" s="1511">
        <f t="shared" si="137"/>
        <v>751.91700000000026</v>
      </c>
      <c r="P183" s="1481">
        <f t="shared" si="166"/>
        <v>8547.972142266206</v>
      </c>
      <c r="Q183" s="1364">
        <f t="shared" si="138"/>
        <v>60146.448687842996</v>
      </c>
      <c r="R183" s="1364">
        <f t="shared" si="164"/>
        <v>27979.785764463755</v>
      </c>
      <c r="S183" s="1514">
        <f t="shared" si="139"/>
        <v>1.3256609379106741</v>
      </c>
      <c r="T183" s="135" t="str">
        <f t="shared" si="140"/>
        <v>No</v>
      </c>
      <c r="U183" s="1526">
        <f t="shared" si="141"/>
        <v>1</v>
      </c>
      <c r="V183" s="1494">
        <f t="shared" si="142"/>
        <v>66894.944372214552</v>
      </c>
      <c r="W183" s="1491">
        <f t="shared" si="134"/>
        <v>0.23984085052055193</v>
      </c>
      <c r="X183" s="527">
        <f t="shared" si="143"/>
        <v>39040.157505603231</v>
      </c>
      <c r="Y183" s="1509">
        <f t="shared" si="144"/>
        <v>13918.216416114146</v>
      </c>
      <c r="Z183" s="1531">
        <f t="shared" si="145"/>
        <v>2473.3341767241886</v>
      </c>
      <c r="AA183" s="1531">
        <f t="shared" si="146"/>
        <v>0</v>
      </c>
      <c r="AB183" s="1531">
        <f t="shared" si="147"/>
        <v>11463.236273772985</v>
      </c>
      <c r="AC183" s="1531">
        <f t="shared" si="148"/>
        <v>66894.944372214552</v>
      </c>
      <c r="AD183" s="1005">
        <f t="shared" si="149"/>
        <v>6873.4945822239897</v>
      </c>
      <c r="AE183" s="649">
        <f t="shared" si="150"/>
        <v>0.58360400583304661</v>
      </c>
      <c r="AF183" s="417">
        <f t="shared" si="151"/>
        <v>0.20806081157151257</v>
      </c>
      <c r="AG183" s="417">
        <f t="shared" si="152"/>
        <v>3.6973409574304263E-2</v>
      </c>
      <c r="AH183" s="417">
        <f t="shared" si="165"/>
        <v>0</v>
      </c>
      <c r="AI183" s="417">
        <f t="shared" si="153"/>
        <v>0.17136177302113653</v>
      </c>
      <c r="AJ183" s="417">
        <f t="shared" si="154"/>
        <v>1</v>
      </c>
      <c r="AK183" s="1497">
        <f t="shared" si="155"/>
        <v>39040.157505603231</v>
      </c>
      <c r="AL183" s="1498">
        <f t="shared" si="156"/>
        <v>0</v>
      </c>
      <c r="AM183" s="1498">
        <f t="shared" si="157"/>
        <v>0</v>
      </c>
      <c r="AN183" s="1498">
        <f t="shared" si="158"/>
        <v>39040.157505603231</v>
      </c>
      <c r="AO183" s="1184">
        <f t="shared" si="159"/>
        <v>0</v>
      </c>
    </row>
    <row r="184" spans="1:41">
      <c r="A184" s="100">
        <f>'Input data'!A124</f>
        <v>2024</v>
      </c>
      <c r="B184" s="1506">
        <f>'Input data'!B124</f>
        <v>62.221509701386374</v>
      </c>
      <c r="C184" s="1507">
        <f>'Input data'!C124</f>
        <v>3234.5964359714103</v>
      </c>
      <c r="D184" s="1507">
        <f>'Input data'!E124</f>
        <v>50177221.869345397</v>
      </c>
      <c r="E184" s="1508">
        <f>'Input data'!J124*C184</f>
        <v>38915.577305499479</v>
      </c>
      <c r="F184" s="1509">
        <f>'Input data'!L124</f>
        <v>89092.799174844869</v>
      </c>
      <c r="G184" s="1510">
        <f t="shared" ref="G184:G186" si="167">($G$147-$G$142)/($A$147-$A$142)+G183</f>
        <v>30113.471672950778</v>
      </c>
      <c r="H184" s="1509">
        <f t="shared" si="160"/>
        <v>39305.490988016114</v>
      </c>
      <c r="I184" s="1511">
        <f t="shared" si="135"/>
        <v>50177.221869345398</v>
      </c>
      <c r="J184" s="1454">
        <f t="shared" si="161"/>
        <v>0.24379126396699979</v>
      </c>
      <c r="K184" s="1512">
        <f t="shared" si="162"/>
        <v>9144.473806834174</v>
      </c>
      <c r="L184" s="1512">
        <f t="shared" si="136"/>
        <v>0</v>
      </c>
      <c r="M184" s="1511">
        <f t="shared" si="163"/>
        <v>9144.473806834174</v>
      </c>
      <c r="N184" s="1454">
        <f>($N$147-$N$142)/($A$107-$A$102)+N183</f>
        <v>0.5</v>
      </c>
      <c r="O184" s="1511">
        <f t="shared" si="137"/>
        <v>751.91700000000026</v>
      </c>
      <c r="P184" s="1481">
        <f t="shared" si="166"/>
        <v>9896.3908068341734</v>
      </c>
      <c r="Q184" s="1364">
        <f t="shared" si="138"/>
        <v>59522.571854132722</v>
      </c>
      <c r="R184" s="1364">
        <f t="shared" si="164"/>
        <v>29409.100181181944</v>
      </c>
      <c r="S184" s="1514">
        <f t="shared" si="139"/>
        <v>1.3629131018730345</v>
      </c>
      <c r="T184" s="135" t="str">
        <f t="shared" si="140"/>
        <v>No</v>
      </c>
      <c r="U184" s="1526">
        <f t="shared" si="141"/>
        <v>1</v>
      </c>
      <c r="V184" s="1494">
        <f t="shared" si="142"/>
        <v>67514.68084817726</v>
      </c>
      <c r="W184" s="1491">
        <f t="shared" si="134"/>
        <v>0.24219823068215074</v>
      </c>
      <c r="X184" s="527">
        <f t="shared" si="143"/>
        <v>37944.453527465099</v>
      </c>
      <c r="Y184" s="1509">
        <f t="shared" si="144"/>
        <v>15349.055436467395</v>
      </c>
      <c r="Z184" s="1531">
        <f t="shared" si="145"/>
        <v>2510.4923620654172</v>
      </c>
      <c r="AA184" s="1531">
        <f t="shared" si="146"/>
        <v>0</v>
      </c>
      <c r="AB184" s="1531">
        <f t="shared" si="147"/>
        <v>11710.679522179353</v>
      </c>
      <c r="AC184" s="1531">
        <f t="shared" si="148"/>
        <v>67514.68084817726</v>
      </c>
      <c r="AD184" s="1005">
        <f t="shared" si="149"/>
        <v>7830.9818545143207</v>
      </c>
      <c r="AE184" s="649">
        <f t="shared" si="150"/>
        <v>0.56201781672925599</v>
      </c>
      <c r="AF184" s="417">
        <f t="shared" si="151"/>
        <v>0.22734396791393238</v>
      </c>
      <c r="AG184" s="417">
        <f t="shared" si="152"/>
        <v>3.7184392054090479E-2</v>
      </c>
      <c r="AH184" s="417">
        <f t="shared" si="165"/>
        <v>0</v>
      </c>
      <c r="AI184" s="417">
        <f t="shared" si="153"/>
        <v>0.17345382330272119</v>
      </c>
      <c r="AJ184" s="417">
        <f t="shared" si="154"/>
        <v>1</v>
      </c>
      <c r="AK184" s="1497">
        <f t="shared" si="155"/>
        <v>37944.453527465099</v>
      </c>
      <c r="AL184" s="1498">
        <f t="shared" si="156"/>
        <v>0</v>
      </c>
      <c r="AM184" s="1498">
        <f t="shared" si="157"/>
        <v>0</v>
      </c>
      <c r="AN184" s="1498">
        <f t="shared" si="158"/>
        <v>37944.453527465099</v>
      </c>
      <c r="AO184" s="1184">
        <f t="shared" si="159"/>
        <v>0</v>
      </c>
    </row>
    <row r="185" spans="1:41">
      <c r="A185" s="100">
        <f>'Input data'!A125</f>
        <v>2025</v>
      </c>
      <c r="B185" s="1506">
        <f>'Input data'!B125</f>
        <v>62.892038582526091</v>
      </c>
      <c r="C185" s="1507">
        <f>'Input data'!C125</f>
        <v>3296.2240257379749</v>
      </c>
      <c r="D185" s="1507">
        <f>'Input data'!E125</f>
        <v>50605741.387768611</v>
      </c>
      <c r="E185" s="1508">
        <f>'Input data'!J125*C185</f>
        <v>39657.021649851544</v>
      </c>
      <c r="F185" s="1509">
        <f>'Input data'!L125</f>
        <v>90262.763037620156</v>
      </c>
      <c r="G185" s="1510">
        <f t="shared" si="167"/>
        <v>28060.280422522315</v>
      </c>
      <c r="H185" s="1509">
        <f t="shared" si="160"/>
        <v>42186.273393244737</v>
      </c>
      <c r="I185" s="1511">
        <f t="shared" si="135"/>
        <v>50605.741387768612</v>
      </c>
      <c r="J185" s="1454">
        <f t="shared" si="161"/>
        <v>0.26982605330583315</v>
      </c>
      <c r="K185" s="1512">
        <f t="shared" si="162"/>
        <v>10540.078530928298</v>
      </c>
      <c r="L185" s="1512">
        <f t="shared" si="136"/>
        <v>0</v>
      </c>
      <c r="M185" s="1511">
        <f t="shared" si="163"/>
        <v>10540.078530928298</v>
      </c>
      <c r="N185" s="1454">
        <f>($N$147-$N$142)/($A$107-$A$102)+N184</f>
        <v>0.5</v>
      </c>
      <c r="O185" s="1511">
        <f t="shared" si="137"/>
        <v>751.91700000000026</v>
      </c>
      <c r="P185" s="1481">
        <f t="shared" si="166"/>
        <v>11291.995530928298</v>
      </c>
      <c r="Q185" s="1364">
        <f t="shared" si="138"/>
        <v>58954.558284838757</v>
      </c>
      <c r="R185" s="1364">
        <f t="shared" si="164"/>
        <v>30894.277862316441</v>
      </c>
      <c r="S185" s="1514">
        <f t="shared" si="139"/>
        <v>1.4040578763661764</v>
      </c>
      <c r="T185" s="135" t="str">
        <f t="shared" si="140"/>
        <v>No</v>
      </c>
      <c r="U185" s="1526">
        <f t="shared" si="141"/>
        <v>1</v>
      </c>
      <c r="V185" s="1494">
        <f t="shared" si="142"/>
        <v>68259.198667272765</v>
      </c>
      <c r="W185" s="1491">
        <f t="shared" si="134"/>
        <v>0.24377233346132599</v>
      </c>
      <c r="X185" s="527">
        <f t="shared" si="143"/>
        <v>36950.993914491351</v>
      </c>
      <c r="Y185" s="1509">
        <f t="shared" si="144"/>
        <v>16830.408052767856</v>
      </c>
      <c r="Z185" s="1531">
        <f t="shared" si="145"/>
        <v>2543.9978590052256</v>
      </c>
      <c r="AA185" s="1531">
        <f t="shared" si="146"/>
        <v>0</v>
      </c>
      <c r="AB185" s="1531">
        <f t="shared" si="147"/>
        <v>11933.798841008331</v>
      </c>
      <c r="AC185" s="1531">
        <f t="shared" si="148"/>
        <v>68259.198667272765</v>
      </c>
      <c r="AD185" s="1005">
        <f t="shared" si="149"/>
        <v>8890.7134919690361</v>
      </c>
      <c r="AE185" s="649">
        <f t="shared" si="150"/>
        <v>0.54133354384377941</v>
      </c>
      <c r="AF185" s="417">
        <f t="shared" si="151"/>
        <v>0.24656615344705599</v>
      </c>
      <c r="AG185" s="417">
        <f t="shared" si="152"/>
        <v>3.7269670735600925E-2</v>
      </c>
      <c r="AH185" s="417">
        <f t="shared" si="165"/>
        <v>0</v>
      </c>
      <c r="AI185" s="417">
        <f t="shared" si="153"/>
        <v>0.17483063197356363</v>
      </c>
      <c r="AJ185" s="417">
        <f t="shared" si="154"/>
        <v>1</v>
      </c>
      <c r="AK185" s="1497">
        <f t="shared" si="155"/>
        <v>36950.993914491351</v>
      </c>
      <c r="AL185" s="1498">
        <f t="shared" si="156"/>
        <v>0</v>
      </c>
      <c r="AM185" s="1498">
        <f t="shared" si="157"/>
        <v>0</v>
      </c>
      <c r="AN185" s="1498">
        <f t="shared" si="158"/>
        <v>36950.993914491351</v>
      </c>
      <c r="AO185" s="1184">
        <f t="shared" si="159"/>
        <v>0</v>
      </c>
    </row>
    <row r="186" spans="1:41">
      <c r="A186" s="100">
        <f>'Input data'!A126</f>
        <v>2026</v>
      </c>
      <c r="B186" s="1506">
        <f>'Input data'!B126</f>
        <v>63.548817559440096</v>
      </c>
      <c r="C186" s="1507">
        <f>'Input data'!C126</f>
        <v>3366.4633271478065</v>
      </c>
      <c r="D186" s="1507">
        <f>'Input data'!E126</f>
        <v>48876629.54391963</v>
      </c>
      <c r="E186" s="1508">
        <f>'Input data'!J126*C186</f>
        <v>40502.073889908716</v>
      </c>
      <c r="F186" s="1509">
        <f>'Input data'!L126</f>
        <v>89378.703433828341</v>
      </c>
      <c r="G186" s="1510">
        <f t="shared" si="167"/>
        <v>26007.089172093853</v>
      </c>
      <c r="H186" s="1509">
        <f t="shared" si="160"/>
        <v>43101.672715487832</v>
      </c>
      <c r="I186" s="1511">
        <f t="shared" si="135"/>
        <v>48876.629543919633</v>
      </c>
      <c r="J186" s="1454">
        <f t="shared" si="161"/>
        <v>0.2958608426446665</v>
      </c>
      <c r="K186" s="1512">
        <f t="shared" si="162"/>
        <v>11452.434783913324</v>
      </c>
      <c r="L186" s="1512">
        <f t="shared" si="136"/>
        <v>0</v>
      </c>
      <c r="M186" s="1511">
        <f t="shared" si="163"/>
        <v>11452.434783913324</v>
      </c>
      <c r="N186" s="1454">
        <f>($N$147-$N$142)/($A$107-$A$102)+N185</f>
        <v>0.5</v>
      </c>
      <c r="O186" s="1511">
        <f t="shared" si="137"/>
        <v>751.91700000000026</v>
      </c>
      <c r="P186" s="1481">
        <f t="shared" si="166"/>
        <v>12204.351783913324</v>
      </c>
      <c r="Q186" s="1364">
        <f t="shared" si="138"/>
        <v>56904.410103668357</v>
      </c>
      <c r="R186" s="1364">
        <f t="shared" si="164"/>
        <v>30897.320931574504</v>
      </c>
      <c r="S186" s="1514">
        <f t="shared" si="139"/>
        <v>1.3739188481542006</v>
      </c>
      <c r="T186" s="135" t="str">
        <f t="shared" si="140"/>
        <v>No</v>
      </c>
      <c r="U186" s="1526">
        <f t="shared" si="141"/>
        <v>1</v>
      </c>
      <c r="V186" s="1494">
        <f t="shared" si="142"/>
        <v>66890.242071584362</v>
      </c>
      <c r="W186" s="1491">
        <f t="shared" si="134"/>
        <v>0.25160872219290298</v>
      </c>
      <c r="X186" s="527">
        <f t="shared" si="143"/>
        <v>34415.94874142437</v>
      </c>
      <c r="Y186" s="1509">
        <f t="shared" si="144"/>
        <v>17704.011594591699</v>
      </c>
      <c r="Z186" s="1531">
        <f t="shared" si="145"/>
        <v>2582.1853446322916</v>
      </c>
      <c r="AA186" s="1531">
        <f t="shared" si="146"/>
        <v>0</v>
      </c>
      <c r="AB186" s="1531">
        <f t="shared" si="147"/>
        <v>12188.096390936</v>
      </c>
      <c r="AC186" s="1531">
        <f t="shared" si="148"/>
        <v>66890.242071584362</v>
      </c>
      <c r="AD186" s="1005">
        <f t="shared" si="149"/>
        <v>8408.8595693305178</v>
      </c>
      <c r="AE186" s="1454">
        <f t="shared" si="150"/>
        <v>0.51451374184882204</v>
      </c>
      <c r="AF186" s="1504">
        <f t="shared" si="151"/>
        <v>0.264672559797964</v>
      </c>
      <c r="AG186" s="1504">
        <f t="shared" si="152"/>
        <v>3.8603318879738807E-2</v>
      </c>
      <c r="AH186" s="1504">
        <f t="shared" si="165"/>
        <v>0</v>
      </c>
      <c r="AI186" s="1504">
        <f t="shared" si="153"/>
        <v>0.18221037947347515</v>
      </c>
      <c r="AJ186" s="1504">
        <f t="shared" si="154"/>
        <v>1</v>
      </c>
      <c r="AK186" s="1555">
        <f t="shared" si="155"/>
        <v>34415.948741424363</v>
      </c>
      <c r="AL186" s="1556">
        <f t="shared" si="156"/>
        <v>0</v>
      </c>
      <c r="AM186" s="1556">
        <f t="shared" si="157"/>
        <v>0</v>
      </c>
      <c r="AN186" s="1556">
        <f t="shared" si="158"/>
        <v>34415.948741424363</v>
      </c>
      <c r="AO186" s="1543">
        <f t="shared" si="159"/>
        <v>0</v>
      </c>
    </row>
    <row r="187" spans="1:41">
      <c r="A187" s="100">
        <f>'Input data'!A127</f>
        <v>2027</v>
      </c>
      <c r="B187" s="1506">
        <f>'Input data'!B127</f>
        <v>64.191260356766122</v>
      </c>
      <c r="C187" s="1507">
        <f>'Input data'!C127</f>
        <v>3436.4344789089987</v>
      </c>
      <c r="D187" s="1507">
        <f>'Input data'!E127</f>
        <v>48564316.261510797</v>
      </c>
      <c r="E187" s="1508">
        <f>'Input data'!J127*C187</f>
        <v>41343.900009308287</v>
      </c>
      <c r="F187" s="1509">
        <f>'Input data'!L127</f>
        <v>89908.216270819074</v>
      </c>
      <c r="G187" s="1510">
        <f>G177*(1-E5)</f>
        <v>23953.89792166539</v>
      </c>
      <c r="H187" s="1509">
        <f t="shared" si="160"/>
        <v>45344.818680667093</v>
      </c>
      <c r="I187" s="1511">
        <f t="shared" si="135"/>
        <v>48564.316261510794</v>
      </c>
      <c r="J187" s="1454">
        <f t="shared" si="161"/>
        <v>0.32189563198349985</v>
      </c>
      <c r="K187" s="1512">
        <f t="shared" si="162"/>
        <v>12643.617432529132</v>
      </c>
      <c r="L187" s="1512">
        <f t="shared" si="136"/>
        <v>0</v>
      </c>
      <c r="M187" s="1511">
        <f t="shared" si="163"/>
        <v>12643.617432529132</v>
      </c>
      <c r="N187" s="1454">
        <f>$C$27</f>
        <v>0.5</v>
      </c>
      <c r="O187" s="1511">
        <f t="shared" si="137"/>
        <v>751.91700000000026</v>
      </c>
      <c r="P187" s="1481">
        <f t="shared" si="166"/>
        <v>13395.534432529132</v>
      </c>
      <c r="Q187" s="1364">
        <f t="shared" si="138"/>
        <v>55903.182169803353</v>
      </c>
      <c r="R187" s="1364">
        <f t="shared" si="164"/>
        <v>31949.284248137963</v>
      </c>
      <c r="S187" s="1514">
        <f t="shared" si="139"/>
        <v>1.3908222909983816</v>
      </c>
      <c r="T187" s="135" t="str">
        <f t="shared" si="140"/>
        <v>No</v>
      </c>
      <c r="U187" s="1526">
        <f t="shared" si="141"/>
        <v>1</v>
      </c>
      <c r="V187" s="1494">
        <f t="shared" si="142"/>
        <v>66936.709087680953</v>
      </c>
      <c r="W187" s="1491">
        <f t="shared" si="134"/>
        <v>0.25549953203324571</v>
      </c>
      <c r="X187" s="527">
        <f t="shared" si="143"/>
        <v>32931.674986665217</v>
      </c>
      <c r="Y187" s="1509">
        <f t="shared" si="144"/>
        <v>18943.383937802279</v>
      </c>
      <c r="Z187" s="1531">
        <f t="shared" si="145"/>
        <v>2620.2270434897314</v>
      </c>
      <c r="AA187" s="1531">
        <f t="shared" si="146"/>
        <v>0</v>
      </c>
      <c r="AB187" s="1531">
        <f t="shared" si="147"/>
        <v>12441.423119723731</v>
      </c>
      <c r="AC187" s="1531">
        <f t="shared" si="148"/>
        <v>66936.709087680953</v>
      </c>
      <c r="AD187" s="1005">
        <f t="shared" si="149"/>
        <v>8977.7770649998274</v>
      </c>
      <c r="AE187" s="1454">
        <f t="shared" si="150"/>
        <v>0.49198228349600726</v>
      </c>
      <c r="AF187" s="1504">
        <f t="shared" si="151"/>
        <v>0.28300441112197766</v>
      </c>
      <c r="AG187" s="1504">
        <f t="shared" si="152"/>
        <v>3.9144844125179115E-2</v>
      </c>
      <c r="AH187" s="1504">
        <f t="shared" si="165"/>
        <v>0</v>
      </c>
      <c r="AI187" s="1504">
        <f t="shared" si="153"/>
        <v>0.18586846125683604</v>
      </c>
      <c r="AJ187" s="1504">
        <f t="shared" si="154"/>
        <v>1</v>
      </c>
      <c r="AK187" s="1555">
        <f t="shared" si="155"/>
        <v>32931.674986665224</v>
      </c>
      <c r="AL187" s="1556">
        <f t="shared" si="156"/>
        <v>0</v>
      </c>
      <c r="AM187" s="1556">
        <f t="shared" si="157"/>
        <v>0</v>
      </c>
      <c r="AN187" s="1556">
        <f t="shared" si="158"/>
        <v>32931.674986665224</v>
      </c>
      <c r="AO187" s="1543">
        <f t="shared" si="159"/>
        <v>0</v>
      </c>
    </row>
    <row r="188" spans="1:41">
      <c r="A188" s="100">
        <f>'Input data'!A128</f>
        <v>2028</v>
      </c>
      <c r="B188" s="1506">
        <f>'Input data'!B128</f>
        <v>64.818788725428234</v>
      </c>
      <c r="C188" s="1507">
        <f>'Input data'!C128</f>
        <v>3485.2345926420976</v>
      </c>
      <c r="D188" s="1507">
        <f>'Input data'!E128</f>
        <v>48196370.991930716</v>
      </c>
      <c r="E188" s="1508">
        <f>'Input data'!J128*C188</f>
        <v>41931.01640422488</v>
      </c>
      <c r="F188" s="1509">
        <f>'Input data'!L128</f>
        <v>90127.387396155595</v>
      </c>
      <c r="G188" s="1510">
        <f>($G$152-$G$147)/($A$152-$A$147)+G187</f>
        <v>21900.706671236927</v>
      </c>
      <c r="H188" s="1509">
        <f t="shared" si="160"/>
        <v>47389.602428303828</v>
      </c>
      <c r="I188" s="1511">
        <f t="shared" si="135"/>
        <v>48196.370991930715</v>
      </c>
      <c r="J188" s="1454">
        <f t="shared" si="161"/>
        <v>0.34793042132233321</v>
      </c>
      <c r="K188" s="1512">
        <f t="shared" si="162"/>
        <v>13802.606022382932</v>
      </c>
      <c r="L188" s="1512">
        <f t="shared" si="136"/>
        <v>0</v>
      </c>
      <c r="M188" s="1511">
        <f t="shared" si="163"/>
        <v>13802.606022382932</v>
      </c>
      <c r="N188" s="1454">
        <f>N187</f>
        <v>0.5</v>
      </c>
      <c r="O188" s="1511">
        <f t="shared" si="137"/>
        <v>751.91700000000026</v>
      </c>
      <c r="P188" s="1481">
        <f t="shared" si="166"/>
        <v>14554.523022382931</v>
      </c>
      <c r="Q188" s="1364">
        <f t="shared" si="138"/>
        <v>54735.786077157827</v>
      </c>
      <c r="R188" s="1364">
        <f t="shared" si="164"/>
        <v>32835.0794059209</v>
      </c>
      <c r="S188" s="1514">
        <f t="shared" si="139"/>
        <v>1.4087230854927477</v>
      </c>
      <c r="T188" s="135" t="str">
        <f t="shared" si="140"/>
        <v>No</v>
      </c>
      <c r="U188" s="1526">
        <f t="shared" si="141"/>
        <v>1</v>
      </c>
      <c r="V188" s="1494">
        <f t="shared" si="142"/>
        <v>66818.988645498554</v>
      </c>
      <c r="W188" s="1491">
        <f t="shared" si="134"/>
        <v>0.25861615901728963</v>
      </c>
      <c r="X188" s="527">
        <f t="shared" si="143"/>
        <v>31427.387326500782</v>
      </c>
      <c r="Y188" s="1509">
        <f t="shared" si="144"/>
        <v>20126.74151796319</v>
      </c>
      <c r="Z188" s="1531">
        <f t="shared" si="145"/>
        <v>2646.7585380287851</v>
      </c>
      <c r="AA188" s="1531">
        <f t="shared" si="146"/>
        <v>0</v>
      </c>
      <c r="AB188" s="1531">
        <f t="shared" si="147"/>
        <v>12618.101263005801</v>
      </c>
      <c r="AC188" s="1531">
        <f t="shared" si="148"/>
        <v>66818.988645498554</v>
      </c>
      <c r="AD188" s="1005">
        <f t="shared" si="149"/>
        <v>9526.6806552638554</v>
      </c>
      <c r="AE188" s="1454">
        <f t="shared" si="150"/>
        <v>0.47033617185132259</v>
      </c>
      <c r="AF188" s="1504">
        <f t="shared" si="151"/>
        <v>0.30121290258886735</v>
      </c>
      <c r="AG188" s="1504">
        <f t="shared" si="152"/>
        <v>3.9610873969836584E-2</v>
      </c>
      <c r="AH188" s="1504">
        <f t="shared" si="165"/>
        <v>0</v>
      </c>
      <c r="AI188" s="1504">
        <f t="shared" si="153"/>
        <v>0.18884005158997352</v>
      </c>
      <c r="AJ188" s="1504">
        <f t="shared" si="154"/>
        <v>1</v>
      </c>
      <c r="AK188" s="1555">
        <f t="shared" si="155"/>
        <v>31427.387326500779</v>
      </c>
      <c r="AL188" s="1556">
        <f t="shared" si="156"/>
        <v>0</v>
      </c>
      <c r="AM188" s="1556">
        <f t="shared" si="157"/>
        <v>0</v>
      </c>
      <c r="AN188" s="1556">
        <f t="shared" si="158"/>
        <v>31427.387326500779</v>
      </c>
      <c r="AO188" s="1543">
        <f t="shared" si="159"/>
        <v>0</v>
      </c>
    </row>
    <row r="189" spans="1:41">
      <c r="A189" s="100">
        <f>'Input data'!A129</f>
        <v>2029</v>
      </c>
      <c r="B189" s="1506">
        <f>'Input data'!B129</f>
        <v>65.435442210930105</v>
      </c>
      <c r="C189" s="1507">
        <f>'Input data'!C129</f>
        <v>3537.8042151577115</v>
      </c>
      <c r="D189" s="1507">
        <f>'Input data'!E129</f>
        <v>46504880.945737489</v>
      </c>
      <c r="E189" s="1508">
        <f>'Input data'!J129*C189</f>
        <v>42563.483931294577</v>
      </c>
      <c r="F189" s="1509">
        <f>'Input data'!L129</f>
        <v>89068.364877032058</v>
      </c>
      <c r="G189" s="1510">
        <f t="shared" ref="G189:G191" si="168">($G$152-$G$147)/($A$152-$A$147)+G188</f>
        <v>19847.515420808464</v>
      </c>
      <c r="H189" s="1509">
        <f t="shared" si="160"/>
        <v>48218.325389775106</v>
      </c>
      <c r="I189" s="1511">
        <f t="shared" si="135"/>
        <v>46504.880945737488</v>
      </c>
      <c r="J189" s="1454">
        <f t="shared" si="161"/>
        <v>0.37396521066116656</v>
      </c>
      <c r="K189" s="1512">
        <f t="shared" si="162"/>
        <v>14528.937343797616</v>
      </c>
      <c r="L189" s="1512">
        <f t="shared" si="136"/>
        <v>0</v>
      </c>
      <c r="M189" s="1511">
        <f t="shared" si="163"/>
        <v>14528.937343797616</v>
      </c>
      <c r="N189" s="1454">
        <f t="shared" ref="N189:N210" si="169">N188</f>
        <v>0.5</v>
      </c>
      <c r="O189" s="1511">
        <f t="shared" si="137"/>
        <v>751.91700000000026</v>
      </c>
      <c r="P189" s="1481">
        <f t="shared" si="166"/>
        <v>15280.854343797615</v>
      </c>
      <c r="Q189" s="1364">
        <f t="shared" si="138"/>
        <v>52784.986466785951</v>
      </c>
      <c r="R189" s="1364">
        <f t="shared" si="164"/>
        <v>32937.471045977487</v>
      </c>
      <c r="S189" s="1514">
        <f t="shared" si="139"/>
        <v>1.391450946470024</v>
      </c>
      <c r="T189" s="135" t="str">
        <f t="shared" si="140"/>
        <v>No</v>
      </c>
      <c r="U189" s="1526">
        <f t="shared" si="141"/>
        <v>1</v>
      </c>
      <c r="V189" s="1494">
        <f t="shared" si="142"/>
        <v>65397.05175633842</v>
      </c>
      <c r="W189" s="1491">
        <f t="shared" si="134"/>
        <v>0.26576566386252065</v>
      </c>
      <c r="X189" s="527">
        <f t="shared" si="143"/>
        <v>29113.673346092295</v>
      </c>
      <c r="Y189" s="1509">
        <f t="shared" si="144"/>
        <v>20799.612276119413</v>
      </c>
      <c r="Z189" s="1531">
        <f t="shared" si="145"/>
        <v>2675.3394274160801</v>
      </c>
      <c r="AA189" s="1531">
        <f t="shared" si="146"/>
        <v>0</v>
      </c>
      <c r="AB189" s="1531">
        <f t="shared" si="147"/>
        <v>12808.426706710623</v>
      </c>
      <c r="AC189" s="1531">
        <f t="shared" si="148"/>
        <v>65397.05175633842</v>
      </c>
      <c r="AD189" s="1005">
        <f t="shared" si="149"/>
        <v>9266.157925283831</v>
      </c>
      <c r="AE189" s="1454">
        <f t="shared" si="150"/>
        <v>0.44518326995177632</v>
      </c>
      <c r="AF189" s="1504">
        <f t="shared" si="151"/>
        <v>0.31805122276178865</v>
      </c>
      <c r="AG189" s="1504">
        <f t="shared" si="152"/>
        <v>4.0909174887333977E-2</v>
      </c>
      <c r="AH189" s="1504">
        <f t="shared" si="165"/>
        <v>0</v>
      </c>
      <c r="AI189" s="1504">
        <f t="shared" si="153"/>
        <v>0.19585633239910091</v>
      </c>
      <c r="AJ189" s="1504">
        <f t="shared" si="154"/>
        <v>1</v>
      </c>
      <c r="AK189" s="1555">
        <f t="shared" si="155"/>
        <v>29113.673346092299</v>
      </c>
      <c r="AL189" s="1556">
        <f t="shared" si="156"/>
        <v>0</v>
      </c>
      <c r="AM189" s="1556">
        <f t="shared" si="157"/>
        <v>0</v>
      </c>
      <c r="AN189" s="1556">
        <f t="shared" si="158"/>
        <v>29113.673346092299</v>
      </c>
      <c r="AO189" s="1543">
        <f t="shared" si="159"/>
        <v>0</v>
      </c>
    </row>
    <row r="190" spans="1:41">
      <c r="A190" s="100">
        <f>'Input data'!A130</f>
        <v>2030</v>
      </c>
      <c r="B190" s="1506">
        <f>'Input data'!B130</f>
        <v>66.040790860694059</v>
      </c>
      <c r="C190" s="1507">
        <f>'Input data'!C130</f>
        <v>3601.1809165553482</v>
      </c>
      <c r="D190" s="1507">
        <f>'Input data'!E130</f>
        <v>44627656.242225982</v>
      </c>
      <c r="E190" s="1508">
        <f>'Input data'!J130*C190</f>
        <v>43325.971917486459</v>
      </c>
      <c r="F190" s="1509">
        <f>'Input data'!L130</f>
        <v>87953.628159712447</v>
      </c>
      <c r="G190" s="1510">
        <f t="shared" si="168"/>
        <v>17794.324170380001</v>
      </c>
      <c r="H190" s="1509">
        <f t="shared" si="160"/>
        <v>48947.351907220887</v>
      </c>
      <c r="I190" s="1511">
        <f t="shared" si="135"/>
        <v>44627.656242225981</v>
      </c>
      <c r="J190" s="1504">
        <f>$H$19</f>
        <v>0.4</v>
      </c>
      <c r="K190" s="1512">
        <f t="shared" si="162"/>
        <v>15104.331176378935</v>
      </c>
      <c r="L190" s="1512">
        <f t="shared" si="136"/>
        <v>0</v>
      </c>
      <c r="M190" s="1511">
        <f t="shared" si="163"/>
        <v>15104.331176378935</v>
      </c>
      <c r="N190" s="1454">
        <f t="shared" si="169"/>
        <v>0.5</v>
      </c>
      <c r="O190" s="1511">
        <f t="shared" si="137"/>
        <v>751.91700000000026</v>
      </c>
      <c r="P190" s="1481">
        <f t="shared" si="166"/>
        <v>15856.248176378935</v>
      </c>
      <c r="Q190" s="1364">
        <f t="shared" si="138"/>
        <v>50885.427901221956</v>
      </c>
      <c r="R190" s="1364">
        <f t="shared" si="164"/>
        <v>33091.103730841955</v>
      </c>
      <c r="S190" s="1514">
        <f t="shared" si="139"/>
        <v>1.3725717103065513</v>
      </c>
      <c r="T190" s="135" t="str">
        <f t="shared" si="140"/>
        <v>No</v>
      </c>
      <c r="U190" s="1526">
        <f t="shared" si="141"/>
        <v>1</v>
      </c>
      <c r="V190" s="1494">
        <f t="shared" si="142"/>
        <v>63844.794003826071</v>
      </c>
      <c r="W190" s="1491">
        <f t="shared" si="134"/>
        <v>0.27410846670370259</v>
      </c>
      <c r="X190" s="527">
        <f t="shared" si="143"/>
        <v>26776.593745335587</v>
      </c>
      <c r="Y190" s="1509">
        <f t="shared" si="144"/>
        <v>21320.525793990855</v>
      </c>
      <c r="Z190" s="1531">
        <f t="shared" si="145"/>
        <v>2709.795875944686</v>
      </c>
      <c r="AA190" s="1531">
        <f t="shared" si="146"/>
        <v>0</v>
      </c>
      <c r="AB190" s="1531">
        <f t="shared" si="147"/>
        <v>13037.878588554946</v>
      </c>
      <c r="AC190" s="1531">
        <f t="shared" si="148"/>
        <v>63844.794003826071</v>
      </c>
      <c r="AD190" s="1005">
        <f t="shared" si="149"/>
        <v>8982.269574955586</v>
      </c>
      <c r="AE190" s="1454">
        <f t="shared" si="150"/>
        <v>0.41940136487449436</v>
      </c>
      <c r="AF190" s="1504">
        <f t="shared" si="151"/>
        <v>0.33394305873573915</v>
      </c>
      <c r="AG190" s="1504">
        <f t="shared" si="152"/>
        <v>4.2443490001429003E-2</v>
      </c>
      <c r="AH190" s="1504">
        <f t="shared" si="165"/>
        <v>0</v>
      </c>
      <c r="AI190" s="1504">
        <f t="shared" si="153"/>
        <v>0.20421208638833757</v>
      </c>
      <c r="AJ190" s="1504">
        <f t="shared" si="154"/>
        <v>1.0000000000000002</v>
      </c>
      <c r="AK190" s="1555">
        <f t="shared" si="155"/>
        <v>26776.593745335584</v>
      </c>
      <c r="AL190" s="1556">
        <f t="shared" si="156"/>
        <v>0</v>
      </c>
      <c r="AM190" s="1556">
        <f t="shared" si="157"/>
        <v>0</v>
      </c>
      <c r="AN190" s="1556">
        <f t="shared" si="158"/>
        <v>26776.593745335584</v>
      </c>
      <c r="AO190" s="1543">
        <f t="shared" si="159"/>
        <v>0</v>
      </c>
    </row>
    <row r="191" spans="1:41">
      <c r="A191" s="100">
        <f>'Input data'!A131</f>
        <v>2031</v>
      </c>
      <c r="B191" s="1506">
        <f>'Input data'!B131</f>
        <v>66.6344094187031</v>
      </c>
      <c r="C191" s="1507">
        <f>'Input data'!C131</f>
        <v>3689.3743282354972</v>
      </c>
      <c r="D191" s="1507">
        <f>'Input data'!E131</f>
        <v>43830165.240535274</v>
      </c>
      <c r="E191" s="1508">
        <f>'Input data'!J131*C191</f>
        <v>44387.030877394653</v>
      </c>
      <c r="F191" s="1509">
        <f>'Input data'!L131</f>
        <v>88217.196117929925</v>
      </c>
      <c r="G191" s="1510">
        <f t="shared" si="168"/>
        <v>15741.132919951538</v>
      </c>
      <c r="H191" s="1509">
        <f t="shared" si="160"/>
        <v>50860.979109321393</v>
      </c>
      <c r="I191" s="1511">
        <f t="shared" si="135"/>
        <v>43830.165240535272</v>
      </c>
      <c r="J191" s="1504">
        <f>J190</f>
        <v>0.4</v>
      </c>
      <c r="K191" s="1512">
        <f t="shared" si="162"/>
        <v>14834.418543406706</v>
      </c>
      <c r="L191" s="1512">
        <f t="shared" si="136"/>
        <v>0</v>
      </c>
      <c r="M191" s="1511">
        <f t="shared" si="163"/>
        <v>14834.418543406706</v>
      </c>
      <c r="N191" s="1454">
        <f t="shared" si="169"/>
        <v>0.5</v>
      </c>
      <c r="O191" s="1511">
        <f t="shared" si="137"/>
        <v>751.91700000000026</v>
      </c>
      <c r="P191" s="1481">
        <f t="shared" si="166"/>
        <v>15586.335543406705</v>
      </c>
      <c r="Q191" s="1364">
        <f t="shared" si="138"/>
        <v>51015.776485866227</v>
      </c>
      <c r="R191" s="1364">
        <f t="shared" si="164"/>
        <v>35274.643565914688</v>
      </c>
      <c r="S191" s="1514">
        <f t="shared" si="139"/>
        <v>1.4271018703940135</v>
      </c>
      <c r="T191" s="135" t="str">
        <f t="shared" si="140"/>
        <v>No</v>
      </c>
      <c r="U191" s="1526">
        <f t="shared" si="141"/>
        <v>1</v>
      </c>
      <c r="V191" s="1494">
        <f t="shared" si="142"/>
        <v>63499.518776384873</v>
      </c>
      <c r="W191" s="1491">
        <f t="shared" si="134"/>
        <v>0.28019114672951217</v>
      </c>
      <c r="X191" s="527">
        <f t="shared" si="143"/>
        <v>26298.099144321164</v>
      </c>
      <c r="Y191" s="1509">
        <f t="shared" si="144"/>
        <v>21086.497022534106</v>
      </c>
      <c r="Z191" s="1531">
        <f t="shared" si="145"/>
        <v>2757.7445965802553</v>
      </c>
      <c r="AA191" s="1531">
        <f t="shared" si="146"/>
        <v>0</v>
      </c>
      <c r="AB191" s="1531">
        <f t="shared" si="147"/>
        <v>13357.178012949347</v>
      </c>
      <c r="AC191" s="1531">
        <f t="shared" si="148"/>
        <v>63499.518776384873</v>
      </c>
      <c r="AD191" s="1005">
        <f t="shared" si="149"/>
        <v>10556.966224369626</v>
      </c>
      <c r="AE191" s="1454">
        <f t="shared" si="150"/>
        <v>0.41414643214747138</v>
      </c>
      <c r="AF191" s="1504">
        <f t="shared" si="151"/>
        <v>0.33207333581205123</v>
      </c>
      <c r="AG191" s="1504">
        <f t="shared" si="152"/>
        <v>4.3429377886968268E-2</v>
      </c>
      <c r="AH191" s="1504">
        <f t="shared" si="165"/>
        <v>0</v>
      </c>
      <c r="AI191" s="1504">
        <f t="shared" si="153"/>
        <v>0.2103508541535091</v>
      </c>
      <c r="AJ191" s="1504">
        <f t="shared" si="154"/>
        <v>1</v>
      </c>
      <c r="AK191" s="1555">
        <f t="shared" si="155"/>
        <v>26298.099144321168</v>
      </c>
      <c r="AL191" s="1556">
        <f t="shared" si="156"/>
        <v>0</v>
      </c>
      <c r="AM191" s="1556">
        <f t="shared" si="157"/>
        <v>0</v>
      </c>
      <c r="AN191" s="1556">
        <f t="shared" si="158"/>
        <v>26298.099144321168</v>
      </c>
      <c r="AO191" s="1543">
        <f t="shared" si="159"/>
        <v>0</v>
      </c>
    </row>
    <row r="192" spans="1:41">
      <c r="A192" s="100">
        <f>'Input data'!A132</f>
        <v>2032</v>
      </c>
      <c r="B192" s="1506">
        <f>'Input data'!B132</f>
        <v>67.215877817791679</v>
      </c>
      <c r="C192" s="1507">
        <f>'Input data'!C132</f>
        <v>3770.9504220066083</v>
      </c>
      <c r="D192" s="1507">
        <f>'Input data'!E132</f>
        <v>42600148.259036541</v>
      </c>
      <c r="E192" s="1508">
        <f>'Input data'!J132*C192</f>
        <v>45368.476583612086</v>
      </c>
      <c r="F192" s="1509">
        <f>'Input data'!L132</f>
        <v>87968.624842648627</v>
      </c>
      <c r="G192" s="1510">
        <f>G177*(1-E6)</f>
        <v>13687.941669523079</v>
      </c>
      <c r="H192" s="1509">
        <f t="shared" si="160"/>
        <v>52323.018675761326</v>
      </c>
      <c r="I192" s="1511">
        <f t="shared" si="135"/>
        <v>42600.148259036541</v>
      </c>
      <c r="J192" s="1504">
        <f t="shared" ref="J192:J210" si="170">J191</f>
        <v>0.4</v>
      </c>
      <c r="K192" s="1512">
        <f t="shared" si="162"/>
        <v>14418.116514452113</v>
      </c>
      <c r="L192" s="1512">
        <f t="shared" si="136"/>
        <v>0</v>
      </c>
      <c r="M192" s="1511">
        <f t="shared" si="163"/>
        <v>14418.116514452113</v>
      </c>
      <c r="N192" s="1454">
        <f t="shared" si="169"/>
        <v>0.5</v>
      </c>
      <c r="O192" s="1511">
        <f t="shared" si="137"/>
        <v>751.91700000000026</v>
      </c>
      <c r="P192" s="1481">
        <f t="shared" si="166"/>
        <v>15170.033514452112</v>
      </c>
      <c r="Q192" s="1364">
        <f t="shared" si="138"/>
        <v>50840.926830832293</v>
      </c>
      <c r="R192" s="1364">
        <f t="shared" si="164"/>
        <v>37152.985161309218</v>
      </c>
      <c r="S192" s="1514">
        <f t="shared" si="139"/>
        <v>1.4696105146675695</v>
      </c>
      <c r="T192" s="135" t="str">
        <f t="shared" si="140"/>
        <v>No</v>
      </c>
      <c r="U192" s="1526">
        <f t="shared" si="141"/>
        <v>1</v>
      </c>
      <c r="V192" s="1494">
        <f t="shared" si="142"/>
        <v>62687.78696723828</v>
      </c>
      <c r="W192" s="1491">
        <f t="shared" si="134"/>
        <v>0.28738471154494827</v>
      </c>
      <c r="X192" s="527">
        <f t="shared" si="143"/>
        <v>25560.088955421925</v>
      </c>
      <c r="Y192" s="1509">
        <f t="shared" si="144"/>
        <v>20673.082577783225</v>
      </c>
      <c r="Z192" s="1531">
        <f t="shared" si="145"/>
        <v>2802.0956343307598</v>
      </c>
      <c r="AA192" s="1531">
        <f t="shared" si="146"/>
        <v>0</v>
      </c>
      <c r="AB192" s="1531">
        <f t="shared" si="147"/>
        <v>13652.519799702362</v>
      </c>
      <c r="AC192" s="1531">
        <f t="shared" si="148"/>
        <v>62687.78696723828</v>
      </c>
      <c r="AD192" s="1005">
        <f t="shared" si="149"/>
        <v>11872.147285898845</v>
      </c>
      <c r="AE192" s="1454">
        <f t="shared" si="150"/>
        <v>0.40773634214875171</v>
      </c>
      <c r="AF192" s="1504">
        <f t="shared" si="151"/>
        <v>0.32977847165967644</v>
      </c>
      <c r="AG192" s="1504">
        <f t="shared" si="152"/>
        <v>4.4699227232174961E-2</v>
      </c>
      <c r="AH192" s="1504">
        <f t="shared" si="165"/>
        <v>0</v>
      </c>
      <c r="AI192" s="1504">
        <f t="shared" si="153"/>
        <v>0.21778595895939676</v>
      </c>
      <c r="AJ192" s="1504">
        <f t="shared" si="154"/>
        <v>1</v>
      </c>
      <c r="AK192" s="1555">
        <f t="shared" si="155"/>
        <v>25560.088955421925</v>
      </c>
      <c r="AL192" s="1556">
        <f t="shared" si="156"/>
        <v>0</v>
      </c>
      <c r="AM192" s="1556">
        <f t="shared" si="157"/>
        <v>0</v>
      </c>
      <c r="AN192" s="1556">
        <f t="shared" si="158"/>
        <v>25560.088955421925</v>
      </c>
      <c r="AO192" s="1543">
        <f t="shared" si="159"/>
        <v>0</v>
      </c>
    </row>
    <row r="193" spans="1:41">
      <c r="A193" s="100">
        <f>'Input data'!A133</f>
        <v>2033</v>
      </c>
      <c r="B193" s="1506">
        <f>'Input data'!B133</f>
        <v>67.784781669940756</v>
      </c>
      <c r="C193" s="1507">
        <f>'Input data'!C133</f>
        <v>3867.5085984126213</v>
      </c>
      <c r="D193" s="1507">
        <f>'Input data'!E133</f>
        <v>41720520.537816472</v>
      </c>
      <c r="E193" s="1508">
        <f>'Input data'!J133*C193</f>
        <v>46530.172409594707</v>
      </c>
      <c r="F193" s="1509">
        <f>'Input data'!L133</f>
        <v>88250.692947411182</v>
      </c>
      <c r="G193" s="1510">
        <f>G192</f>
        <v>13687.941669523079</v>
      </c>
      <c r="H193" s="1509">
        <f t="shared" si="160"/>
        <v>52164.119387508428</v>
      </c>
      <c r="I193" s="1511">
        <f t="shared" si="135"/>
        <v>41720.520537816476</v>
      </c>
      <c r="J193" s="1504">
        <f t="shared" si="170"/>
        <v>0.4</v>
      </c>
      <c r="K193" s="1512">
        <f t="shared" si="162"/>
        <v>14120.4045230108</v>
      </c>
      <c r="L193" s="1512">
        <f t="shared" si="136"/>
        <v>0</v>
      </c>
      <c r="M193" s="1511">
        <f t="shared" si="163"/>
        <v>14120.4045230108</v>
      </c>
      <c r="N193" s="1454">
        <f t="shared" si="169"/>
        <v>0.5</v>
      </c>
      <c r="O193" s="1511">
        <f t="shared" si="137"/>
        <v>751.91700000000026</v>
      </c>
      <c r="P193" s="1481">
        <f t="shared" si="166"/>
        <v>14872.3215230108</v>
      </c>
      <c r="Q193" s="1364">
        <f t="shared" si="138"/>
        <v>50979.7395340207</v>
      </c>
      <c r="R193" s="1364">
        <f t="shared" si="164"/>
        <v>37291.797864497625</v>
      </c>
      <c r="S193" s="1514">
        <f t="shared" si="139"/>
        <v>1.4372059919764573</v>
      </c>
      <c r="T193" s="135" t="str">
        <f t="shared" si="140"/>
        <v>No</v>
      </c>
      <c r="U193" s="1526">
        <f t="shared" si="141"/>
        <v>1</v>
      </c>
      <c r="V193" s="1494">
        <f t="shared" si="142"/>
        <v>62303.265736080364</v>
      </c>
      <c r="W193" s="1491">
        <f t="shared" si="134"/>
        <v>0.29401952941936627</v>
      </c>
      <c r="X193" s="527">
        <f t="shared" si="143"/>
        <v>25032.312322689886</v>
      </c>
      <c r="Y193" s="1509">
        <f t="shared" si="144"/>
        <v>20414.257931686781</v>
      </c>
      <c r="Z193" s="1531">
        <f t="shared" si="145"/>
        <v>2854.5920843191443</v>
      </c>
      <c r="AA193" s="1531">
        <f t="shared" si="146"/>
        <v>0</v>
      </c>
      <c r="AB193" s="1531">
        <f t="shared" si="147"/>
        <v>14002.103397384553</v>
      </c>
      <c r="AC193" s="1531">
        <f t="shared" si="148"/>
        <v>62303.265736080364</v>
      </c>
      <c r="AD193" s="1005">
        <f t="shared" si="149"/>
        <v>11344.370653166807</v>
      </c>
      <c r="AE193" s="1454">
        <f t="shared" si="150"/>
        <v>0.40178170481027381</v>
      </c>
      <c r="AF193" s="1504">
        <f t="shared" si="151"/>
        <v>0.32765951656792058</v>
      </c>
      <c r="AG193" s="1504">
        <f t="shared" si="152"/>
        <v>4.5817695920007367E-2</v>
      </c>
      <c r="AH193" s="1504">
        <f t="shared" si="165"/>
        <v>0</v>
      </c>
      <c r="AI193" s="1504">
        <f t="shared" si="153"/>
        <v>0.22474108270179829</v>
      </c>
      <c r="AJ193" s="1504">
        <f t="shared" si="154"/>
        <v>1.0000000000000002</v>
      </c>
      <c r="AK193" s="1555">
        <f t="shared" si="155"/>
        <v>25032.312322689882</v>
      </c>
      <c r="AL193" s="1556">
        <f t="shared" si="156"/>
        <v>0</v>
      </c>
      <c r="AM193" s="1556">
        <f t="shared" si="157"/>
        <v>0</v>
      </c>
      <c r="AN193" s="1556">
        <f t="shared" si="158"/>
        <v>25032.312322689882</v>
      </c>
      <c r="AO193" s="1543">
        <f t="shared" si="159"/>
        <v>0</v>
      </c>
    </row>
    <row r="194" spans="1:41">
      <c r="A194" s="100">
        <f>'Input data'!A134</f>
        <v>2034</v>
      </c>
      <c r="B194" s="1506">
        <f>'Input data'!B134</f>
        <v>68.342055626742408</v>
      </c>
      <c r="C194" s="1507">
        <f>'Input data'!C134</f>
        <v>3988.7128287659275</v>
      </c>
      <c r="D194" s="1507">
        <f>'Input data'!E134</f>
        <v>41169489.630995624</v>
      </c>
      <c r="E194" s="1508">
        <f>'Input data'!J134*C194</f>
        <v>47988.386035138115</v>
      </c>
      <c r="F194" s="1509">
        <f>'Input data'!L134</f>
        <v>89157.875666133739</v>
      </c>
      <c r="G194" s="1510">
        <f t="shared" ref="G194:G210" si="171">G193</f>
        <v>13687.941669523079</v>
      </c>
      <c r="H194" s="1509">
        <f t="shared" si="160"/>
        <v>52483.736547336375</v>
      </c>
      <c r="I194" s="1511">
        <f t="shared" si="135"/>
        <v>41169.489630995624</v>
      </c>
      <c r="J194" s="1504">
        <f t="shared" si="170"/>
        <v>0.4</v>
      </c>
      <c r="K194" s="1512">
        <f t="shared" si="162"/>
        <v>13933.906866493327</v>
      </c>
      <c r="L194" s="1512">
        <f t="shared" si="136"/>
        <v>0</v>
      </c>
      <c r="M194" s="1511">
        <f t="shared" si="163"/>
        <v>13933.906866493327</v>
      </c>
      <c r="N194" s="1454">
        <f t="shared" si="169"/>
        <v>0.5</v>
      </c>
      <c r="O194" s="1511">
        <f t="shared" si="137"/>
        <v>751.91700000000026</v>
      </c>
      <c r="P194" s="1481">
        <f t="shared" si="166"/>
        <v>14685.823866493327</v>
      </c>
      <c r="Q194" s="1364">
        <f t="shared" si="138"/>
        <v>51485.85435036612</v>
      </c>
      <c r="R194" s="1364">
        <f t="shared" si="164"/>
        <v>37797.912680843045</v>
      </c>
      <c r="S194" s="1514">
        <f t="shared" si="139"/>
        <v>1.4112039307546229</v>
      </c>
      <c r="T194" s="135" t="str">
        <f t="shared" si="140"/>
        <v>No</v>
      </c>
      <c r="U194" s="1526">
        <f t="shared" si="141"/>
        <v>1</v>
      </c>
      <c r="V194" s="1494">
        <f t="shared" si="142"/>
        <v>62373.715094365005</v>
      </c>
      <c r="W194" s="1491">
        <f t="shared" si="134"/>
        <v>0.3004127271051904</v>
      </c>
      <c r="X194" s="527">
        <f t="shared" si="143"/>
        <v>24701.693778597375</v>
      </c>
      <c r="Y194" s="1509">
        <f t="shared" si="144"/>
        <v>20310.616605573381</v>
      </c>
      <c r="Z194" s="1531">
        <f t="shared" si="145"/>
        <v>2920.4880245072482</v>
      </c>
      <c r="AA194" s="1531">
        <f t="shared" si="146"/>
        <v>0</v>
      </c>
      <c r="AB194" s="1531">
        <f t="shared" si="147"/>
        <v>14440.916685686996</v>
      </c>
      <c r="AC194" s="1531">
        <f t="shared" si="148"/>
        <v>62373.715094365005</v>
      </c>
      <c r="AD194" s="1005">
        <f t="shared" si="149"/>
        <v>11013.752109074296</v>
      </c>
      <c r="AE194" s="1454">
        <f t="shared" si="150"/>
        <v>0.39602729677439058</v>
      </c>
      <c r="AF194" s="1504">
        <f t="shared" si="151"/>
        <v>0.32562781573689353</v>
      </c>
      <c r="AG194" s="1504">
        <f t="shared" si="152"/>
        <v>4.6822415821934776E-2</v>
      </c>
      <c r="AH194" s="1504">
        <f t="shared" si="165"/>
        <v>0</v>
      </c>
      <c r="AI194" s="1504">
        <f t="shared" si="153"/>
        <v>0.23152247166678105</v>
      </c>
      <c r="AJ194" s="1504">
        <f t="shared" si="154"/>
        <v>1</v>
      </c>
      <c r="AK194" s="1555">
        <f t="shared" si="155"/>
        <v>24701.693778597371</v>
      </c>
      <c r="AL194" s="1556">
        <f t="shared" si="156"/>
        <v>0</v>
      </c>
      <c r="AM194" s="1556">
        <f t="shared" si="157"/>
        <v>0</v>
      </c>
      <c r="AN194" s="1556">
        <f t="shared" si="158"/>
        <v>24701.693778597371</v>
      </c>
      <c r="AO194" s="1543">
        <f t="shared" si="159"/>
        <v>0</v>
      </c>
    </row>
    <row r="195" spans="1:41">
      <c r="A195" s="100">
        <f>'Input data'!A135</f>
        <v>2035</v>
      </c>
      <c r="B195" s="1506">
        <f>'Input data'!B135</f>
        <v>68.88733085860035</v>
      </c>
      <c r="C195" s="1507">
        <f>'Input data'!C135</f>
        <v>4088.0370257470286</v>
      </c>
      <c r="D195" s="1507">
        <f>'Input data'!E135</f>
        <v>33008995.481321324</v>
      </c>
      <c r="E195" s="1508">
        <f>'Input data'!J135*C195</f>
        <v>49183.359980864327</v>
      </c>
      <c r="F195" s="1509">
        <f>'Input data'!L135</f>
        <v>82192.35546218566</v>
      </c>
      <c r="G195" s="1510">
        <f t="shared" si="171"/>
        <v>13687.941669523079</v>
      </c>
      <c r="H195" s="1509">
        <f t="shared" si="160"/>
        <v>45511.186916354491</v>
      </c>
      <c r="I195" s="1511">
        <f t="shared" si="135"/>
        <v>33008.995481321326</v>
      </c>
      <c r="J195" s="1504">
        <f t="shared" si="170"/>
        <v>0.4</v>
      </c>
      <c r="K195" s="1512">
        <f t="shared" si="162"/>
        <v>11171.969167355144</v>
      </c>
      <c r="L195" s="1512">
        <f t="shared" si="136"/>
        <v>0</v>
      </c>
      <c r="M195" s="1511">
        <f t="shared" si="163"/>
        <v>11171.969167355144</v>
      </c>
      <c r="N195" s="1454">
        <f t="shared" si="169"/>
        <v>0.5</v>
      </c>
      <c r="O195" s="1511">
        <f t="shared" si="137"/>
        <v>751.91700000000026</v>
      </c>
      <c r="P195" s="1481">
        <f t="shared" si="166"/>
        <v>11923.886167355144</v>
      </c>
      <c r="Q195" s="1364">
        <f t="shared" si="138"/>
        <v>47275.242418522423</v>
      </c>
      <c r="R195" s="1364">
        <f t="shared" si="164"/>
        <v>33587.300748999347</v>
      </c>
      <c r="S195" s="1514">
        <f t="shared" si="139"/>
        <v>1.222697128082787</v>
      </c>
      <c r="T195" s="135" t="str">
        <f t="shared" si="140"/>
        <v>No</v>
      </c>
      <c r="U195" s="1526">
        <f t="shared" si="141"/>
        <v>1</v>
      </c>
      <c r="V195" s="1494">
        <f t="shared" si="142"/>
        <v>54722.51033245604</v>
      </c>
      <c r="W195" s="1491">
        <f t="shared" si="134"/>
        <v>0.3342141124349175</v>
      </c>
      <c r="X195" s="527">
        <f t="shared" si="143"/>
        <v>19805.397288792796</v>
      </c>
      <c r="Y195" s="1509">
        <f t="shared" si="144"/>
        <v>17142.110238067151</v>
      </c>
      <c r="Z195" s="1531">
        <f t="shared" si="145"/>
        <v>2974.4882959863826</v>
      </c>
      <c r="AA195" s="1531">
        <f t="shared" si="146"/>
        <v>0</v>
      </c>
      <c r="AB195" s="1531">
        <f t="shared" si="147"/>
        <v>14800.514509609711</v>
      </c>
      <c r="AC195" s="1531">
        <f t="shared" si="148"/>
        <v>54722.51033245604</v>
      </c>
      <c r="AD195" s="1005">
        <f t="shared" si="149"/>
        <v>6117.4556192697164</v>
      </c>
      <c r="AE195" s="1454">
        <f t="shared" si="150"/>
        <v>0.36192413631006565</v>
      </c>
      <c r="AF195" s="1504">
        <f t="shared" si="151"/>
        <v>0.31325518756218551</v>
      </c>
      <c r="AG195" s="1504">
        <f t="shared" si="152"/>
        <v>5.4355845115939556E-2</v>
      </c>
      <c r="AH195" s="1504">
        <f t="shared" si="165"/>
        <v>0</v>
      </c>
      <c r="AI195" s="1504">
        <f t="shared" si="153"/>
        <v>0.27046483101180929</v>
      </c>
      <c r="AJ195" s="1504">
        <f t="shared" si="154"/>
        <v>1</v>
      </c>
      <c r="AK195" s="1555">
        <f t="shared" si="155"/>
        <v>19805.397288792796</v>
      </c>
      <c r="AL195" s="1556">
        <f t="shared" si="156"/>
        <v>0</v>
      </c>
      <c r="AM195" s="1556">
        <f t="shared" si="157"/>
        <v>0</v>
      </c>
      <c r="AN195" s="1556">
        <f t="shared" si="158"/>
        <v>19805.397288792796</v>
      </c>
      <c r="AO195" s="1543">
        <f t="shared" si="159"/>
        <v>0</v>
      </c>
    </row>
    <row r="196" spans="1:41">
      <c r="A196" s="100">
        <f>'Input data'!A136</f>
        <v>2036</v>
      </c>
      <c r="B196" s="1506">
        <f>'Input data'!B136</f>
        <v>69.420244147098416</v>
      </c>
      <c r="C196" s="1507">
        <f>'Input data'!C136</f>
        <v>4188.173572206083</v>
      </c>
      <c r="D196" s="1507">
        <f>'Input data'!E136</f>
        <v>23988684.664399058</v>
      </c>
      <c r="E196" s="1508">
        <f>'Input data'!J136*C196</f>
        <v>50388.107340224713</v>
      </c>
      <c r="F196" s="1509">
        <f>'Input data'!L136</f>
        <v>74376.79200462377</v>
      </c>
      <c r="G196" s="1510">
        <f t="shared" si="171"/>
        <v>13687.941669523079</v>
      </c>
      <c r="H196" s="1509">
        <f t="shared" si="160"/>
        <v>37737.348443927622</v>
      </c>
      <c r="I196" s="1511">
        <f t="shared" si="135"/>
        <v>23988.684664399058</v>
      </c>
      <c r="J196" s="1504">
        <f t="shared" si="170"/>
        <v>0.4</v>
      </c>
      <c r="K196" s="1512">
        <f t="shared" si="162"/>
        <v>8119.0245727933179</v>
      </c>
      <c r="L196" s="1512">
        <f t="shared" si="136"/>
        <v>0</v>
      </c>
      <c r="M196" s="1511">
        <f t="shared" si="163"/>
        <v>8119.0245727933179</v>
      </c>
      <c r="N196" s="1454">
        <f t="shared" si="169"/>
        <v>0.5</v>
      </c>
      <c r="O196" s="1511">
        <f t="shared" si="137"/>
        <v>751.91700000000026</v>
      </c>
      <c r="P196" s="1481">
        <f t="shared" si="166"/>
        <v>8870.9415727933174</v>
      </c>
      <c r="Q196" s="1364">
        <f t="shared" si="138"/>
        <v>42554.348540657382</v>
      </c>
      <c r="R196" s="1364">
        <f t="shared" si="164"/>
        <v>28866.406871134302</v>
      </c>
      <c r="S196" s="1514">
        <f t="shared" si="139"/>
        <v>1.0250440566562782</v>
      </c>
      <c r="T196" s="135" t="str">
        <f t="shared" si="140"/>
        <v>No</v>
      </c>
      <c r="U196" s="1526">
        <f t="shared" si="141"/>
        <v>1</v>
      </c>
      <c r="V196" s="1494">
        <f t="shared" si="142"/>
        <v>46215.654262605836</v>
      </c>
      <c r="W196" s="1491">
        <f t="shared" si="134"/>
        <v>0.37862802337948709</v>
      </c>
      <c r="X196" s="527">
        <f t="shared" si="143"/>
        <v>14393.210798639435</v>
      </c>
      <c r="Y196" s="1509">
        <f t="shared" si="144"/>
        <v>13630.459840458792</v>
      </c>
      <c r="Z196" s="1531">
        <f t="shared" si="145"/>
        <v>3028.9302231111574</v>
      </c>
      <c r="AA196" s="1531">
        <f t="shared" si="146"/>
        <v>0</v>
      </c>
      <c r="AB196" s="1531">
        <f t="shared" si="147"/>
        <v>15163.053400396448</v>
      </c>
      <c r="AC196" s="1531">
        <f t="shared" si="148"/>
        <v>46215.654262605836</v>
      </c>
      <c r="AD196" s="1005">
        <f t="shared" si="149"/>
        <v>705.26912911635554</v>
      </c>
      <c r="AE196" s="1454">
        <f t="shared" si="150"/>
        <v>0.31143583334024805</v>
      </c>
      <c r="AF196" s="1504">
        <f t="shared" si="151"/>
        <v>0.29493166456127651</v>
      </c>
      <c r="AG196" s="1504">
        <f t="shared" si="152"/>
        <v>6.5539053193972324E-2</v>
      </c>
      <c r="AH196" s="1504">
        <f t="shared" si="165"/>
        <v>0</v>
      </c>
      <c r="AI196" s="1504">
        <f t="shared" si="153"/>
        <v>0.32809344890450309</v>
      </c>
      <c r="AJ196" s="1504">
        <f t="shared" si="154"/>
        <v>1</v>
      </c>
      <c r="AK196" s="1555">
        <f t="shared" si="155"/>
        <v>14393.210798639437</v>
      </c>
      <c r="AL196" s="1556">
        <f t="shared" si="156"/>
        <v>0</v>
      </c>
      <c r="AM196" s="1556">
        <f t="shared" si="157"/>
        <v>0</v>
      </c>
      <c r="AN196" s="1556">
        <f t="shared" si="158"/>
        <v>14393.210798639437</v>
      </c>
      <c r="AO196" s="1543">
        <f t="shared" si="159"/>
        <v>0</v>
      </c>
    </row>
    <row r="197" spans="1:41">
      <c r="A197" s="100">
        <f>'Input data'!A137</f>
        <v>2037</v>
      </c>
      <c r="B197" s="1506">
        <f>'Input data'!B137</f>
        <v>69.940438284968707</v>
      </c>
      <c r="C197" s="1507">
        <f>'Input data'!C137</f>
        <v>4308.5353934667492</v>
      </c>
      <c r="D197" s="1507">
        <f>'Input data'!E137</f>
        <v>19936802.299321227</v>
      </c>
      <c r="E197" s="1508">
        <f>'Input data'!J137*C197</f>
        <v>51836.185903538128</v>
      </c>
      <c r="F197" s="1509">
        <f>'Input data'!L137</f>
        <v>71772.988202859357</v>
      </c>
      <c r="G197" s="1510">
        <f t="shared" si="171"/>
        <v>13687.941669523079</v>
      </c>
      <c r="H197" s="1509">
        <f t="shared" si="160"/>
        <v>34765.768065045311</v>
      </c>
      <c r="I197" s="1511">
        <f t="shared" si="135"/>
        <v>19936.802299321225</v>
      </c>
      <c r="J197" s="1504">
        <f t="shared" si="170"/>
        <v>0.4</v>
      </c>
      <c r="K197" s="1512">
        <f t="shared" si="162"/>
        <v>6747.6558233863598</v>
      </c>
      <c r="L197" s="1512">
        <f t="shared" si="136"/>
        <v>0</v>
      </c>
      <c r="M197" s="1511">
        <f t="shared" si="163"/>
        <v>6747.6558233863598</v>
      </c>
      <c r="N197" s="1454">
        <f t="shared" si="169"/>
        <v>0.5</v>
      </c>
      <c r="O197" s="1511">
        <f t="shared" si="137"/>
        <v>751.91700000000026</v>
      </c>
      <c r="P197" s="1481">
        <f t="shared" si="166"/>
        <v>7499.5728233863601</v>
      </c>
      <c r="Q197" s="1364">
        <f t="shared" si="138"/>
        <v>40954.136911182024</v>
      </c>
      <c r="R197" s="1364">
        <f t="shared" si="164"/>
        <v>27266.195241658945</v>
      </c>
      <c r="S197" s="1514">
        <f t="shared" si="139"/>
        <v>0.94047126848077833</v>
      </c>
      <c r="T197" s="135" t="str">
        <f t="shared" si="140"/>
        <v>Yes</v>
      </c>
      <c r="U197" s="1526">
        <f t="shared" si="141"/>
        <v>0.94047126848077833</v>
      </c>
      <c r="V197" s="1494">
        <f t="shared" si="142"/>
        <v>44506.792961200408</v>
      </c>
      <c r="W197" s="1491">
        <f t="shared" si="134"/>
        <v>0.37989494271290059</v>
      </c>
      <c r="X197" s="527">
        <f t="shared" si="143"/>
        <v>13687.941669523079</v>
      </c>
      <c r="Y197" s="1509">
        <f t="shared" si="144"/>
        <v>12125.666334098212</v>
      </c>
      <c r="Z197" s="1531">
        <f t="shared" si="145"/>
        <v>3094.3681649355021</v>
      </c>
      <c r="AA197" s="1531">
        <f t="shared" si="146"/>
        <v>0</v>
      </c>
      <c r="AB197" s="1531">
        <f t="shared" si="147"/>
        <v>15598.816792643614</v>
      </c>
      <c r="AC197" s="1531">
        <f t="shared" si="148"/>
        <v>44506.792961200408</v>
      </c>
      <c r="AD197" s="1005">
        <f t="shared" si="149"/>
        <v>0</v>
      </c>
      <c r="AE197" s="1454">
        <f t="shared" si="150"/>
        <v>0.3075472474832277</v>
      </c>
      <c r="AF197" s="1504">
        <f t="shared" si="151"/>
        <v>0.27244529491641822</v>
      </c>
      <c r="AG197" s="1504">
        <f t="shared" si="152"/>
        <v>6.9525750094666966E-2</v>
      </c>
      <c r="AH197" s="1504">
        <f t="shared" si="165"/>
        <v>0</v>
      </c>
      <c r="AI197" s="1504">
        <f t="shared" si="153"/>
        <v>0.35048170750568708</v>
      </c>
      <c r="AJ197" s="1504">
        <f t="shared" si="154"/>
        <v>1</v>
      </c>
      <c r="AK197" s="1555">
        <f t="shared" si="155"/>
        <v>11962.081379592733</v>
      </c>
      <c r="AL197" s="1556">
        <f t="shared" si="156"/>
        <v>1646.8986151630099</v>
      </c>
      <c r="AM197" s="1556">
        <f t="shared" si="157"/>
        <v>78.961674767334173</v>
      </c>
      <c r="AN197" s="1556">
        <f t="shared" si="158"/>
        <v>13687.941669523078</v>
      </c>
      <c r="AO197" s="1543">
        <f t="shared" si="159"/>
        <v>0</v>
      </c>
    </row>
    <row r="198" spans="1:41">
      <c r="A198" s="100">
        <f>'Input data'!A138</f>
        <v>2038</v>
      </c>
      <c r="B198" s="1506">
        <f>'Input data'!B138</f>
        <v>70.447562472153166</v>
      </c>
      <c r="C198" s="1507">
        <f>'Input data'!C138</f>
        <v>4436.6736831338776</v>
      </c>
      <c r="D198" s="1507">
        <f>'Input data'!E138</f>
        <v>16174143.168204505</v>
      </c>
      <c r="E198" s="1508">
        <f>'Input data'!J138*C198</f>
        <v>53377.823513065159</v>
      </c>
      <c r="F198" s="1509">
        <f>'Input data'!L138</f>
        <v>69551.966681269667</v>
      </c>
      <c r="G198" s="1510">
        <f t="shared" si="171"/>
        <v>13687.941669523079</v>
      </c>
      <c r="H198" s="1509">
        <f t="shared" si="160"/>
        <v>32119.294730958038</v>
      </c>
      <c r="I198" s="1511">
        <f t="shared" si="135"/>
        <v>16174.143168204506</v>
      </c>
      <c r="J198" s="1504">
        <f t="shared" si="170"/>
        <v>0.4</v>
      </c>
      <c r="K198" s="1512">
        <f t="shared" si="162"/>
        <v>5474.1753315643591</v>
      </c>
      <c r="L198" s="1512">
        <f t="shared" si="136"/>
        <v>0</v>
      </c>
      <c r="M198" s="1511">
        <f t="shared" si="163"/>
        <v>5474.1753315643591</v>
      </c>
      <c r="N198" s="1454">
        <f t="shared" si="169"/>
        <v>0.5</v>
      </c>
      <c r="O198" s="1511">
        <f t="shared" si="137"/>
        <v>751.91700000000026</v>
      </c>
      <c r="P198" s="1481">
        <f t="shared" si="166"/>
        <v>6226.0923315643595</v>
      </c>
      <c r="Q198" s="1364">
        <f t="shared" si="138"/>
        <v>39581.144068916758</v>
      </c>
      <c r="R198" s="1364">
        <f t="shared" si="164"/>
        <v>25893.202399393678</v>
      </c>
      <c r="S198" s="1514">
        <f t="shared" si="139"/>
        <v>0.86666996870259971</v>
      </c>
      <c r="T198" s="135" t="str">
        <f t="shared" si="140"/>
        <v>Yes</v>
      </c>
      <c r="U198" s="1526">
        <f t="shared" si="141"/>
        <v>0.86666996870259971</v>
      </c>
      <c r="V198" s="1494">
        <f t="shared" si="142"/>
        <v>43658.764281876</v>
      </c>
      <c r="W198" s="1491">
        <f t="shared" si="134"/>
        <v>0.37228569708247661</v>
      </c>
      <c r="X198" s="527">
        <f t="shared" si="143"/>
        <v>13687.941669523081</v>
      </c>
      <c r="Y198" s="1509">
        <f t="shared" si="144"/>
        <v>10744.054155835882</v>
      </c>
      <c r="Z198" s="1531">
        <f t="shared" si="145"/>
        <v>3164.033992993629</v>
      </c>
      <c r="AA198" s="1531">
        <f t="shared" si="146"/>
        <v>0</v>
      </c>
      <c r="AB198" s="1531">
        <f t="shared" si="147"/>
        <v>16062.734463523406</v>
      </c>
      <c r="AC198" s="1531">
        <f t="shared" si="148"/>
        <v>43658.764281876</v>
      </c>
      <c r="AD198" s="1005">
        <f t="shared" si="149"/>
        <v>0</v>
      </c>
      <c r="AE198" s="1454">
        <f t="shared" si="150"/>
        <v>0.31352105114906648</v>
      </c>
      <c r="AF198" s="1504">
        <f t="shared" si="151"/>
        <v>0.24609157708790319</v>
      </c>
      <c r="AG198" s="1504">
        <f t="shared" si="152"/>
        <v>7.2471909020730349E-2</v>
      </c>
      <c r="AH198" s="1504">
        <f t="shared" si="165"/>
        <v>0</v>
      </c>
      <c r="AI198" s="1504">
        <f t="shared" si="153"/>
        <v>0.36791546274229997</v>
      </c>
      <c r="AJ198" s="1504">
        <f t="shared" si="154"/>
        <v>1</v>
      </c>
      <c r="AK198" s="1555">
        <f t="shared" si="155"/>
        <v>9704.4859009227039</v>
      </c>
      <c r="AL198" s="1556">
        <f t="shared" si="156"/>
        <v>3798.359264361723</v>
      </c>
      <c r="AM198" s="1556">
        <f t="shared" si="157"/>
        <v>185.0965042386533</v>
      </c>
      <c r="AN198" s="1556">
        <f t="shared" si="158"/>
        <v>13687.941669523079</v>
      </c>
      <c r="AO198" s="1543">
        <f t="shared" si="159"/>
        <v>0</v>
      </c>
    </row>
    <row r="199" spans="1:41">
      <c r="A199" s="100">
        <f>'Input data'!A139</f>
        <v>2039</v>
      </c>
      <c r="B199" s="1506">
        <f>'Input data'!B139</f>
        <v>70.942722252264574</v>
      </c>
      <c r="C199" s="1507">
        <f>'Input data'!C139</f>
        <v>4572.7379558768307</v>
      </c>
      <c r="D199" s="1507">
        <f>'Input data'!E139</f>
        <v>12411484.037087778</v>
      </c>
      <c r="E199" s="1508">
        <f>'Input data'!J139*C199</f>
        <v>55014.818986614788</v>
      </c>
      <c r="F199" s="1509">
        <f>'Input data'!L139</f>
        <v>67426.303023702567</v>
      </c>
      <c r="G199" s="1510">
        <f t="shared" si="171"/>
        <v>13687.941669523079</v>
      </c>
      <c r="H199" s="1509">
        <f t="shared" si="160"/>
        <v>29527.538418170068</v>
      </c>
      <c r="I199" s="1511">
        <f t="shared" si="135"/>
        <v>12411.484037087777</v>
      </c>
      <c r="J199" s="1504">
        <f t="shared" si="170"/>
        <v>0.4</v>
      </c>
      <c r="K199" s="1512">
        <f t="shared" si="162"/>
        <v>4200.6948397423548</v>
      </c>
      <c r="L199" s="1512">
        <f t="shared" si="136"/>
        <v>0</v>
      </c>
      <c r="M199" s="1511">
        <f t="shared" si="163"/>
        <v>4200.6948397423548</v>
      </c>
      <c r="N199" s="1454">
        <f t="shared" si="169"/>
        <v>0.5</v>
      </c>
      <c r="O199" s="1511">
        <f t="shared" si="137"/>
        <v>751.91700000000026</v>
      </c>
      <c r="P199" s="1481">
        <f t="shared" si="166"/>
        <v>4952.6118397423552</v>
      </c>
      <c r="Q199" s="1364">
        <f t="shared" si="138"/>
        <v>38262.868247950792</v>
      </c>
      <c r="R199" s="1364">
        <f t="shared" si="164"/>
        <v>24574.926578427712</v>
      </c>
      <c r="S199" s="1514">
        <f t="shared" si="139"/>
        <v>0.79747352874631605</v>
      </c>
      <c r="T199" s="135" t="str">
        <f t="shared" si="140"/>
        <v>Yes</v>
      </c>
      <c r="U199" s="1526">
        <f t="shared" si="141"/>
        <v>0.79747352874631605</v>
      </c>
      <c r="V199" s="1494">
        <f t="shared" si="142"/>
        <v>42851.376445274858</v>
      </c>
      <c r="W199" s="1491">
        <f t="shared" si="134"/>
        <v>0.36447091826744249</v>
      </c>
      <c r="X199" s="527">
        <f t="shared" si="143"/>
        <v>13687.941669523079</v>
      </c>
      <c r="Y199" s="1509">
        <f t="shared" si="144"/>
        <v>9370.078058073861</v>
      </c>
      <c r="Z199" s="1531">
        <f t="shared" si="145"/>
        <v>3238.0089949574353</v>
      </c>
      <c r="AA199" s="1531">
        <f t="shared" si="146"/>
        <v>0</v>
      </c>
      <c r="AB199" s="1531">
        <f t="shared" si="147"/>
        <v>16555.347722720482</v>
      </c>
      <c r="AC199" s="1531">
        <f t="shared" si="148"/>
        <v>42851.376445274858</v>
      </c>
      <c r="AD199" s="1005">
        <f t="shared" si="149"/>
        <v>0</v>
      </c>
      <c r="AE199" s="1454">
        <f t="shared" si="150"/>
        <v>0.31942828457339839</v>
      </c>
      <c r="AF199" s="1504">
        <f t="shared" si="151"/>
        <v>0.21866457592185659</v>
      </c>
      <c r="AG199" s="1504">
        <f t="shared" si="152"/>
        <v>7.5563710283441415E-2</v>
      </c>
      <c r="AH199" s="1504">
        <f t="shared" si="165"/>
        <v>0</v>
      </c>
      <c r="AI199" s="1504">
        <f t="shared" si="153"/>
        <v>0.38634342922130355</v>
      </c>
      <c r="AJ199" s="1504">
        <f t="shared" si="154"/>
        <v>1</v>
      </c>
      <c r="AK199" s="1555">
        <f t="shared" si="155"/>
        <v>7446.8904222526671</v>
      </c>
      <c r="AL199" s="1556">
        <f t="shared" si="156"/>
        <v>5946.5993818280394</v>
      </c>
      <c r="AM199" s="1556">
        <f t="shared" si="157"/>
        <v>294.45186544237362</v>
      </c>
      <c r="AN199" s="1556">
        <f t="shared" si="158"/>
        <v>13687.941669523079</v>
      </c>
      <c r="AO199" s="1543">
        <f t="shared" si="159"/>
        <v>0</v>
      </c>
    </row>
    <row r="200" spans="1:41">
      <c r="A200" s="100">
        <f>'Input data'!A140</f>
        <v>2040</v>
      </c>
      <c r="B200" s="1506">
        <f>'Input data'!B140</f>
        <v>71.425610993241406</v>
      </c>
      <c r="C200" s="1507">
        <f>'Input data'!C140</f>
        <v>4714.8820680263625</v>
      </c>
      <c r="D200" s="1507">
        <f>'Input data'!E140</f>
        <v>8648824.905971054</v>
      </c>
      <c r="E200" s="1508">
        <f>'Input data'!J140*C200</f>
        <v>56724.961285468657</v>
      </c>
      <c r="F200" s="1509">
        <f>'Input data'!L140</f>
        <v>65373.786191439707</v>
      </c>
      <c r="G200" s="1510">
        <f t="shared" si="171"/>
        <v>13687.941669523079</v>
      </c>
      <c r="H200" s="1509">
        <f t="shared" si="160"/>
        <v>26977.754274528019</v>
      </c>
      <c r="I200" s="1511">
        <f t="shared" si="135"/>
        <v>8648.8249059710542</v>
      </c>
      <c r="J200" s="1504">
        <f t="shared" si="170"/>
        <v>0.4</v>
      </c>
      <c r="K200" s="1512">
        <f t="shared" si="162"/>
        <v>2927.2143479203532</v>
      </c>
      <c r="L200" s="1512">
        <f t="shared" si="136"/>
        <v>0</v>
      </c>
      <c r="M200" s="1511">
        <f t="shared" si="163"/>
        <v>2927.2143479203532</v>
      </c>
      <c r="N200" s="1454">
        <f t="shared" si="169"/>
        <v>0.5</v>
      </c>
      <c r="O200" s="1511">
        <f t="shared" si="137"/>
        <v>751.91700000000026</v>
      </c>
      <c r="P200" s="1481">
        <f t="shared" si="166"/>
        <v>3679.1313479203536</v>
      </c>
      <c r="Q200" s="1364">
        <f t="shared" si="138"/>
        <v>36986.564596130745</v>
      </c>
      <c r="R200" s="1364">
        <f t="shared" si="164"/>
        <v>23298.622926607666</v>
      </c>
      <c r="S200" s="1514">
        <f t="shared" si="139"/>
        <v>0.73272400999186427</v>
      </c>
      <c r="T200" s="135" t="str">
        <f t="shared" si="140"/>
        <v>Yes</v>
      </c>
      <c r="U200" s="1526">
        <f t="shared" si="141"/>
        <v>0.73272400999186427</v>
      </c>
      <c r="V200" s="1494">
        <f t="shared" si="142"/>
        <v>42075.163264832052</v>
      </c>
      <c r="W200" s="1491">
        <f t="shared" si="134"/>
        <v>0.35639090656888506</v>
      </c>
      <c r="X200" s="527">
        <f t="shared" si="143"/>
        <v>13687.941669523079</v>
      </c>
      <c r="Y200" s="1509">
        <f t="shared" si="144"/>
        <v>8001.9594221173338</v>
      </c>
      <c r="Z200" s="1531">
        <f t="shared" si="145"/>
        <v>3315.2894651604388</v>
      </c>
      <c r="AA200" s="1531">
        <f t="shared" si="146"/>
        <v>0</v>
      </c>
      <c r="AB200" s="1531">
        <f t="shared" si="147"/>
        <v>17069.9727080312</v>
      </c>
      <c r="AC200" s="1531">
        <f t="shared" si="148"/>
        <v>42075.163264832052</v>
      </c>
      <c r="AD200" s="1005">
        <f t="shared" si="149"/>
        <v>0</v>
      </c>
      <c r="AE200" s="1454">
        <f t="shared" si="150"/>
        <v>0.32532117780191616</v>
      </c>
      <c r="AF200" s="1504">
        <f t="shared" si="151"/>
        <v>0.19018249250159563</v>
      </c>
      <c r="AG200" s="1504">
        <f t="shared" si="152"/>
        <v>7.8794452781873761E-2</v>
      </c>
      <c r="AH200" s="1504">
        <f t="shared" si="165"/>
        <v>0</v>
      </c>
      <c r="AI200" s="1504">
        <f t="shared" si="153"/>
        <v>0.40570187691461446</v>
      </c>
      <c r="AJ200" s="1504">
        <f t="shared" si="154"/>
        <v>1</v>
      </c>
      <c r="AK200" s="1555">
        <f t="shared" si="155"/>
        <v>5189.2949435826322</v>
      </c>
      <c r="AL200" s="1556">
        <f t="shared" si="156"/>
        <v>8091.7294261551242</v>
      </c>
      <c r="AM200" s="1556">
        <f t="shared" si="157"/>
        <v>406.9172997853218</v>
      </c>
      <c r="AN200" s="1556">
        <f t="shared" si="158"/>
        <v>13687.941669523078</v>
      </c>
      <c r="AO200" s="1543">
        <f t="shared" si="159"/>
        <v>0</v>
      </c>
    </row>
    <row r="201" spans="1:41">
      <c r="A201" s="100">
        <f>'Input data'!A141</f>
        <v>2041</v>
      </c>
      <c r="B201" s="1506">
        <f>'Input data'!B141</f>
        <v>71.895928013305991</v>
      </c>
      <c r="C201" s="1507">
        <f>'Input data'!C141</f>
        <v>4861.7822977789338</v>
      </c>
      <c r="D201" s="1507">
        <f>'Input data'!E141</f>
        <v>7702881.2953237193</v>
      </c>
      <c r="E201" s="1508">
        <f>'Input data'!J141*C201</f>
        <v>58492.324652211188</v>
      </c>
      <c r="F201" s="1509">
        <f>'Input data'!L141</f>
        <v>66195.205947534909</v>
      </c>
      <c r="G201" s="1510">
        <f t="shared" si="171"/>
        <v>13687.941669523079</v>
      </c>
      <c r="H201" s="1509">
        <f t="shared" si="160"/>
        <v>27104.157036958171</v>
      </c>
      <c r="I201" s="1511">
        <f t="shared" si="135"/>
        <v>7702.8812953237193</v>
      </c>
      <c r="J201" s="1504">
        <f t="shared" si="170"/>
        <v>0.4</v>
      </c>
      <c r="K201" s="1512">
        <f t="shared" si="162"/>
        <v>2607.0575937353087</v>
      </c>
      <c r="L201" s="1512">
        <f t="shared" si="136"/>
        <v>0</v>
      </c>
      <c r="M201" s="1511">
        <f t="shared" si="163"/>
        <v>2607.0575937353087</v>
      </c>
      <c r="N201" s="1454">
        <f t="shared" si="169"/>
        <v>0.5</v>
      </c>
      <c r="O201" s="1511">
        <f t="shared" si="137"/>
        <v>751.91700000000026</v>
      </c>
      <c r="P201" s="1481">
        <f t="shared" si="166"/>
        <v>3358.9745937353091</v>
      </c>
      <c r="Q201" s="1364">
        <f t="shared" si="138"/>
        <v>37433.124112745943</v>
      </c>
      <c r="R201" s="1364">
        <f t="shared" si="164"/>
        <v>23745.182443222864</v>
      </c>
      <c r="S201" s="1514">
        <f t="shared" si="139"/>
        <v>0.7236870666543872</v>
      </c>
      <c r="T201" s="135" t="str">
        <f t="shared" si="140"/>
        <v>Yes</v>
      </c>
      <c r="U201" s="1526">
        <f t="shared" si="141"/>
        <v>0.7236870666543872</v>
      </c>
      <c r="V201" s="1494">
        <f t="shared" si="142"/>
        <v>42450.023504312048</v>
      </c>
      <c r="W201" s="1491">
        <f t="shared" si="134"/>
        <v>0.35871453382957752</v>
      </c>
      <c r="X201" s="527">
        <f t="shared" si="143"/>
        <v>13687.941669523079</v>
      </c>
      <c r="Y201" s="1509">
        <f t="shared" si="144"/>
        <v>7765.1091511029153</v>
      </c>
      <c r="Z201" s="1531">
        <f t="shared" si="145"/>
        <v>3395.1557266364357</v>
      </c>
      <c r="AA201" s="1531">
        <f t="shared" si="146"/>
        <v>0</v>
      </c>
      <c r="AB201" s="1531">
        <f t="shared" si="147"/>
        <v>17601.816957049621</v>
      </c>
      <c r="AC201" s="1531">
        <f t="shared" si="148"/>
        <v>42450.023504312048</v>
      </c>
      <c r="AD201" s="1005">
        <f t="shared" si="149"/>
        <v>0</v>
      </c>
      <c r="AE201" s="1454">
        <f t="shared" si="150"/>
        <v>0.32244838847103741</v>
      </c>
      <c r="AF201" s="1504">
        <f t="shared" si="151"/>
        <v>0.18292355363040352</v>
      </c>
      <c r="AG201" s="1504">
        <f t="shared" si="152"/>
        <v>7.9980067061483667E-2</v>
      </c>
      <c r="AH201" s="1504">
        <f t="shared" si="165"/>
        <v>0</v>
      </c>
      <c r="AI201" s="1504">
        <f t="shared" si="153"/>
        <v>0.41464799083707549</v>
      </c>
      <c r="AJ201" s="1504">
        <f t="shared" si="154"/>
        <v>1</v>
      </c>
      <c r="AK201" s="1555">
        <f t="shared" si="155"/>
        <v>4621.728777194231</v>
      </c>
      <c r="AL201" s="1556">
        <f t="shared" si="156"/>
        <v>8625.9570700587101</v>
      </c>
      <c r="AM201" s="1556">
        <f t="shared" si="157"/>
        <v>440.25582227013876</v>
      </c>
      <c r="AN201" s="1556">
        <f t="shared" si="158"/>
        <v>13687.941669523081</v>
      </c>
      <c r="AO201" s="1543">
        <f t="shared" si="159"/>
        <v>0</v>
      </c>
    </row>
    <row r="202" spans="1:41">
      <c r="A202" s="100">
        <f>'Input data'!A142</f>
        <v>2042</v>
      </c>
      <c r="B202" s="1506">
        <f>'Input data'!B142</f>
        <v>72.353378891150228</v>
      </c>
      <c r="C202" s="1507">
        <f>'Input data'!C142</f>
        <v>4999.630924015547</v>
      </c>
      <c r="D202" s="1507">
        <f>'Input data'!E142</f>
        <v>6756937.6846763855</v>
      </c>
      <c r="E202" s="1508">
        <f>'Input data'!J142*C202</f>
        <v>60150.787764057408</v>
      </c>
      <c r="F202" s="1509">
        <f>'Input data'!L142</f>
        <v>66907.725448733792</v>
      </c>
      <c r="G202" s="1510">
        <f t="shared" si="171"/>
        <v>13687.941669523079</v>
      </c>
      <c r="H202" s="1509">
        <f t="shared" si="160"/>
        <v>27168.072057787376</v>
      </c>
      <c r="I202" s="1511">
        <f t="shared" si="135"/>
        <v>6756.9376846763853</v>
      </c>
      <c r="J202" s="1504">
        <f t="shared" si="170"/>
        <v>0.4</v>
      </c>
      <c r="K202" s="1512">
        <f t="shared" si="162"/>
        <v>2286.9008395502651</v>
      </c>
      <c r="L202" s="1512">
        <f t="shared" si="136"/>
        <v>0</v>
      </c>
      <c r="M202" s="1511">
        <f t="shared" si="163"/>
        <v>2286.9008395502651</v>
      </c>
      <c r="N202" s="1454">
        <f t="shared" si="169"/>
        <v>0.5</v>
      </c>
      <c r="O202" s="1511">
        <f t="shared" si="137"/>
        <v>751.91700000000026</v>
      </c>
      <c r="P202" s="1481">
        <f t="shared" si="166"/>
        <v>3038.8178395502655</v>
      </c>
      <c r="Q202" s="1364">
        <f t="shared" si="138"/>
        <v>37817.195887760186</v>
      </c>
      <c r="R202" s="1364">
        <f t="shared" si="164"/>
        <v>24129.254218237107</v>
      </c>
      <c r="S202" s="1514">
        <f t="shared" si="139"/>
        <v>0.71466488275231543</v>
      </c>
      <c r="T202" s="135" t="str">
        <f t="shared" si="140"/>
        <v>Yes</v>
      </c>
      <c r="U202" s="1526">
        <f t="shared" si="141"/>
        <v>0.71466488275231543</v>
      </c>
      <c r="V202" s="1494">
        <f t="shared" si="142"/>
        <v>42778.471230496682</v>
      </c>
      <c r="W202" s="1491">
        <f t="shared" si="134"/>
        <v>0.36063480048691077</v>
      </c>
      <c r="X202" s="527">
        <f t="shared" si="143"/>
        <v>13687.941669523079</v>
      </c>
      <c r="Y202" s="1509">
        <f t="shared" si="144"/>
        <v>7519.5383500995285</v>
      </c>
      <c r="Z202" s="1531">
        <f t="shared" si="145"/>
        <v>3470.1008403756309</v>
      </c>
      <c r="AA202" s="1531">
        <f t="shared" si="146"/>
        <v>0</v>
      </c>
      <c r="AB202" s="1531">
        <f t="shared" si="147"/>
        <v>18100.890370498448</v>
      </c>
      <c r="AC202" s="1531">
        <f t="shared" si="148"/>
        <v>42778.471230496682</v>
      </c>
      <c r="AD202" s="1005">
        <f t="shared" si="149"/>
        <v>0</v>
      </c>
      <c r="AE202" s="1454">
        <f t="shared" si="150"/>
        <v>0.31997267026608878</v>
      </c>
      <c r="AF202" s="1504">
        <f t="shared" si="151"/>
        <v>0.17577856650330378</v>
      </c>
      <c r="AG202" s="1504">
        <f t="shared" si="152"/>
        <v>8.1117925455498827E-2</v>
      </c>
      <c r="AH202" s="1504">
        <f t="shared" si="165"/>
        <v>0</v>
      </c>
      <c r="AI202" s="1504">
        <f t="shared" si="153"/>
        <v>0.42313083777510874</v>
      </c>
      <c r="AJ202" s="1504">
        <f t="shared" si="154"/>
        <v>1</v>
      </c>
      <c r="AK202" s="1555">
        <f t="shared" si="155"/>
        <v>4054.1626108058308</v>
      </c>
      <c r="AL202" s="1556">
        <f t="shared" si="156"/>
        <v>9160.1743915568513</v>
      </c>
      <c r="AM202" s="1556">
        <f t="shared" si="157"/>
        <v>473.60466716039514</v>
      </c>
      <c r="AN202" s="1556">
        <f t="shared" si="158"/>
        <v>13687.941669523076</v>
      </c>
      <c r="AO202" s="1543">
        <f t="shared" si="159"/>
        <v>0</v>
      </c>
    </row>
    <row r="203" spans="1:41">
      <c r="A203" s="100">
        <f>'Input data'!A143</f>
        <v>2043</v>
      </c>
      <c r="B203" s="1506">
        <f>'Input data'!B143</f>
        <v>72.797675771420302</v>
      </c>
      <c r="C203" s="1507">
        <f>'Input data'!C143</f>
        <v>5140.3990299017887</v>
      </c>
      <c r="D203" s="1507">
        <f>'Input data'!E143</f>
        <v>5810994.0740290517</v>
      </c>
      <c r="E203" s="1508">
        <f>'Input data'!J143*C203</f>
        <v>61844.375268774857</v>
      </c>
      <c r="F203" s="1509">
        <f>'Input data'!L143</f>
        <v>67655.369342803911</v>
      </c>
      <c r="G203" s="1510">
        <f t="shared" si="171"/>
        <v>13687.941669523079</v>
      </c>
      <c r="H203" s="1509">
        <f t="shared" si="160"/>
        <v>27252.141705322621</v>
      </c>
      <c r="I203" s="1511">
        <f t="shared" si="135"/>
        <v>5810.9940740290513</v>
      </c>
      <c r="J203" s="1504">
        <f t="shared" si="170"/>
        <v>0.4</v>
      </c>
      <c r="K203" s="1512">
        <f t="shared" si="162"/>
        <v>1966.7440853652211</v>
      </c>
      <c r="L203" s="1512">
        <f t="shared" si="136"/>
        <v>0</v>
      </c>
      <c r="M203" s="1511">
        <f t="shared" si="163"/>
        <v>1966.7440853652211</v>
      </c>
      <c r="N203" s="1454">
        <f t="shared" si="169"/>
        <v>0.5</v>
      </c>
      <c r="O203" s="1511">
        <f t="shared" si="137"/>
        <v>751.91700000000026</v>
      </c>
      <c r="P203" s="1481">
        <f t="shared" si="166"/>
        <v>2718.6610853652214</v>
      </c>
      <c r="Q203" s="1364">
        <f t="shared" si="138"/>
        <v>38221.422289480477</v>
      </c>
      <c r="R203" s="1364">
        <f t="shared" si="164"/>
        <v>24533.480619957398</v>
      </c>
      <c r="S203" s="1514">
        <f t="shared" si="139"/>
        <v>0.70630786316276883</v>
      </c>
      <c r="T203" s="135" t="str">
        <f t="shared" si="140"/>
        <v>Yes</v>
      </c>
      <c r="U203" s="1526">
        <f t="shared" si="141"/>
        <v>0.70630786316276883</v>
      </c>
      <c r="V203" s="1494">
        <f t="shared" si="142"/>
        <v>43121.888722846517</v>
      </c>
      <c r="W203" s="1491">
        <f t="shared" si="134"/>
        <v>0.36262429513389205</v>
      </c>
      <c r="X203" s="527">
        <f t="shared" si="143"/>
        <v>13687.941669523079</v>
      </c>
      <c r="Y203" s="1509">
        <f t="shared" si="144"/>
        <v>7276.7802451882635</v>
      </c>
      <c r="Z203" s="1531">
        <f t="shared" si="145"/>
        <v>3546.6332077594516</v>
      </c>
      <c r="AA203" s="1531">
        <f t="shared" si="146"/>
        <v>0</v>
      </c>
      <c r="AB203" s="1531">
        <f t="shared" si="147"/>
        <v>18610.533600375722</v>
      </c>
      <c r="AC203" s="1531">
        <f t="shared" si="148"/>
        <v>43121.888722846517</v>
      </c>
      <c r="AD203" s="1005">
        <f t="shared" si="149"/>
        <v>0</v>
      </c>
      <c r="AE203" s="1454">
        <f t="shared" si="150"/>
        <v>0.3174244467235276</v>
      </c>
      <c r="AF203" s="1504">
        <f t="shared" si="151"/>
        <v>0.1687491077201573</v>
      </c>
      <c r="AG203" s="1504">
        <f t="shared" si="152"/>
        <v>8.2246703769271609E-2</v>
      </c>
      <c r="AH203" s="1504">
        <f t="shared" si="165"/>
        <v>0</v>
      </c>
      <c r="AI203" s="1504">
        <f t="shared" si="153"/>
        <v>0.4315797417870435</v>
      </c>
      <c r="AJ203" s="1504">
        <f t="shared" si="154"/>
        <v>1</v>
      </c>
      <c r="AK203" s="1555">
        <f t="shared" si="155"/>
        <v>3486.5964444174301</v>
      </c>
      <c r="AL203" s="1556">
        <f t="shared" si="156"/>
        <v>9693.9265126235823</v>
      </c>
      <c r="AM203" s="1556">
        <f t="shared" si="157"/>
        <v>507.41871248206621</v>
      </c>
      <c r="AN203" s="1556">
        <f t="shared" si="158"/>
        <v>13687.941669523078</v>
      </c>
      <c r="AO203" s="1543">
        <f t="shared" si="159"/>
        <v>0</v>
      </c>
    </row>
    <row r="204" spans="1:41">
      <c r="A204" s="100">
        <f>'Input data'!A144</f>
        <v>2044</v>
      </c>
      <c r="B204" s="1506">
        <f>'Input data'!B144</f>
        <v>73.228597899236789</v>
      </c>
      <c r="C204" s="1507">
        <f>'Input data'!C144</f>
        <v>5284.2396924773611</v>
      </c>
      <c r="D204" s="1507">
        <f>'Input data'!E144</f>
        <v>4865050.463381717</v>
      </c>
      <c r="E204" s="1508">
        <f>'Input data'!J144*C204</f>
        <v>63574.928843212612</v>
      </c>
      <c r="F204" s="1509">
        <f>'Input data'!L144</f>
        <v>68439.979306594323</v>
      </c>
      <c r="G204" s="1510">
        <f t="shared" si="171"/>
        <v>13687.941669523079</v>
      </c>
      <c r="H204" s="1509">
        <f t="shared" si="160"/>
        <v>27357.42274685216</v>
      </c>
      <c r="I204" s="1511">
        <f t="shared" si="135"/>
        <v>4865.0504633817172</v>
      </c>
      <c r="J204" s="1504">
        <f t="shared" si="170"/>
        <v>0.4</v>
      </c>
      <c r="K204" s="1512">
        <f t="shared" si="162"/>
        <v>1646.587331180177</v>
      </c>
      <c r="L204" s="1512">
        <f t="shared" si="136"/>
        <v>0</v>
      </c>
      <c r="M204" s="1511">
        <f t="shared" si="163"/>
        <v>1646.587331180177</v>
      </c>
      <c r="N204" s="1454">
        <f t="shared" si="169"/>
        <v>0.5</v>
      </c>
      <c r="O204" s="1511">
        <f t="shared" si="137"/>
        <v>751.91700000000026</v>
      </c>
      <c r="P204" s="1481">
        <f t="shared" si="166"/>
        <v>2398.5043311801774</v>
      </c>
      <c r="Q204" s="1364">
        <f t="shared" si="138"/>
        <v>38646.860085195061</v>
      </c>
      <c r="R204" s="1364">
        <f t="shared" si="164"/>
        <v>24958.918415671982</v>
      </c>
      <c r="S204" s="1514">
        <f t="shared" si="139"/>
        <v>0.69858478811567504</v>
      </c>
      <c r="T204" s="135" t="str">
        <f t="shared" si="140"/>
        <v>Yes</v>
      </c>
      <c r="U204" s="1526">
        <f t="shared" si="141"/>
        <v>0.69858478811567504</v>
      </c>
      <c r="V204" s="1494">
        <f t="shared" si="142"/>
        <v>43481.060890922352</v>
      </c>
      <c r="W204" s="1491">
        <f>(1-V204/F204)</f>
        <v>0.36468331329941139</v>
      </c>
      <c r="X204" s="527">
        <f t="shared" si="143"/>
        <v>13687.941669523079</v>
      </c>
      <c r="Y204" s="1509">
        <f t="shared" si="144"/>
        <v>7036.9823144278953</v>
      </c>
      <c r="Z204" s="1531">
        <f t="shared" si="145"/>
        <v>3624.8360532382567</v>
      </c>
      <c r="AA204" s="1531">
        <f t="shared" si="146"/>
        <v>0</v>
      </c>
      <c r="AB204" s="1531">
        <f t="shared" si="147"/>
        <v>19131.300853733122</v>
      </c>
      <c r="AC204" s="1531">
        <f t="shared" si="148"/>
        <v>43481.060890922352</v>
      </c>
      <c r="AD204" s="1005">
        <f t="shared" si="149"/>
        <v>0</v>
      </c>
      <c r="AE204" s="1454">
        <f t="shared" si="150"/>
        <v>0.31480238497080332</v>
      </c>
      <c r="AF204" s="1504">
        <f t="shared" si="151"/>
        <v>0.16184017064535386</v>
      </c>
      <c r="AG204" s="1504">
        <f t="shared" si="152"/>
        <v>8.3365860422118229E-2</v>
      </c>
      <c r="AH204" s="1504">
        <f t="shared" si="165"/>
        <v>0</v>
      </c>
      <c r="AI204" s="1504">
        <f t="shared" si="153"/>
        <v>0.43999158396172461</v>
      </c>
      <c r="AJ204" s="1504">
        <f t="shared" si="154"/>
        <v>1</v>
      </c>
      <c r="AK204" s="1555">
        <f t="shared" si="155"/>
        <v>2919.0302780290303</v>
      </c>
      <c r="AL204" s="1556">
        <f t="shared" si="156"/>
        <v>10227.235267639115</v>
      </c>
      <c r="AM204" s="1556">
        <f t="shared" si="157"/>
        <v>541.67612385493453</v>
      </c>
      <c r="AN204" s="1556">
        <f t="shared" si="158"/>
        <v>13687.941669523081</v>
      </c>
      <c r="AO204" s="1543">
        <f t="shared" si="159"/>
        <v>0</v>
      </c>
    </row>
    <row r="205" spans="1:41">
      <c r="A205" s="100">
        <f>'Input data'!A145</f>
        <v>2045</v>
      </c>
      <c r="B205" s="1506">
        <f>'Input data'!B145</f>
        <v>73.645872502840064</v>
      </c>
      <c r="C205" s="1507">
        <f>'Input data'!C145</f>
        <v>5434.6458323535726</v>
      </c>
      <c r="D205" s="1507">
        <f>'Input data'!E145</f>
        <v>3919106.8527343827</v>
      </c>
      <c r="E205" s="1508">
        <f>'Input data'!J145*C205</f>
        <v>65384.471974616165</v>
      </c>
      <c r="F205" s="1509">
        <f>'Input data'!L145</f>
        <v>69303.578827350546</v>
      </c>
      <c r="G205" s="1510">
        <f t="shared" si="171"/>
        <v>13687.941669523079</v>
      </c>
      <c r="H205" s="1509">
        <f t="shared" si="160"/>
        <v>27508.028558553746</v>
      </c>
      <c r="I205" s="1511">
        <f t="shared" si="135"/>
        <v>3919.1068527343828</v>
      </c>
      <c r="J205" s="1504">
        <f t="shared" si="170"/>
        <v>0.4</v>
      </c>
      <c r="K205" s="1512">
        <f t="shared" si="162"/>
        <v>1326.4305769951329</v>
      </c>
      <c r="L205" s="1512">
        <f t="shared" si="136"/>
        <v>0</v>
      </c>
      <c r="M205" s="1511">
        <f t="shared" si="163"/>
        <v>1326.4305769951329</v>
      </c>
      <c r="N205" s="1454">
        <f t="shared" si="169"/>
        <v>0.5</v>
      </c>
      <c r="O205" s="1511">
        <f t="shared" si="137"/>
        <v>751.91700000000026</v>
      </c>
      <c r="P205" s="1481">
        <f t="shared" si="166"/>
        <v>2078.3475769951333</v>
      </c>
      <c r="Q205" s="1364">
        <f t="shared" si="138"/>
        <v>39117.622651081692</v>
      </c>
      <c r="R205" s="1364">
        <f t="shared" si="164"/>
        <v>25429.680981558613</v>
      </c>
      <c r="S205" s="1514">
        <f t="shared" si="139"/>
        <v>0.69165999364004283</v>
      </c>
      <c r="T205" s="135" t="str">
        <f t="shared" si="140"/>
        <v>Yes</v>
      </c>
      <c r="U205" s="1526">
        <f t="shared" si="141"/>
        <v>0.69165999364004283</v>
      </c>
      <c r="V205" s="1494">
        <f t="shared" si="142"/>
        <v>43873.897845791944</v>
      </c>
      <c r="W205" s="1491">
        <f t="shared" si="134"/>
        <v>0.36693171423237991</v>
      </c>
      <c r="X205" s="527">
        <f t="shared" si="143"/>
        <v>13687.941669523079</v>
      </c>
      <c r="Y205" s="1509">
        <f t="shared" si="144"/>
        <v>6803.5097205640423</v>
      </c>
      <c r="Z205" s="1531">
        <f t="shared" si="145"/>
        <v>3706.6083970608752</v>
      </c>
      <c r="AA205" s="1531">
        <f t="shared" si="146"/>
        <v>0</v>
      </c>
      <c r="AB205" s="1531">
        <f t="shared" si="147"/>
        <v>19675.838058643949</v>
      </c>
      <c r="AC205" s="1531">
        <f t="shared" si="148"/>
        <v>43873.897845791944</v>
      </c>
      <c r="AD205" s="1005">
        <f t="shared" si="149"/>
        <v>0</v>
      </c>
      <c r="AE205" s="1454">
        <f t="shared" si="150"/>
        <v>0.31198371563961519</v>
      </c>
      <c r="AF205" s="1504">
        <f t="shared" si="151"/>
        <v>0.15506964401651821</v>
      </c>
      <c r="AG205" s="1504">
        <f t="shared" si="152"/>
        <v>8.4483225312892624E-2</v>
      </c>
      <c r="AH205" s="1504">
        <f t="shared" si="165"/>
        <v>0</v>
      </c>
      <c r="AI205" s="1504">
        <f t="shared" si="153"/>
        <v>0.44846341503097403</v>
      </c>
      <c r="AJ205" s="1504">
        <f t="shared" si="154"/>
        <v>1</v>
      </c>
      <c r="AK205" s="1555">
        <f t="shared" si="155"/>
        <v>2351.4641116406297</v>
      </c>
      <c r="AL205" s="1556">
        <f t="shared" si="156"/>
        <v>10759.985723811425</v>
      </c>
      <c r="AM205" s="1556">
        <f t="shared" si="157"/>
        <v>576.49183407102225</v>
      </c>
      <c r="AN205" s="1556">
        <f t="shared" si="158"/>
        <v>13687.941669523078</v>
      </c>
      <c r="AO205" s="1543">
        <f t="shared" si="159"/>
        <v>0</v>
      </c>
    </row>
    <row r="206" spans="1:41">
      <c r="A206" s="100">
        <f>'Input data'!A146</f>
        <v>2046</v>
      </c>
      <c r="B206" s="1506">
        <f>'Input data'!B146</f>
        <v>74.049234192071822</v>
      </c>
      <c r="C206" s="1507">
        <f>'Input data'!C146</f>
        <v>5588.9785645796028</v>
      </c>
      <c r="D206" s="1507">
        <f>'Input data'!E146</f>
        <v>3263474.9196310313</v>
      </c>
      <c r="E206" s="1508">
        <f>'Input data'!J146*C206</f>
        <v>67241.256117738274</v>
      </c>
      <c r="F206" s="1509">
        <f>'Input data'!L146</f>
        <v>70504.731037369304</v>
      </c>
      <c r="G206" s="1510">
        <f t="shared" si="171"/>
        <v>13687.941669523079</v>
      </c>
      <c r="H206" s="1509">
        <f t="shared" si="160"/>
        <v>27958.185249426508</v>
      </c>
      <c r="I206" s="1511">
        <f t="shared" si="135"/>
        <v>3263.4749196310313</v>
      </c>
      <c r="J206" s="1504">
        <f t="shared" si="170"/>
        <v>0.4</v>
      </c>
      <c r="K206" s="1512">
        <f t="shared" si="162"/>
        <v>1104.530466587081</v>
      </c>
      <c r="L206" s="1512">
        <f t="shared" si="136"/>
        <v>0</v>
      </c>
      <c r="M206" s="1511">
        <f t="shared" si="163"/>
        <v>1104.530466587081</v>
      </c>
      <c r="N206" s="1454">
        <f t="shared" si="169"/>
        <v>0.5</v>
      </c>
      <c r="O206" s="1511">
        <f t="shared" si="137"/>
        <v>751.91700000000026</v>
      </c>
      <c r="P206" s="1481">
        <f t="shared" si="166"/>
        <v>1856.4474665870812</v>
      </c>
      <c r="Q206" s="1364">
        <f t="shared" si="138"/>
        <v>39789.679452362507</v>
      </c>
      <c r="R206" s="1364">
        <f t="shared" si="164"/>
        <v>26101.737782839427</v>
      </c>
      <c r="S206" s="1514">
        <f t="shared" si="139"/>
        <v>0.68994548412271062</v>
      </c>
      <c r="T206" s="135" t="str">
        <f t="shared" si="140"/>
        <v>Yes</v>
      </c>
      <c r="U206" s="1526">
        <f t="shared" si="141"/>
        <v>0.68994548412271062</v>
      </c>
      <c r="V206" s="1494">
        <f t="shared" si="142"/>
        <v>44402.99325452988</v>
      </c>
      <c r="W206" s="1491">
        <f t="shared" si="134"/>
        <v>0.37021257153658016</v>
      </c>
      <c r="X206" s="527">
        <f t="shared" si="143"/>
        <v>13687.941669523079</v>
      </c>
      <c r="Y206" s="1509">
        <f t="shared" si="144"/>
        <v>6689.944770124901</v>
      </c>
      <c r="Z206" s="1531">
        <f t="shared" si="145"/>
        <v>3790.5155384385994</v>
      </c>
      <c r="AA206" s="1531">
        <f t="shared" si="146"/>
        <v>0</v>
      </c>
      <c r="AB206" s="1531">
        <f t="shared" si="147"/>
        <v>20234.591276443305</v>
      </c>
      <c r="AC206" s="1531">
        <f t="shared" si="148"/>
        <v>44402.99325452988</v>
      </c>
      <c r="AD206" s="1005">
        <f t="shared" si="149"/>
        <v>0</v>
      </c>
      <c r="AE206" s="649">
        <f t="shared" si="150"/>
        <v>0.30826619257535459</v>
      </c>
      <c r="AF206" s="417">
        <f t="shared" si="151"/>
        <v>0.15066427463068405</v>
      </c>
      <c r="AG206" s="417">
        <f t="shared" si="152"/>
        <v>8.5366216568111677E-2</v>
      </c>
      <c r="AH206" s="417">
        <f t="shared" si="165"/>
        <v>0</v>
      </c>
      <c r="AI206" s="417">
        <f t="shared" si="153"/>
        <v>0.45570331622584981</v>
      </c>
      <c r="AJ206" s="417">
        <f t="shared" si="154"/>
        <v>1</v>
      </c>
      <c r="AK206" s="1497">
        <f t="shared" si="155"/>
        <v>1958.0849517786185</v>
      </c>
      <c r="AL206" s="1498">
        <f t="shared" si="156"/>
        <v>11127.076558311728</v>
      </c>
      <c r="AM206" s="1498">
        <f t="shared" si="157"/>
        <v>602.78015943273238</v>
      </c>
      <c r="AN206" s="1498">
        <f t="shared" si="158"/>
        <v>13687.941669523079</v>
      </c>
      <c r="AO206" s="1184">
        <f t="shared" si="159"/>
        <v>0</v>
      </c>
    </row>
    <row r="207" spans="1:41">
      <c r="A207" s="100">
        <f>'Input data'!A147</f>
        <v>2047</v>
      </c>
      <c r="B207" s="1506">
        <f>'Input data'!B147</f>
        <v>74.438425238522782</v>
      </c>
      <c r="C207" s="1507">
        <f>'Input data'!C147</f>
        <v>5683.8226319462565</v>
      </c>
      <c r="D207" s="1507">
        <f>'Input data'!E147</f>
        <v>2607842.98652768</v>
      </c>
      <c r="E207" s="1508">
        <f>'Input data'!J147*C207</f>
        <v>68382.329419659043</v>
      </c>
      <c r="F207" s="1509">
        <f>'Input data'!L147</f>
        <v>70990.172406186728</v>
      </c>
      <c r="G207" s="1510">
        <f t="shared" si="171"/>
        <v>13687.941669523079</v>
      </c>
      <c r="H207" s="1509">
        <f t="shared" si="160"/>
        <v>27997.661963943221</v>
      </c>
      <c r="I207" s="1511">
        <f t="shared" si="135"/>
        <v>2607.8429865276798</v>
      </c>
      <c r="J207" s="1504">
        <f t="shared" si="170"/>
        <v>0.4</v>
      </c>
      <c r="K207" s="1512">
        <f t="shared" si="162"/>
        <v>882.63035617902892</v>
      </c>
      <c r="L207" s="1512">
        <f t="shared" si="136"/>
        <v>0</v>
      </c>
      <c r="M207" s="1511">
        <f t="shared" si="163"/>
        <v>882.63035617902892</v>
      </c>
      <c r="N207" s="1454">
        <f t="shared" si="169"/>
        <v>0.5</v>
      </c>
      <c r="O207" s="1511">
        <f t="shared" si="137"/>
        <v>751.91700000000026</v>
      </c>
      <c r="P207" s="1481">
        <f t="shared" si="166"/>
        <v>1634.5473561790291</v>
      </c>
      <c r="Q207" s="1364">
        <f t="shared" si="138"/>
        <v>40051.056277287273</v>
      </c>
      <c r="R207" s="1364">
        <f t="shared" si="164"/>
        <v>26363.114607764193</v>
      </c>
      <c r="S207" s="1514">
        <f t="shared" si="139"/>
        <v>0.68499907825204875</v>
      </c>
      <c r="T207" s="135" t="str">
        <f t="shared" si="140"/>
        <v>Yes</v>
      </c>
      <c r="U207" s="1526">
        <f t="shared" si="141"/>
        <v>0.68499907825204875</v>
      </c>
      <c r="V207" s="1494">
        <f t="shared" si="142"/>
        <v>44627.057798422538</v>
      </c>
      <c r="W207" s="1491">
        <f t="shared" si="134"/>
        <v>0.37136287621505581</v>
      </c>
      <c r="X207" s="527">
        <f t="shared" si="143"/>
        <v>13687.941669523076</v>
      </c>
      <c r="Y207" s="1509">
        <f t="shared" si="144"/>
        <v>6519.0670258812952</v>
      </c>
      <c r="Z207" s="1531">
        <f t="shared" si="145"/>
        <v>3842.0800669387309</v>
      </c>
      <c r="AA207" s="1531">
        <f t="shared" si="146"/>
        <v>0</v>
      </c>
      <c r="AB207" s="1531">
        <f t="shared" si="147"/>
        <v>20577.969036079438</v>
      </c>
      <c r="AC207" s="1531">
        <f t="shared" si="148"/>
        <v>44627.057798422538</v>
      </c>
      <c r="AD207" s="1487">
        <f t="shared" si="149"/>
        <v>0</v>
      </c>
      <c r="AE207" s="649">
        <f t="shared" si="150"/>
        <v>0.30671844268449427</v>
      </c>
      <c r="AF207" s="417">
        <f t="shared" si="151"/>
        <v>0.14607879944332178</v>
      </c>
      <c r="AG207" s="417">
        <f t="shared" si="152"/>
        <v>8.6093062291786107E-2</v>
      </c>
      <c r="AH207" s="417">
        <f t="shared" si="165"/>
        <v>0</v>
      </c>
      <c r="AI207" s="417">
        <f t="shared" si="153"/>
        <v>0.46110969558039788</v>
      </c>
      <c r="AJ207" s="417">
        <f t="shared" si="154"/>
        <v>1</v>
      </c>
      <c r="AK207" s="1497">
        <f t="shared" si="155"/>
        <v>1564.705791916608</v>
      </c>
      <c r="AL207" s="1498">
        <f t="shared" si="156"/>
        <v>11496.427705864822</v>
      </c>
      <c r="AM207" s="1498">
        <f t="shared" si="157"/>
        <v>626.80817174164554</v>
      </c>
      <c r="AN207" s="1498">
        <f t="shared" si="158"/>
        <v>13687.941669523076</v>
      </c>
      <c r="AO207" s="1184">
        <f t="shared" si="159"/>
        <v>0</v>
      </c>
    </row>
    <row r="208" spans="1:41">
      <c r="A208" s="100">
        <f>'Input data'!A148</f>
        <v>2048</v>
      </c>
      <c r="B208" s="1506">
        <f>'Input data'!B148</f>
        <v>74.813195848926668</v>
      </c>
      <c r="C208" s="1507">
        <f>'Input data'!C148</f>
        <v>5769.8658364340272</v>
      </c>
      <c r="D208" s="1507">
        <f>'Input data'!E148</f>
        <v>1952211.0534243288</v>
      </c>
      <c r="E208" s="1508">
        <f>'Input data'!J148*C208</f>
        <v>69417.519138728632</v>
      </c>
      <c r="F208" s="1509">
        <f>'Input data'!L148</f>
        <v>71369.730192152958</v>
      </c>
      <c r="G208" s="1510">
        <f t="shared" si="171"/>
        <v>13687.941669523079</v>
      </c>
      <c r="H208" s="1509">
        <f t="shared" si="160"/>
        <v>27976.381924756399</v>
      </c>
      <c r="I208" s="1511">
        <f t="shared" si="135"/>
        <v>1952.2110534243288</v>
      </c>
      <c r="J208" s="1504">
        <f t="shared" si="170"/>
        <v>0.4</v>
      </c>
      <c r="K208" s="1512">
        <f t="shared" si="162"/>
        <v>660.73024577097704</v>
      </c>
      <c r="L208" s="1512">
        <f t="shared" si="136"/>
        <v>0</v>
      </c>
      <c r="M208" s="1511">
        <f t="shared" si="163"/>
        <v>660.73024577097704</v>
      </c>
      <c r="N208" s="1454">
        <f t="shared" si="169"/>
        <v>0.5</v>
      </c>
      <c r="O208" s="1511">
        <f t="shared" si="137"/>
        <v>751.91700000000026</v>
      </c>
      <c r="P208" s="1481">
        <f t="shared" si="166"/>
        <v>1412.6472457709774</v>
      </c>
      <c r="Q208" s="1364">
        <f t="shared" si="138"/>
        <v>40251.676348508503</v>
      </c>
      <c r="R208" s="1364">
        <f t="shared" si="164"/>
        <v>26563.734678985424</v>
      </c>
      <c r="S208" s="1514">
        <f t="shared" si="139"/>
        <v>0.67972100740442853</v>
      </c>
      <c r="T208" s="135" t="str">
        <f t="shared" si="140"/>
        <v>Yes</v>
      </c>
      <c r="U208" s="1526">
        <f t="shared" si="141"/>
        <v>0.67972100740442853</v>
      </c>
      <c r="V208" s="1494">
        <f t="shared" si="142"/>
        <v>44805.995513167552</v>
      </c>
      <c r="W208" s="1491">
        <f t="shared" si="134"/>
        <v>0.37219889450984733</v>
      </c>
      <c r="X208" s="527">
        <f t="shared" si="143"/>
        <v>13687.941669523079</v>
      </c>
      <c r="Y208" s="1509">
        <f t="shared" si="144"/>
        <v>6339.7103211387221</v>
      </c>
      <c r="Z208" s="1531">
        <f t="shared" si="145"/>
        <v>3888.8597695942517</v>
      </c>
      <c r="AA208" s="1531">
        <f t="shared" si="146"/>
        <v>0</v>
      </c>
      <c r="AB208" s="1531">
        <f t="shared" si="147"/>
        <v>20889.483752911496</v>
      </c>
      <c r="AC208" s="1531">
        <f t="shared" si="148"/>
        <v>44805.995513167552</v>
      </c>
      <c r="AD208" s="1487">
        <f t="shared" si="149"/>
        <v>0</v>
      </c>
      <c r="AE208" s="649">
        <f t="shared" si="150"/>
        <v>0.30549352855022444</v>
      </c>
      <c r="AF208" s="417">
        <f t="shared" si="151"/>
        <v>0.14149245538525335</v>
      </c>
      <c r="AG208" s="417">
        <f t="shared" si="152"/>
        <v>8.6793290162505074E-2</v>
      </c>
      <c r="AH208" s="417">
        <f t="shared" si="165"/>
        <v>0</v>
      </c>
      <c r="AI208" s="417">
        <f t="shared" si="153"/>
        <v>0.46622072590201707</v>
      </c>
      <c r="AJ208" s="417">
        <f t="shared" si="154"/>
        <v>1</v>
      </c>
      <c r="AK208" s="1497">
        <f t="shared" si="155"/>
        <v>1171.3266320545972</v>
      </c>
      <c r="AL208" s="1498">
        <f t="shared" si="156"/>
        <v>11866.01081217978</v>
      </c>
      <c r="AM208" s="1498">
        <f t="shared" si="157"/>
        <v>650.60422528870004</v>
      </c>
      <c r="AN208" s="1498">
        <f t="shared" si="158"/>
        <v>13687.941669523078</v>
      </c>
      <c r="AO208" s="1184">
        <f t="shared" si="159"/>
        <v>0</v>
      </c>
    </row>
    <row r="209" spans="1:41">
      <c r="A209" s="100">
        <f>'Input data'!A149</f>
        <v>2049</v>
      </c>
      <c r="B209" s="1506">
        <f>'Input data'!B149</f>
        <v>75.173102421925719</v>
      </c>
      <c r="C209" s="1507">
        <f>'Input data'!C149</f>
        <v>5861.5540552090788</v>
      </c>
      <c r="D209" s="1507">
        <f>'Input data'!E149</f>
        <v>1296579.1203209779</v>
      </c>
      <c r="E209" s="1508">
        <f>'Input data'!J149*C209</f>
        <v>70520.624282252509</v>
      </c>
      <c r="F209" s="1509">
        <f>'Input data'!L149</f>
        <v>71817.20340257349</v>
      </c>
      <c r="G209" s="1510">
        <f t="shared" si="171"/>
        <v>13687.941669523079</v>
      </c>
      <c r="H209" s="1509">
        <f t="shared" si="160"/>
        <v>27994.072239661571</v>
      </c>
      <c r="I209" s="1511">
        <f t="shared" si="135"/>
        <v>1296.5791203209778</v>
      </c>
      <c r="J209" s="1504">
        <f t="shared" si="170"/>
        <v>0.4</v>
      </c>
      <c r="K209" s="1512">
        <f t="shared" si="162"/>
        <v>438.83013536292509</v>
      </c>
      <c r="L209" s="1512">
        <f t="shared" si="136"/>
        <v>0</v>
      </c>
      <c r="M209" s="1511">
        <f t="shared" si="163"/>
        <v>438.83013536292509</v>
      </c>
      <c r="N209" s="1454">
        <f t="shared" si="169"/>
        <v>0.5</v>
      </c>
      <c r="O209" s="1511">
        <f t="shared" si="137"/>
        <v>751.91700000000026</v>
      </c>
      <c r="P209" s="1481">
        <f t="shared" si="166"/>
        <v>1190.7471353629253</v>
      </c>
      <c r="Q209" s="1364">
        <f t="shared" si="138"/>
        <v>40491.266773821728</v>
      </c>
      <c r="R209" s="1364">
        <f t="shared" si="164"/>
        <v>26803.325104298649</v>
      </c>
      <c r="S209" s="1514">
        <f t="shared" si="139"/>
        <v>0.67492029313195956</v>
      </c>
      <c r="T209" s="135" t="str">
        <f t="shared" si="140"/>
        <v>Yes</v>
      </c>
      <c r="U209" s="1526">
        <f t="shared" si="141"/>
        <v>0.67492029313195956</v>
      </c>
      <c r="V209" s="1494">
        <f t="shared" si="142"/>
        <v>45013.878298274853</v>
      </c>
      <c r="W209" s="1491">
        <f t="shared" si="134"/>
        <v>0.37321594039316452</v>
      </c>
      <c r="X209" s="527">
        <f t="shared" si="143"/>
        <v>13687.941669523081</v>
      </c>
      <c r="Y209" s="1509">
        <f t="shared" si="144"/>
        <v>6165.7921573456742</v>
      </c>
      <c r="Z209" s="1531">
        <f t="shared" si="145"/>
        <v>3938.7085361162012</v>
      </c>
      <c r="AA209" s="1531">
        <f t="shared" si="146"/>
        <v>0</v>
      </c>
      <c r="AB209" s="1531">
        <f t="shared" si="147"/>
        <v>21221.435935289894</v>
      </c>
      <c r="AC209" s="1531">
        <f t="shared" si="148"/>
        <v>45013.878298274853</v>
      </c>
      <c r="AD209" s="1487">
        <f t="shared" si="149"/>
        <v>0</v>
      </c>
      <c r="AE209" s="649">
        <f t="shared" si="150"/>
        <v>0.30408270042458591</v>
      </c>
      <c r="AF209" s="417">
        <f t="shared" si="151"/>
        <v>0.13697535938781744</v>
      </c>
      <c r="AG209" s="417">
        <f t="shared" si="152"/>
        <v>8.7499870817999509E-2</v>
      </c>
      <c r="AH209" s="417">
        <f t="shared" si="165"/>
        <v>0</v>
      </c>
      <c r="AI209" s="417">
        <f t="shared" si="153"/>
        <v>0.47144206936959709</v>
      </c>
      <c r="AJ209" s="417">
        <f t="shared" si="154"/>
        <v>0.99999999999999989</v>
      </c>
      <c r="AK209" s="1497">
        <f t="shared" si="155"/>
        <v>777.9474721925867</v>
      </c>
      <c r="AL209" s="1498">
        <f t="shared" si="156"/>
        <v>12235.260066421621</v>
      </c>
      <c r="AM209" s="1498">
        <f t="shared" si="157"/>
        <v>674.73413090886982</v>
      </c>
      <c r="AN209" s="1498">
        <f t="shared" si="158"/>
        <v>13687.941669523078</v>
      </c>
      <c r="AO209" s="1184">
        <f t="shared" si="159"/>
        <v>0</v>
      </c>
    </row>
    <row r="210" spans="1:41" ht="15.75" thickBot="1">
      <c r="A210" s="161">
        <f>'Input data'!A150</f>
        <v>2050</v>
      </c>
      <c r="B210" s="1515">
        <f>'Input data'!B150</f>
        <v>75.517908954390194</v>
      </c>
      <c r="C210" s="1516">
        <f>'Input data'!C150</f>
        <v>5947.0928685667695</v>
      </c>
      <c r="D210" s="1516">
        <f>'Input data'!E150</f>
        <v>640947.1872176266</v>
      </c>
      <c r="E210" s="1517">
        <f>'Input data'!J150*C210</f>
        <v>71549.745648622338</v>
      </c>
      <c r="F210" s="1518">
        <f>'Input data'!L150</f>
        <v>72190.69283583996</v>
      </c>
      <c r="G210" s="1519">
        <f t="shared" si="171"/>
        <v>13687.941669523079</v>
      </c>
      <c r="H210" s="1518">
        <f t="shared" si="160"/>
        <v>27969.310136490534</v>
      </c>
      <c r="I210" s="1520">
        <f t="shared" si="135"/>
        <v>640.94718721762661</v>
      </c>
      <c r="J210" s="1521">
        <f t="shared" si="170"/>
        <v>0.4</v>
      </c>
      <c r="K210" s="1518">
        <f t="shared" si="162"/>
        <v>216.93002495487315</v>
      </c>
      <c r="L210" s="1518">
        <f t="shared" si="136"/>
        <v>0</v>
      </c>
      <c r="M210" s="1520">
        <f t="shared" si="163"/>
        <v>216.93002495487315</v>
      </c>
      <c r="N210" s="1522">
        <f t="shared" si="169"/>
        <v>0.5</v>
      </c>
      <c r="O210" s="1520">
        <f t="shared" si="137"/>
        <v>751.91700000000026</v>
      </c>
      <c r="P210" s="1482">
        <f t="shared" si="166"/>
        <v>968.8470249548734</v>
      </c>
      <c r="Q210" s="1485">
        <f t="shared" si="138"/>
        <v>40688.404781058744</v>
      </c>
      <c r="R210" s="1485">
        <f t="shared" si="164"/>
        <v>27000.463111535664</v>
      </c>
      <c r="S210" s="1523">
        <f t="shared" si="139"/>
        <v>0.66992290256252363</v>
      </c>
      <c r="T210" s="1105" t="str">
        <f t="shared" si="140"/>
        <v>Yes</v>
      </c>
      <c r="U210" s="1528">
        <f t="shared" si="141"/>
        <v>0.66992290256252363</v>
      </c>
      <c r="V210" s="1495">
        <f t="shared" si="142"/>
        <v>45190.229724304314</v>
      </c>
      <c r="W210" s="1492">
        <f t="shared" si="134"/>
        <v>0.37401584679252353</v>
      </c>
      <c r="X210" s="670">
        <f t="shared" si="143"/>
        <v>13687.941669523076</v>
      </c>
      <c r="Y210" s="1518">
        <f t="shared" si="144"/>
        <v>5985.9495101987231</v>
      </c>
      <c r="Z210" s="1532">
        <f t="shared" si="145"/>
        <v>3985.2140129658874</v>
      </c>
      <c r="AA210" s="1532">
        <f t="shared" si="146"/>
        <v>0</v>
      </c>
      <c r="AB210" s="1532">
        <f t="shared" si="147"/>
        <v>21531.124531616624</v>
      </c>
      <c r="AC210" s="1532">
        <f t="shared" si="148"/>
        <v>45190.229724304314</v>
      </c>
      <c r="AD210" s="1488">
        <f t="shared" si="149"/>
        <v>0</v>
      </c>
      <c r="AE210" s="650">
        <f t="shared" si="150"/>
        <v>0.30289604087056443</v>
      </c>
      <c r="AF210" s="651">
        <f t="shared" si="151"/>
        <v>0.1324611436303309</v>
      </c>
      <c r="AG210" s="651">
        <f t="shared" si="152"/>
        <v>8.8187513922341282E-2</v>
      </c>
      <c r="AH210" s="651">
        <f t="shared" si="165"/>
        <v>0</v>
      </c>
      <c r="AI210" s="651">
        <f>AB210/AC210</f>
        <v>0.4764553015767633</v>
      </c>
      <c r="AJ210" s="651">
        <f t="shared" si="154"/>
        <v>0.99999999999999989</v>
      </c>
      <c r="AK210" s="1499">
        <f t="shared" si="155"/>
        <v>384.56831233057596</v>
      </c>
      <c r="AL210" s="1500">
        <f t="shared" si="156"/>
        <v>12604.646871485826</v>
      </c>
      <c r="AM210" s="1500">
        <f t="shared" si="157"/>
        <v>698.7264857066707</v>
      </c>
      <c r="AN210" s="1500">
        <f t="shared" si="158"/>
        <v>13687.941669523072</v>
      </c>
      <c r="AO210" s="1185">
        <f t="shared" si="159"/>
        <v>0</v>
      </c>
    </row>
    <row r="211" spans="1:41">
      <c r="I211" s="106"/>
    </row>
    <row r="212" spans="1:41">
      <c r="I212" s="106"/>
    </row>
    <row r="213" spans="1:41">
      <c r="I213" s="104"/>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c r="J1" s="99"/>
      <c r="K1" s="99"/>
    </row>
    <row r="2" spans="1:11" ht="15.75" thickBot="1">
      <c r="A2" s="2" t="s">
        <v>543</v>
      </c>
      <c r="B2" s="413" t="s">
        <v>555</v>
      </c>
      <c r="J2" s="99"/>
      <c r="K2" s="99"/>
    </row>
    <row r="3" spans="1:11" ht="15.75" thickBot="1">
      <c r="A3" s="2"/>
      <c r="C3" s="728" t="s">
        <v>551</v>
      </c>
      <c r="D3" s="581" t="s">
        <v>558</v>
      </c>
      <c r="E3" s="728" t="s">
        <v>552</v>
      </c>
      <c r="F3" s="581" t="s">
        <v>558</v>
      </c>
      <c r="G3" s="728" t="s">
        <v>553</v>
      </c>
      <c r="H3" s="581" t="s">
        <v>558</v>
      </c>
      <c r="J3" s="99"/>
      <c r="K3" s="99"/>
    </row>
    <row r="4" spans="1:11">
      <c r="A4" s="1896" t="s">
        <v>556</v>
      </c>
      <c r="B4" s="1892" t="s">
        <v>557</v>
      </c>
      <c r="C4" s="579">
        <v>0.5</v>
      </c>
      <c r="D4" s="116">
        <f>2017+10</f>
        <v>2027</v>
      </c>
      <c r="E4" s="579">
        <f>C4</f>
        <v>0.5</v>
      </c>
      <c r="F4" s="116">
        <f>2017+5</f>
        <v>2022</v>
      </c>
      <c r="G4" s="579">
        <f>E4</f>
        <v>0.5</v>
      </c>
      <c r="H4" s="116">
        <f>F4</f>
        <v>2022</v>
      </c>
      <c r="J4" s="99"/>
      <c r="K4" s="99"/>
    </row>
    <row r="5" spans="1:11">
      <c r="A5" s="1846"/>
      <c r="B5" s="1872"/>
      <c r="C5" s="575">
        <v>0.65</v>
      </c>
      <c r="D5" s="130">
        <f>2017+20</f>
        <v>2037</v>
      </c>
      <c r="E5" s="575">
        <f t="shared" ref="E5:E6" si="0">C5</f>
        <v>0.65</v>
      </c>
      <c r="F5" s="130">
        <f>2017+10</f>
        <v>2027</v>
      </c>
      <c r="G5" s="575">
        <f t="shared" ref="G5:H6" si="1">E5</f>
        <v>0.65</v>
      </c>
      <c r="H5" s="130">
        <f t="shared" si="1"/>
        <v>2027</v>
      </c>
      <c r="J5" s="99"/>
      <c r="K5" s="99"/>
    </row>
    <row r="6" spans="1:11" ht="15.75" thickBot="1">
      <c r="A6" s="1847"/>
      <c r="B6" s="1873"/>
      <c r="C6" s="577">
        <v>0.8</v>
      </c>
      <c r="D6" s="140">
        <f>2017+30</f>
        <v>2047</v>
      </c>
      <c r="E6" s="577">
        <f t="shared" si="0"/>
        <v>0.8</v>
      </c>
      <c r="F6" s="140">
        <f>15+2017</f>
        <v>2032</v>
      </c>
      <c r="G6" s="577">
        <f t="shared" si="1"/>
        <v>0.8</v>
      </c>
      <c r="H6" s="140">
        <f t="shared" si="1"/>
        <v>2032</v>
      </c>
      <c r="J6" s="99"/>
      <c r="K6" s="99"/>
    </row>
    <row r="7" spans="1:11" ht="15.75" thickBot="1">
      <c r="A7" s="727"/>
      <c r="B7" s="727"/>
      <c r="C7" s="576"/>
      <c r="D7" s="104"/>
      <c r="E7" s="576"/>
      <c r="F7" s="104"/>
      <c r="G7" s="576"/>
      <c r="H7" s="104"/>
      <c r="J7" s="99"/>
      <c r="K7" s="99"/>
    </row>
    <row r="8" spans="1:11" ht="15.6" customHeight="1">
      <c r="A8" s="1874" t="s">
        <v>574</v>
      </c>
      <c r="B8" s="1698" t="s">
        <v>485</v>
      </c>
      <c r="C8" s="1699"/>
      <c r="D8" s="1699"/>
      <c r="E8" s="1699"/>
      <c r="F8" s="1700"/>
      <c r="G8" s="1698" t="s">
        <v>532</v>
      </c>
      <c r="H8" s="1699"/>
      <c r="I8" s="1700"/>
      <c r="J8" s="327"/>
      <c r="K8" s="99"/>
    </row>
    <row r="9" spans="1:11" ht="32.25" thickBot="1">
      <c r="A9" s="1875"/>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728" t="s">
        <v>552</v>
      </c>
      <c r="F25" s="581" t="s">
        <v>558</v>
      </c>
      <c r="G25" s="729" t="s">
        <v>553</v>
      </c>
      <c r="H25" s="581" t="s">
        <v>558</v>
      </c>
    </row>
    <row r="26" spans="1:11">
      <c r="A26" s="1846" t="s">
        <v>560</v>
      </c>
      <c r="B26" s="1872" t="s">
        <v>557</v>
      </c>
      <c r="C26" s="575">
        <v>0.25</v>
      </c>
      <c r="D26" s="104">
        <f>2017+5</f>
        <v>2022</v>
      </c>
      <c r="E26" s="1901">
        <v>0.5</v>
      </c>
      <c r="F26" s="1903">
        <f>2017+5</f>
        <v>2022</v>
      </c>
      <c r="G26" s="1870">
        <f>E26</f>
        <v>0.5</v>
      </c>
      <c r="H26" s="1903">
        <f>F26</f>
        <v>2022</v>
      </c>
    </row>
    <row r="27" spans="1:11" ht="15.75" thickBot="1">
      <c r="A27" s="1847"/>
      <c r="B27" s="1873"/>
      <c r="C27" s="577">
        <v>0.5</v>
      </c>
      <c r="D27" s="163">
        <f>2017+10</f>
        <v>2027</v>
      </c>
      <c r="E27" s="1902"/>
      <c r="F27" s="1904"/>
      <c r="G27" s="1871"/>
      <c r="H27" s="1904"/>
    </row>
    <row r="28" spans="1:11" ht="15.75" thickBot="1">
      <c r="A28" s="727"/>
      <c r="B28" s="727"/>
      <c r="C28" s="576"/>
      <c r="D28" s="104"/>
      <c r="E28" s="576"/>
      <c r="F28" s="104"/>
      <c r="G28" s="576"/>
      <c r="H28" s="104"/>
    </row>
    <row r="29" spans="1:11">
      <c r="A29" s="594"/>
      <c r="B29" s="600"/>
      <c r="C29" s="1898" t="s">
        <v>551</v>
      </c>
      <c r="D29" s="1899"/>
      <c r="E29" s="1898" t="s">
        <v>552</v>
      </c>
      <c r="F29" s="1899"/>
      <c r="G29" s="1900" t="s">
        <v>553</v>
      </c>
      <c r="H29" s="1899"/>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1" t="s">
        <v>551</v>
      </c>
      <c r="B36" s="990">
        <v>2030</v>
      </c>
      <c r="C36" s="608">
        <f>C35</f>
        <v>0</v>
      </c>
      <c r="D36" s="604">
        <f>D35</f>
        <v>0</v>
      </c>
      <c r="E36" s="604">
        <f>1-F36-G36</f>
        <v>0.7</v>
      </c>
      <c r="F36" s="604">
        <f>F35/2</f>
        <v>0.15</v>
      </c>
      <c r="G36" s="605">
        <f>G35/2</f>
        <v>0.15</v>
      </c>
      <c r="H36" t="s">
        <v>565</v>
      </c>
    </row>
    <row r="37" spans="1:24">
      <c r="A37" s="1851"/>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75" thickBot="1">
      <c r="A41" s="2"/>
      <c r="B41" s="413" t="s">
        <v>567</v>
      </c>
      <c r="X41" s="104"/>
    </row>
    <row r="42" spans="1:24" ht="15.75" thickBot="1">
      <c r="A42" s="2"/>
      <c r="C42" s="1897" t="s">
        <v>6</v>
      </c>
      <c r="D42" s="1864"/>
      <c r="E42" s="1864"/>
      <c r="F42" s="1864"/>
      <c r="G42" s="1864"/>
      <c r="H42" s="1864"/>
      <c r="I42" s="1865"/>
      <c r="J42" s="1863" t="s">
        <v>298</v>
      </c>
      <c r="K42" s="1864"/>
      <c r="L42" s="1864"/>
      <c r="M42" s="1864"/>
      <c r="N42" s="1864"/>
      <c r="O42" s="1864"/>
      <c r="P42" s="1865"/>
      <c r="Q42" s="1848" t="s">
        <v>299</v>
      </c>
      <c r="R42" s="1848"/>
      <c r="S42" s="1848"/>
      <c r="T42" s="1848"/>
      <c r="U42" s="1848"/>
      <c r="V42" s="1848"/>
      <c r="W42" s="1849"/>
      <c r="X42" s="969"/>
    </row>
    <row r="43" spans="1:24" ht="30.75"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75">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7"/>
      <c r="J56" s="334"/>
      <c r="K56" s="334"/>
      <c r="L56" s="334"/>
      <c r="M56" s="334"/>
      <c r="N56" s="334"/>
      <c r="O56" s="1331"/>
      <c r="P56" s="1331"/>
      <c r="Q56" s="198"/>
      <c r="R56" s="286"/>
      <c r="S56" s="286"/>
      <c r="T56" s="104"/>
      <c r="U56" s="104"/>
      <c r="V56" s="104"/>
      <c r="W56" s="620"/>
      <c r="X56" s="104"/>
      <c r="Y56" s="314"/>
      <c r="Z56" s="314"/>
      <c r="AA56" s="314"/>
    </row>
    <row r="57" spans="1:28" ht="16.5" thickBot="1">
      <c r="A57" s="337"/>
      <c r="B57" s="614" t="s">
        <v>593</v>
      </c>
      <c r="C57" s="614">
        <v>56521948</v>
      </c>
      <c r="D57" s="1348"/>
      <c r="E57" s="1348"/>
      <c r="F57" s="1348"/>
      <c r="G57" s="1348"/>
      <c r="H57" s="1348"/>
      <c r="I57" s="1348"/>
      <c r="J57" s="334"/>
      <c r="K57" s="334"/>
      <c r="L57" s="334"/>
      <c r="M57" s="334"/>
      <c r="N57" s="334"/>
      <c r="O57" s="1331"/>
      <c r="P57" s="1331"/>
      <c r="Q57" s="7"/>
      <c r="R57" s="10"/>
      <c r="S57" s="10"/>
      <c r="W57" s="313"/>
      <c r="Y57" s="314"/>
      <c r="Z57" s="314"/>
      <c r="AA57" s="314"/>
    </row>
    <row r="58" spans="1:28" ht="16.5" thickBot="1">
      <c r="A58" s="1305" t="s">
        <v>749</v>
      </c>
      <c r="B58" s="1305" t="s">
        <v>327</v>
      </c>
      <c r="C58" s="1306" t="s">
        <v>221</v>
      </c>
      <c r="D58" s="1307" t="s">
        <v>85</v>
      </c>
      <c r="E58" s="1307" t="s">
        <v>375</v>
      </c>
      <c r="F58" s="1307" t="s">
        <v>222</v>
      </c>
      <c r="G58" s="1307" t="s">
        <v>115</v>
      </c>
      <c r="H58" s="1307" t="s">
        <v>223</v>
      </c>
      <c r="I58" s="1307" t="s">
        <v>328</v>
      </c>
      <c r="J58" s="1307" t="s">
        <v>329</v>
      </c>
      <c r="K58" s="1307" t="s">
        <v>330</v>
      </c>
      <c r="L58" s="1307" t="s">
        <v>331</v>
      </c>
      <c r="M58" s="1307" t="s">
        <v>332</v>
      </c>
      <c r="N58" s="1328" t="s">
        <v>225</v>
      </c>
      <c r="O58" s="1341"/>
      <c r="P58" s="1341"/>
      <c r="Q58" s="7"/>
      <c r="R58" s="10"/>
      <c r="S58" s="10"/>
      <c r="W58" s="313"/>
      <c r="X58" s="315"/>
      <c r="Y58" s="313"/>
      <c r="Z58" s="313"/>
      <c r="AA58" s="313"/>
    </row>
    <row r="59" spans="1:28">
      <c r="A59" s="1308"/>
      <c r="B59" s="1308" t="s">
        <v>333</v>
      </c>
      <c r="C59" s="1309">
        <f>'Input data'!C13</f>
        <v>1233791.4119790548</v>
      </c>
      <c r="D59" s="1310">
        <f>'Input data'!D13</f>
        <v>1138884.3802883581</v>
      </c>
      <c r="E59" s="1310">
        <f>'Input data'!E13</f>
        <v>378326.54427023319</v>
      </c>
      <c r="F59" s="1310">
        <f>'Input data'!F13</f>
        <v>0</v>
      </c>
      <c r="G59" s="1310">
        <f>'Input data'!G13</f>
        <v>0</v>
      </c>
      <c r="H59" s="1310">
        <f>'Input data'!H13</f>
        <v>0</v>
      </c>
      <c r="I59" s="1310">
        <f>'Input data'!I13</f>
        <v>0</v>
      </c>
      <c r="J59" s="1310">
        <f>'Input data'!J13</f>
        <v>381000</v>
      </c>
      <c r="K59" s="1310">
        <f>'Input data'!K13</f>
        <v>338388.97868490184</v>
      </c>
      <c r="L59" s="1310">
        <f>'Input data'!L13</f>
        <v>297470.77450579114</v>
      </c>
      <c r="M59" s="1310">
        <f>'Input data'!M13</f>
        <v>0</v>
      </c>
      <c r="N59" s="1329">
        <f>'Input data'!N13</f>
        <v>3767862.0897283391</v>
      </c>
      <c r="O59" s="1350"/>
      <c r="P59" s="1350"/>
      <c r="Q59" s="1351"/>
      <c r="R59" s="10"/>
      <c r="S59" s="10"/>
      <c r="W59" s="314"/>
      <c r="Y59" s="314"/>
      <c r="Z59" s="314"/>
      <c r="AA59" s="314"/>
    </row>
    <row r="60" spans="1:28" ht="15.75">
      <c r="A60" s="1311" t="s">
        <v>334</v>
      </c>
      <c r="B60" s="1308" t="s">
        <v>335</v>
      </c>
      <c r="C60" s="1312">
        <f>'Input data'!C14</f>
        <v>964286</v>
      </c>
      <c r="D60" s="1349">
        <f>'Input data'!D14</f>
        <v>964286</v>
      </c>
      <c r="E60" s="1349">
        <f>'Input data'!E14</f>
        <v>0</v>
      </c>
      <c r="F60" s="1349">
        <f>'Input data'!F14</f>
        <v>0</v>
      </c>
      <c r="G60" s="1349">
        <f>'Input data'!G14</f>
        <v>0</v>
      </c>
      <c r="H60" s="1349">
        <f>'Input data'!H14</f>
        <v>0</v>
      </c>
      <c r="I60" s="1349">
        <f>'Input data'!I14</f>
        <v>2892858</v>
      </c>
      <c r="J60" s="1349">
        <f>'Input data'!J14</f>
        <v>0</v>
      </c>
      <c r="K60" s="1349">
        <f>'Input data'!K14</f>
        <v>0</v>
      </c>
      <c r="L60" s="1349">
        <f>'Input data'!L14</f>
        <v>0</v>
      </c>
      <c r="M60" s="1349">
        <f>'Input data'!M14</f>
        <v>0</v>
      </c>
      <c r="N60" s="1324">
        <f>'Input data'!N14</f>
        <v>4821430</v>
      </c>
      <c r="O60" s="1350"/>
      <c r="P60" s="1350"/>
      <c r="Q60" s="7"/>
      <c r="R60" s="10"/>
      <c r="S60" s="10"/>
      <c r="W60" s="313"/>
      <c r="Y60" s="314"/>
      <c r="Z60" s="314"/>
      <c r="AA60" s="314"/>
    </row>
    <row r="61" spans="1:28" ht="15.75">
      <c r="A61" s="1311" t="s">
        <v>336</v>
      </c>
      <c r="B61" s="1308" t="s">
        <v>337</v>
      </c>
      <c r="C61" s="1312">
        <f>'Input data'!C15</f>
        <v>72176.800000000003</v>
      </c>
      <c r="D61" s="1349">
        <f>'Input data'!D15</f>
        <v>72176.800000000003</v>
      </c>
      <c r="E61" s="1349">
        <f>'Input data'!E15</f>
        <v>0</v>
      </c>
      <c r="F61" s="1349">
        <f>'Input data'!F15</f>
        <v>0</v>
      </c>
      <c r="G61" s="1349">
        <f>'Input data'!G15</f>
        <v>0</v>
      </c>
      <c r="H61" s="1349">
        <f>'Input data'!H15</f>
        <v>0</v>
      </c>
      <c r="I61" s="1349">
        <f>'Input data'!I15</f>
        <v>216530.4</v>
      </c>
      <c r="J61" s="1349">
        <f>'Input data'!J15</f>
        <v>0</v>
      </c>
      <c r="K61" s="1349">
        <f>'Input data'!K15</f>
        <v>0</v>
      </c>
      <c r="L61" s="1349">
        <f>'Input data'!L15</f>
        <v>0</v>
      </c>
      <c r="M61" s="1349">
        <f>'Input data'!M15</f>
        <v>0</v>
      </c>
      <c r="N61" s="1324">
        <f>'Input data'!N15</f>
        <v>360884</v>
      </c>
      <c r="O61" s="1350"/>
      <c r="P61" s="1350"/>
      <c r="Q61" s="7"/>
      <c r="R61" s="10"/>
      <c r="S61" s="10"/>
      <c r="W61" s="313"/>
      <c r="Y61" s="314"/>
      <c r="Z61" s="314"/>
      <c r="AA61" s="313"/>
    </row>
    <row r="62" spans="1:28" ht="15.75">
      <c r="A62" s="1311" t="s">
        <v>338</v>
      </c>
      <c r="B62" s="1308" t="s">
        <v>339</v>
      </c>
      <c r="C62" s="1312">
        <f>'Input data'!C16</f>
        <v>0</v>
      </c>
      <c r="D62" s="1349">
        <f>'Input data'!D16</f>
        <v>0</v>
      </c>
      <c r="E62" s="1349">
        <f>'Input data'!E16</f>
        <v>520349.97572976683</v>
      </c>
      <c r="F62" s="1349">
        <f>'Input data'!F16</f>
        <v>0</v>
      </c>
      <c r="G62" s="1349">
        <f>'Input data'!G16</f>
        <v>0</v>
      </c>
      <c r="H62" s="1349">
        <f>'Input data'!H16</f>
        <v>0</v>
      </c>
      <c r="I62" s="1349">
        <f>'Input data'!I16</f>
        <v>0</v>
      </c>
      <c r="J62" s="1349">
        <f>'Input data'!J16</f>
        <v>237880.00199999998</v>
      </c>
      <c r="K62" s="1349">
        <f>'Input data'!K16</f>
        <v>465419.88531509798</v>
      </c>
      <c r="L62" s="1349">
        <f>'Input data'!L16</f>
        <v>409141.02549420868</v>
      </c>
      <c r="M62" s="1349">
        <f>'Input data'!M16</f>
        <v>123895.58799999999</v>
      </c>
      <c r="N62" s="1324">
        <f>'Input data'!N16</f>
        <v>1756686.4765390735</v>
      </c>
      <c r="O62" s="614"/>
      <c r="P62" s="614"/>
      <c r="Q62" s="10"/>
      <c r="R62" s="10"/>
      <c r="S62" s="10"/>
      <c r="W62" s="312"/>
      <c r="Y62" s="312"/>
      <c r="Z62" s="312"/>
      <c r="AA62" s="312"/>
      <c r="AB62" s="312"/>
    </row>
    <row r="63" spans="1:28" ht="15.75">
      <c r="A63" s="1311" t="s">
        <v>338</v>
      </c>
      <c r="B63" s="1308" t="s">
        <v>340</v>
      </c>
      <c r="C63" s="1312">
        <f>'Input data'!C17</f>
        <v>0</v>
      </c>
      <c r="D63" s="1349">
        <f>'Input data'!D17</f>
        <v>0</v>
      </c>
      <c r="E63" s="1349">
        <f>'Input data'!E17</f>
        <v>1241029.48</v>
      </c>
      <c r="F63" s="1349">
        <f>'Input data'!F17</f>
        <v>0</v>
      </c>
      <c r="G63" s="1349">
        <f>'Input data'!G17</f>
        <v>0</v>
      </c>
      <c r="H63" s="1349">
        <f>'Input data'!H17</f>
        <v>0</v>
      </c>
      <c r="I63" s="1349">
        <f>'Input data'!I17</f>
        <v>0</v>
      </c>
      <c r="J63" s="1349">
        <f>'Input data'!J17</f>
        <v>480373.99800000002</v>
      </c>
      <c r="K63" s="1349">
        <f>'Input data'!K17</f>
        <v>1987194.1360000002</v>
      </c>
      <c r="L63" s="1349">
        <f>'Input data'!L17</f>
        <v>2826447.2</v>
      </c>
      <c r="M63" s="1349">
        <f>'Input data'!M17</f>
        <v>38271.412000000004</v>
      </c>
      <c r="N63" s="1324">
        <f>'Input data'!N17</f>
        <v>6573316.2259999998</v>
      </c>
      <c r="O63" s="614"/>
      <c r="P63" s="614"/>
      <c r="Q63" s="10"/>
      <c r="R63" s="10"/>
      <c r="S63" s="10"/>
      <c r="W63" s="312"/>
      <c r="Y63" s="312"/>
      <c r="Z63" s="312"/>
      <c r="AA63" s="312"/>
      <c r="AB63" s="312"/>
    </row>
    <row r="64" spans="1:28" ht="15.75">
      <c r="A64" s="1311" t="s">
        <v>341</v>
      </c>
      <c r="B64" s="1308" t="s">
        <v>342</v>
      </c>
      <c r="C64" s="1312">
        <f>'Input data'!C18</f>
        <v>2500000</v>
      </c>
      <c r="D64" s="1349">
        <f>'Input data'!D18</f>
        <v>4200000</v>
      </c>
      <c r="E64" s="1349">
        <f>'Input data'!E18</f>
        <v>0</v>
      </c>
      <c r="F64" s="1349">
        <f>'Input data'!F18</f>
        <v>0</v>
      </c>
      <c r="G64" s="1349">
        <f>'Input data'!G18</f>
        <v>0</v>
      </c>
      <c r="H64" s="1349">
        <f>'Input data'!H18</f>
        <v>0</v>
      </c>
      <c r="I64" s="1349">
        <f>'Input data'!I18</f>
        <v>0</v>
      </c>
      <c r="J64" s="1349">
        <f>'Input data'!J18</f>
        <v>0</v>
      </c>
      <c r="K64" s="1349">
        <f>'Input data'!K18</f>
        <v>0</v>
      </c>
      <c r="L64" s="1349">
        <f>'Input data'!L18</f>
        <v>0</v>
      </c>
      <c r="M64" s="1349">
        <f>'Input data'!M18</f>
        <v>0</v>
      </c>
      <c r="N64" s="1324">
        <f>'Input data'!N18</f>
        <v>6700000</v>
      </c>
      <c r="O64" s="614"/>
      <c r="P64" s="614"/>
      <c r="Q64" s="10"/>
      <c r="R64" s="10"/>
      <c r="S64" s="10"/>
      <c r="W64" s="312"/>
      <c r="Y64" s="312"/>
      <c r="Z64" s="312"/>
      <c r="AA64" s="312"/>
      <c r="AB64" s="312"/>
    </row>
    <row r="65" spans="1:28" ht="15.75">
      <c r="A65" s="1313"/>
      <c r="B65" s="1314" t="s">
        <v>343</v>
      </c>
      <c r="C65" s="1312">
        <f>'Input data'!C19</f>
        <v>4770254.2119790548</v>
      </c>
      <c r="D65" s="1349">
        <f>'Input data'!D19</f>
        <v>6375347.1802883577</v>
      </c>
      <c r="E65" s="1349">
        <f>'Input data'!E19</f>
        <v>2139706</v>
      </c>
      <c r="F65" s="1349">
        <f>'Input data'!F19</f>
        <v>0</v>
      </c>
      <c r="G65" s="1349">
        <f>'Input data'!G19</f>
        <v>0</v>
      </c>
      <c r="H65" s="1349">
        <f>'Input data'!H19</f>
        <v>0</v>
      </c>
      <c r="I65" s="1349">
        <f>'Input data'!I19</f>
        <v>3109388.4</v>
      </c>
      <c r="J65" s="1349">
        <f>'Input data'!J19</f>
        <v>1099254</v>
      </c>
      <c r="K65" s="1349">
        <f>'Input data'!K19</f>
        <v>2791003</v>
      </c>
      <c r="L65" s="1349">
        <f>'Input data'!L19</f>
        <v>3533059</v>
      </c>
      <c r="M65" s="1349">
        <f>'Input data'!M19</f>
        <v>162167</v>
      </c>
      <c r="N65" s="1324">
        <f>'Input data'!N19</f>
        <v>23980178.792267412</v>
      </c>
      <c r="O65" s="615"/>
      <c r="P65" s="615"/>
      <c r="Q65" s="10"/>
      <c r="R65" s="10"/>
      <c r="S65" s="10"/>
      <c r="W65" s="312"/>
      <c r="Y65" s="312"/>
      <c r="Z65" s="312"/>
      <c r="AA65" s="312"/>
      <c r="AB65" s="312"/>
    </row>
    <row r="66" spans="1:28" ht="15.75">
      <c r="A66" s="1313"/>
      <c r="B66" s="1315" t="s">
        <v>496</v>
      </c>
      <c r="C66" s="1312">
        <f>'Input data'!C20</f>
        <v>2674712.2259895275</v>
      </c>
      <c r="D66" s="1349">
        <f>'Input data'!D20</f>
        <v>3392258.7101441789</v>
      </c>
      <c r="E66" s="1349">
        <f>'Input data'!E20</f>
        <v>657478.25029190676</v>
      </c>
      <c r="F66" s="1349">
        <f>'Input data'!F20</f>
        <v>0</v>
      </c>
      <c r="G66" s="1349">
        <f>'Input data'!G20</f>
        <v>0</v>
      </c>
      <c r="H66" s="1349">
        <f>'Input data'!H20</f>
        <v>0</v>
      </c>
      <c r="I66" s="1349">
        <f>'Input data'!I20</f>
        <v>2798449.56</v>
      </c>
      <c r="J66" s="1349">
        <f>'Input data'!J20</f>
        <v>404592.00179999997</v>
      </c>
      <c r="K66" s="1349">
        <f>'Input data'!K20</f>
        <v>588072.38612603908</v>
      </c>
      <c r="L66" s="1349">
        <f>'Input data'!L20</f>
        <v>516962.3101976834</v>
      </c>
      <c r="M66" s="1349">
        <f>'Input data'!M20</f>
        <v>111506.02919999999</v>
      </c>
      <c r="N66" s="1324">
        <f>'Input data'!N20</f>
        <v>11144031.473749338</v>
      </c>
      <c r="O66" s="615"/>
      <c r="P66" s="615"/>
      <c r="Q66" s="10"/>
      <c r="R66" s="10"/>
      <c r="S66" s="10"/>
      <c r="W66" s="312"/>
      <c r="Y66" s="312"/>
      <c r="Z66" s="312"/>
      <c r="AA66" s="312"/>
      <c r="AB66" s="312"/>
    </row>
    <row r="67" spans="1:28" ht="16.5" thickBot="1">
      <c r="A67" s="1313"/>
      <c r="B67" s="1315" t="s">
        <v>744</v>
      </c>
      <c r="C67" s="1312">
        <f>'Input data'!C21</f>
        <v>845541.98598952731</v>
      </c>
      <c r="D67" s="1349">
        <f>'Input data'!D21</f>
        <v>883088.47014417872</v>
      </c>
      <c r="E67" s="1349">
        <f>'Input data'!E21</f>
        <v>241198.26970809326</v>
      </c>
      <c r="F67" s="1349">
        <f>'Input data'!F21</f>
        <v>0</v>
      </c>
      <c r="G67" s="1349">
        <f>'Input data'!G21</f>
        <v>0</v>
      </c>
      <c r="H67" s="1349">
        <f>'Input data'!H21</f>
        <v>0</v>
      </c>
      <c r="I67" s="1349">
        <f>'Input data'!I21</f>
        <v>310938.83999999985</v>
      </c>
      <c r="J67" s="1349">
        <f>'Input data'!J21</f>
        <v>214288.00020000001</v>
      </c>
      <c r="K67" s="1349">
        <f>'Input data'!K21</f>
        <v>215736.47787396074</v>
      </c>
      <c r="L67" s="1349">
        <f>'Input data'!L21</f>
        <v>189649.4898023163</v>
      </c>
      <c r="M67" s="1349">
        <f>'Input data'!M21</f>
        <v>12389.558800000006</v>
      </c>
      <c r="N67" s="1324">
        <f>'Input data'!N21</f>
        <v>2912831.0925180763</v>
      </c>
      <c r="O67" s="615"/>
      <c r="P67" s="615"/>
      <c r="Q67" s="10"/>
      <c r="R67" s="10"/>
      <c r="S67" s="10"/>
      <c r="W67" s="312"/>
      <c r="Y67" s="312"/>
      <c r="Z67" s="312"/>
      <c r="AA67" s="312"/>
      <c r="AB67" s="312"/>
    </row>
    <row r="68" spans="1:28" ht="15.75">
      <c r="A68" s="1313"/>
      <c r="B68" s="1305" t="s">
        <v>344</v>
      </c>
      <c r="C68" s="1316">
        <f>'Input data'!C22</f>
        <v>0</v>
      </c>
      <c r="D68" s="1182">
        <f>'Input data'!D22</f>
        <v>0</v>
      </c>
      <c r="E68" s="1182">
        <f>'Input data'!E22</f>
        <v>0</v>
      </c>
      <c r="F68" s="1182">
        <f>'Input data'!F22</f>
        <v>0</v>
      </c>
      <c r="G68" s="1182">
        <f>'Input data'!G22</f>
        <v>0</v>
      </c>
      <c r="H68" s="1182">
        <f>'Input data'!H22</f>
        <v>0</v>
      </c>
      <c r="I68" s="1182">
        <f>'Input data'!I22</f>
        <v>0</v>
      </c>
      <c r="J68" s="1182">
        <f>'Input data'!J22</f>
        <v>0</v>
      </c>
      <c r="K68" s="1182">
        <f>'Input data'!K22</f>
        <v>0</v>
      </c>
      <c r="L68" s="1182">
        <f>'Input data'!L22</f>
        <v>0</v>
      </c>
      <c r="M68" s="1182">
        <f>'Input data'!M22</f>
        <v>0</v>
      </c>
      <c r="N68" s="1330">
        <f>'Input data'!N22</f>
        <v>0</v>
      </c>
      <c r="O68" s="616"/>
      <c r="P68" s="616"/>
      <c r="Q68" s="10"/>
      <c r="R68" s="10"/>
      <c r="S68" s="10"/>
      <c r="W68" s="312"/>
      <c r="Y68" s="312"/>
      <c r="Z68" s="312"/>
      <c r="AA68" s="312"/>
      <c r="AB68" s="312"/>
    </row>
    <row r="69" spans="1:28" ht="15.75">
      <c r="A69" s="1313"/>
      <c r="B69" s="1317"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1" t="s">
        <v>334</v>
      </c>
      <c r="B70" s="1317"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1" t="s">
        <v>336</v>
      </c>
      <c r="B71" s="1317"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1" t="s">
        <v>338</v>
      </c>
      <c r="B72" s="1317"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1" t="s">
        <v>338</v>
      </c>
      <c r="B73" s="1317"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1" t="s">
        <v>341</v>
      </c>
      <c r="B74" s="1317"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3"/>
      <c r="B75" s="1315"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3"/>
      <c r="B76" s="1315"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18"/>
      <c r="B77" s="1319"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0" t="s">
        <v>549</v>
      </c>
      <c r="B78" s="1321" t="s">
        <v>327</v>
      </c>
      <c r="C78" s="1306" t="s">
        <v>545</v>
      </c>
      <c r="D78" s="1307" t="s">
        <v>546</v>
      </c>
      <c r="E78" s="1307" t="s">
        <v>547</v>
      </c>
      <c r="F78" s="1307" t="s">
        <v>548</v>
      </c>
      <c r="G78" s="1307" t="s">
        <v>498</v>
      </c>
      <c r="H78" s="1328" t="s">
        <v>544</v>
      </c>
      <c r="I78" s="1322"/>
      <c r="J78" s="1322"/>
      <c r="K78" s="1322"/>
      <c r="L78" s="1322"/>
      <c r="M78" s="1322"/>
      <c r="N78" s="1322"/>
      <c r="O78" s="339"/>
      <c r="P78" s="339"/>
      <c r="Q78" s="7"/>
      <c r="R78" s="338"/>
      <c r="S78" s="338"/>
      <c r="T78" s="4"/>
      <c r="U78" s="4"/>
      <c r="Y78" s="745"/>
    </row>
    <row r="79" spans="1:28" ht="15.75">
      <c r="A79" s="1313"/>
      <c r="B79" s="1323" t="s">
        <v>378</v>
      </c>
      <c r="C79" s="1312">
        <f>'Waste Summary 2017 SASOW'!J10+'Waste Summary 2017 SASOW'!J13</f>
        <v>49995051</v>
      </c>
      <c r="D79" s="1349">
        <f>'Waste Summary 2017 SASOW'!K10+'Waste Summary 2017 SASOW'!K13</f>
        <v>0</v>
      </c>
      <c r="E79" s="1349">
        <f>'Waste Summary 2017 SASOW'!L10+'Waste Summary 2017 SASOW'!L13</f>
        <v>46917968.670000002</v>
      </c>
      <c r="F79" s="1349">
        <f>'Waste Summary 2017 SASOW'!M10+'Waste Summary 2017 SASOW'!M13</f>
        <v>0</v>
      </c>
      <c r="G79" s="1349">
        <f>'Waste Summary 2017 SASOW'!N10+'Waste Summary 2017 SASOW'!N13</f>
        <v>0</v>
      </c>
      <c r="H79" s="1324">
        <f>'Waste Summary 2017 SASOW'!O10+'Waste Summary 2017 SASOW'!O13</f>
        <v>3077082.33</v>
      </c>
      <c r="L79" s="1322"/>
      <c r="M79" s="1322"/>
      <c r="N79" s="1322"/>
      <c r="O79" s="339"/>
      <c r="P79" s="339"/>
      <c r="Q79" s="7"/>
      <c r="R79" s="338"/>
      <c r="S79" s="338"/>
      <c r="T79" s="4"/>
      <c r="U79" s="4"/>
      <c r="Y79" s="745"/>
    </row>
    <row r="80" spans="1:28" ht="16.5" thickBot="1">
      <c r="A80" s="1318"/>
      <c r="B80" s="1318" t="s">
        <v>374</v>
      </c>
      <c r="C80" s="1325">
        <f t="shared" ref="C80:H80" si="9">C79/$C$79</f>
        <v>1</v>
      </c>
      <c r="D80" s="1326">
        <f t="shared" si="9"/>
        <v>0</v>
      </c>
      <c r="E80" s="1326">
        <f t="shared" si="9"/>
        <v>0.93845226140483384</v>
      </c>
      <c r="F80" s="1326">
        <f t="shared" si="9"/>
        <v>0</v>
      </c>
      <c r="G80" s="1326">
        <f t="shared" si="9"/>
        <v>0</v>
      </c>
      <c r="H80" s="1327">
        <f t="shared" si="9"/>
        <v>6.154773859516615E-2</v>
      </c>
      <c r="L80" s="1322"/>
      <c r="M80" s="1322"/>
      <c r="N80" s="1322"/>
      <c r="O80" s="339"/>
      <c r="P80" s="339"/>
      <c r="Q80" s="7"/>
      <c r="R80" s="338"/>
      <c r="S80" s="338"/>
      <c r="T80" s="4"/>
      <c r="U80" s="4"/>
      <c r="Y80" s="745"/>
    </row>
    <row r="81" spans="1:91" s="4" customFormat="1" ht="15.75">
      <c r="A81" s="99"/>
      <c r="B81" s="99"/>
      <c r="C81" s="1332"/>
      <c r="D81" s="1332"/>
      <c r="E81" s="1332"/>
      <c r="F81" s="1332"/>
      <c r="G81" s="1332"/>
      <c r="H81" s="1332"/>
      <c r="L81" s="1394"/>
      <c r="M81" s="1394"/>
      <c r="N81" s="1394"/>
      <c r="O81" s="1332"/>
      <c r="P81" s="1332"/>
      <c r="Q81" s="7"/>
      <c r="R81" s="1395"/>
      <c r="S81" s="1395"/>
      <c r="Y81" s="1396"/>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553</v>
      </c>
    </row>
    <row r="94" spans="1:91" ht="34.9" customHeight="1" thickBot="1">
      <c r="A94" s="1819" t="s">
        <v>602</v>
      </c>
      <c r="B94" s="1820"/>
      <c r="C94" s="1820"/>
      <c r="D94" s="1821"/>
      <c r="E94" s="1853" t="s">
        <v>600</v>
      </c>
      <c r="F94" s="1854"/>
      <c r="G94" s="1855"/>
      <c r="H94" s="1927" t="s">
        <v>601</v>
      </c>
      <c r="I94" s="1928"/>
      <c r="J94" s="1928"/>
      <c r="K94" s="1929"/>
      <c r="L94" s="1827" t="s">
        <v>598</v>
      </c>
      <c r="M94" s="1919"/>
      <c r="N94" s="1919"/>
      <c r="O94" s="1919"/>
      <c r="P94" s="1920"/>
      <c r="Q94" s="1918" t="s">
        <v>782</v>
      </c>
      <c r="R94" s="1919"/>
      <c r="S94" s="1919"/>
      <c r="T94" s="1919"/>
      <c r="U94" s="1920"/>
      <c r="V94" s="1911" t="s">
        <v>599</v>
      </c>
      <c r="W94" s="1776" t="s">
        <v>608</v>
      </c>
      <c r="X94" s="1778"/>
      <c r="Y94" s="1861" t="s">
        <v>594</v>
      </c>
      <c r="Z94" s="1841" t="s">
        <v>770</v>
      </c>
      <c r="AA94" s="1913" t="s">
        <v>778</v>
      </c>
      <c r="AB94" s="1834" t="s">
        <v>780</v>
      </c>
      <c r="AC94" s="1843" t="s">
        <v>788</v>
      </c>
      <c r="AD94" s="1834" t="s">
        <v>780</v>
      </c>
      <c r="AE94" s="1834" t="s">
        <v>779</v>
      </c>
      <c r="AF94" s="1890" t="s">
        <v>781</v>
      </c>
      <c r="AG94" s="1882" t="s">
        <v>609</v>
      </c>
      <c r="AH94" s="1882"/>
      <c r="AI94" s="1882"/>
      <c r="AJ94" s="1882"/>
      <c r="AK94" s="1882"/>
      <c r="AL94" s="1882"/>
      <c r="AM94" s="1883"/>
      <c r="AN94" s="1883"/>
      <c r="AO94" s="1883"/>
      <c r="AP94" s="1883"/>
      <c r="AQ94" s="1883"/>
      <c r="AR94" s="1866" t="s">
        <v>612</v>
      </c>
      <c r="AS94" s="1867"/>
      <c r="AT94" s="1867"/>
      <c r="AU94" s="1867"/>
      <c r="AV94" s="1867"/>
      <c r="AW94" s="1867"/>
      <c r="AX94" s="1867"/>
      <c r="AY94" s="1867"/>
      <c r="AZ94" s="1867"/>
      <c r="BA94" s="1867"/>
      <c r="BB94" s="1867"/>
      <c r="BC94" s="1832" t="s">
        <v>225</v>
      </c>
      <c r="BD94" s="1802" t="s">
        <v>616</v>
      </c>
      <c r="BE94" s="1868" t="s">
        <v>610</v>
      </c>
      <c r="BF94" s="1868"/>
      <c r="BG94" s="1868"/>
      <c r="BH94" s="1868"/>
      <c r="BI94" s="1868"/>
      <c r="BJ94" s="1868"/>
      <c r="BK94" s="1868"/>
      <c r="BL94" s="1869"/>
      <c r="BM94" s="1709" t="s">
        <v>741</v>
      </c>
      <c r="BN94" s="1710"/>
      <c r="BO94" s="1710"/>
      <c r="BP94" s="1710"/>
      <c r="BQ94" s="1710"/>
      <c r="BR94" s="1710"/>
      <c r="BS94" s="1710"/>
      <c r="BT94" s="1711"/>
      <c r="BV94" s="1788" t="s">
        <v>660</v>
      </c>
      <c r="BW94" s="1789"/>
      <c r="BX94" s="1808"/>
      <c r="BY94" s="1788" t="s">
        <v>656</v>
      </c>
      <c r="BZ94" s="1789"/>
      <c r="CA94" s="1790"/>
      <c r="CB94" s="1807" t="s">
        <v>661</v>
      </c>
      <c r="CC94" s="1806"/>
      <c r="CD94" s="1807" t="s">
        <v>657</v>
      </c>
      <c r="CE94" s="1806"/>
      <c r="CG94" s="1797" t="s">
        <v>742</v>
      </c>
      <c r="CH94" s="1798"/>
      <c r="CI94" s="1798"/>
      <c r="CJ94" s="1798"/>
      <c r="CK94" s="1798"/>
      <c r="CL94" s="1798"/>
      <c r="CM94" s="1799"/>
    </row>
    <row r="95" spans="1:91" s="10" customFormat="1" ht="42.6" customHeight="1" thickBot="1">
      <c r="A95" s="1817" t="s">
        <v>217</v>
      </c>
      <c r="B95" s="703" t="s">
        <v>218</v>
      </c>
      <c r="C95" s="703" t="s">
        <v>390</v>
      </c>
      <c r="D95" s="513" t="s">
        <v>500</v>
      </c>
      <c r="E95" s="701" t="s">
        <v>501</v>
      </c>
      <c r="F95" s="699" t="s">
        <v>504</v>
      </c>
      <c r="G95" s="700" t="s">
        <v>528</v>
      </c>
      <c r="H95" s="746" t="s">
        <v>478</v>
      </c>
      <c r="I95" s="694" t="s">
        <v>288</v>
      </c>
      <c r="J95" s="693" t="s">
        <v>773</v>
      </c>
      <c r="K95" s="695" t="s">
        <v>596</v>
      </c>
      <c r="L95" s="726" t="s">
        <v>87</v>
      </c>
      <c r="M95" s="661" t="s">
        <v>323</v>
      </c>
      <c r="N95" s="661" t="s">
        <v>324</v>
      </c>
      <c r="O95" s="661" t="s">
        <v>325</v>
      </c>
      <c r="P95" s="660" t="s">
        <v>582</v>
      </c>
      <c r="Q95" s="503" t="s">
        <v>87</v>
      </c>
      <c r="R95" s="661" t="s">
        <v>323</v>
      </c>
      <c r="S95" s="661" t="s">
        <v>324</v>
      </c>
      <c r="T95" s="661" t="s">
        <v>325</v>
      </c>
      <c r="U95" s="1462" t="s">
        <v>582</v>
      </c>
      <c r="V95" s="1912"/>
      <c r="W95" s="1595" t="s">
        <v>605</v>
      </c>
      <c r="X95" s="1596" t="s">
        <v>576</v>
      </c>
      <c r="Y95" s="1862"/>
      <c r="Z95" s="1842"/>
      <c r="AA95" s="1914"/>
      <c r="AB95" s="1835"/>
      <c r="AC95" s="1844"/>
      <c r="AD95" s="1835"/>
      <c r="AE95" s="1835"/>
      <c r="AF95" s="1891"/>
      <c r="AG95" s="1579" t="s">
        <v>473</v>
      </c>
      <c r="AH95" s="1580" t="s">
        <v>489</v>
      </c>
      <c r="AI95" s="1636" t="s">
        <v>814</v>
      </c>
      <c r="AJ95" s="1580" t="s">
        <v>377</v>
      </c>
      <c r="AK95" s="1580" t="s">
        <v>225</v>
      </c>
      <c r="AL95" s="713" t="s">
        <v>591</v>
      </c>
      <c r="AM95" s="1579" t="s">
        <v>473</v>
      </c>
      <c r="AN95" s="1580" t="s">
        <v>489</v>
      </c>
      <c r="AO95" s="1636" t="s">
        <v>814</v>
      </c>
      <c r="AP95" s="1580" t="s">
        <v>377</v>
      </c>
      <c r="AQ95" s="1581"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3"/>
      <c r="BD95" s="1803"/>
      <c r="BE95" s="1250"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0" t="str">
        <f>D135</f>
        <v xml:space="preserve">Coal ash generated - ‘IRP realistic’ </v>
      </c>
      <c r="BY95" s="1098" t="s">
        <v>531</v>
      </c>
      <c r="BZ95" s="40" t="s">
        <v>624</v>
      </c>
      <c r="CA95" s="1099" t="s">
        <v>630</v>
      </c>
      <c r="CB95" s="1270" t="s">
        <v>267</v>
      </c>
      <c r="CC95" s="1271" t="s">
        <v>633</v>
      </c>
      <c r="CD95" s="1270" t="s">
        <v>267</v>
      </c>
      <c r="CE95" s="1271" t="s">
        <v>633</v>
      </c>
      <c r="CF95"/>
      <c r="CG95" s="1258" t="s">
        <v>87</v>
      </c>
      <c r="CH95" s="1259" t="s">
        <v>323</v>
      </c>
      <c r="CI95" s="1259" t="s">
        <v>324</v>
      </c>
      <c r="CJ95" s="1259" t="s">
        <v>325</v>
      </c>
      <c r="CK95" s="1260" t="s">
        <v>582</v>
      </c>
      <c r="CL95" s="1259" t="s">
        <v>303</v>
      </c>
      <c r="CM95" s="1800" t="s">
        <v>743</v>
      </c>
    </row>
    <row r="96" spans="1:91" ht="32.25" thickBot="1">
      <c r="A96" s="1852"/>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68" t="s">
        <v>228</v>
      </c>
      <c r="R96" s="1469" t="s">
        <v>228</v>
      </c>
      <c r="S96" s="1469" t="s">
        <v>228</v>
      </c>
      <c r="T96" s="1469" t="s">
        <v>228</v>
      </c>
      <c r="U96" s="1470" t="s">
        <v>228</v>
      </c>
      <c r="V96" s="689" t="s">
        <v>228</v>
      </c>
      <c r="W96" s="688" t="s">
        <v>229</v>
      </c>
      <c r="X96" s="554" t="s">
        <v>228</v>
      </c>
      <c r="Y96" s="1115" t="s">
        <v>228</v>
      </c>
      <c r="Z96" s="1116" t="s">
        <v>228</v>
      </c>
      <c r="AA96" s="1471" t="s">
        <v>228</v>
      </c>
      <c r="AB96" s="1836"/>
      <c r="AC96" s="1844"/>
      <c r="AD96" s="1836"/>
      <c r="AE96" s="1644" t="s">
        <v>28</v>
      </c>
      <c r="AF96" s="1645" t="s">
        <v>3</v>
      </c>
      <c r="AG96" s="191" t="s">
        <v>228</v>
      </c>
      <c r="AH96" s="1095" t="s">
        <v>228</v>
      </c>
      <c r="AI96" s="1095" t="s">
        <v>228</v>
      </c>
      <c r="AJ96" s="1095" t="s">
        <v>228</v>
      </c>
      <c r="AK96" s="1095" t="s">
        <v>228</v>
      </c>
      <c r="AL96" s="1096" t="s">
        <v>590</v>
      </c>
      <c r="AM96" s="191" t="s">
        <v>229</v>
      </c>
      <c r="AN96" s="1095" t="s">
        <v>229</v>
      </c>
      <c r="AO96" s="1095" t="s">
        <v>229</v>
      </c>
      <c r="AP96" s="1095" t="s">
        <v>229</v>
      </c>
      <c r="AQ96" s="1572"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4"/>
      <c r="BE96" s="1261" t="s">
        <v>229</v>
      </c>
      <c r="BF96" s="723" t="s">
        <v>229</v>
      </c>
      <c r="BG96" s="723" t="s">
        <v>229</v>
      </c>
      <c r="BH96" s="723" t="s">
        <v>229</v>
      </c>
      <c r="BI96" s="723" t="s">
        <v>229</v>
      </c>
      <c r="BJ96" s="723" t="s">
        <v>229</v>
      </c>
      <c r="BK96" s="723" t="s">
        <v>229</v>
      </c>
      <c r="BL96" s="1089" t="s">
        <v>229</v>
      </c>
      <c r="BM96" s="1262" t="s">
        <v>229</v>
      </c>
      <c r="BN96" s="1263" t="s">
        <v>229</v>
      </c>
      <c r="BO96" s="1263" t="s">
        <v>229</v>
      </c>
      <c r="BP96" s="1263" t="s">
        <v>229</v>
      </c>
      <c r="BQ96" s="1263" t="s">
        <v>229</v>
      </c>
      <c r="BR96" s="1263" t="s">
        <v>229</v>
      </c>
      <c r="BS96" s="1263" t="s">
        <v>229</v>
      </c>
      <c r="BT96" s="1264" t="s">
        <v>229</v>
      </c>
      <c r="BV96" s="67" t="s">
        <v>625</v>
      </c>
      <c r="BW96" s="1158" t="s">
        <v>229</v>
      </c>
      <c r="BX96" s="1161" t="s">
        <v>625</v>
      </c>
      <c r="BY96" s="67" t="s">
        <v>625</v>
      </c>
      <c r="BZ96" s="1158" t="s">
        <v>229</v>
      </c>
      <c r="CA96" s="68" t="s">
        <v>625</v>
      </c>
      <c r="CB96" s="1265" t="s">
        <v>229</v>
      </c>
      <c r="CC96" s="1266" t="s">
        <v>229</v>
      </c>
      <c r="CD96" s="1265" t="s">
        <v>229</v>
      </c>
      <c r="CE96" s="1266" t="s">
        <v>229</v>
      </c>
      <c r="CG96" s="1273" t="s">
        <v>227</v>
      </c>
      <c r="CH96" s="1274" t="s">
        <v>227</v>
      </c>
      <c r="CI96" s="1274" t="s">
        <v>227</v>
      </c>
      <c r="CJ96" s="1274" t="s">
        <v>227</v>
      </c>
      <c r="CK96" s="1274" t="s">
        <v>227</v>
      </c>
      <c r="CL96" s="1274" t="s">
        <v>227</v>
      </c>
      <c r="CM96" s="1800"/>
    </row>
    <row r="97" spans="1:91">
      <c r="A97" s="127">
        <f>'Input data'!A117</f>
        <v>2017</v>
      </c>
      <c r="B97" s="662">
        <f>'Input data'!B117</f>
        <v>56.521948041648095</v>
      </c>
      <c r="C97" s="236">
        <f>'Input data'!C117</f>
        <v>3117.5115237718705</v>
      </c>
      <c r="D97" s="236">
        <f>'Input data'!D117</f>
        <v>49995051</v>
      </c>
      <c r="E97" s="1002">
        <f>'Input data'!F117</f>
        <v>0.71479999999999999</v>
      </c>
      <c r="F97" s="814">
        <f>'Input data'!G117</f>
        <v>0.28959999999999997</v>
      </c>
      <c r="G97" s="1003">
        <f>'Input data'!H117</f>
        <v>501</v>
      </c>
      <c r="H97" s="529">
        <f>'Input data'!I117</f>
        <v>424.26313389388866</v>
      </c>
      <c r="I97" s="528">
        <f>'Input data'!K117</f>
        <v>23980.178809937162</v>
      </c>
      <c r="J97" s="957">
        <f>I97*B10</f>
        <v>11144.031481960794</v>
      </c>
      <c r="K97" s="1467">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7">
        <f>H97*$M$75*P97*B97-H97*$M$75*$P$97*B97</f>
        <v>0</v>
      </c>
      <c r="V97" s="528">
        <f>SUM(Q97:U97)</f>
        <v>0</v>
      </c>
      <c r="W97" s="708">
        <v>0</v>
      </c>
      <c r="X97" s="1467">
        <f>W97*($C$76+$D$76)*$B$10*$I$97</f>
        <v>0</v>
      </c>
      <c r="Y97" s="956">
        <f>X97+V97</f>
        <v>0</v>
      </c>
      <c r="Z97" s="957">
        <f>$J$97-Y97</f>
        <v>11144.031481960794</v>
      </c>
      <c r="AA97" s="1467">
        <f>Z97-J97</f>
        <v>0</v>
      </c>
      <c r="AB97" s="1091">
        <f>AA97/Z97</f>
        <v>0</v>
      </c>
      <c r="AC97" s="1489" t="str">
        <f>IF(AND(AB97&gt;=0,AB97&lt;=1),"Yes","No")</f>
        <v>Yes</v>
      </c>
      <c r="AD97" s="1119">
        <f>IF(AB97&lt;=0,0,IF(AB97&gt;=1,1,AB97))</f>
        <v>0</v>
      </c>
      <c r="AE97" s="649">
        <f t="shared" ref="AE97:AE130" si="10">1-AK97/I97</f>
        <v>0</v>
      </c>
      <c r="AF97" s="530">
        <f>AK97/B97</f>
        <v>424.26313389388866</v>
      </c>
      <c r="AG97" s="528">
        <f>J97</f>
        <v>11144.031481960794</v>
      </c>
      <c r="AH97" s="528">
        <f>V97+I97*$C$10*$G$10</f>
        <v>6573.3162308435367</v>
      </c>
      <c r="AI97" s="528">
        <f>($C$10*$H$10*$I$97+X97)</f>
        <v>3350.0000024684418</v>
      </c>
      <c r="AJ97" s="528">
        <f t="shared" ref="AJ97:AJ130" si="11">I97*$D$10*(1-AD97)</f>
        <v>2912.8310946643915</v>
      </c>
      <c r="AK97" s="528">
        <f>SUM(AG97:AJ97)</f>
        <v>23980.178809937162</v>
      </c>
      <c r="AL97" s="716">
        <f t="shared" ref="AL97:AL130" si="12">AG97-(I97*$B$10-Y97)*(1-AD97)</f>
        <v>0</v>
      </c>
      <c r="AM97" s="417">
        <f>AG97/AK97</f>
        <v>0.46471844811027058</v>
      </c>
      <c r="AN97" s="417">
        <f>AH97/AK97</f>
        <v>0.27411456282050806</v>
      </c>
      <c r="AO97" s="417">
        <f>AI97/AK97</f>
        <v>0.13969870821314448</v>
      </c>
      <c r="AP97" s="417">
        <f>AJ97/AK97</f>
        <v>0.12146828085607692</v>
      </c>
      <c r="AQ97" s="417">
        <f>SUM(AM97:AP97)</f>
        <v>1</v>
      </c>
      <c r="AR97" s="1086">
        <f t="shared" ref="AR97:AR130" si="13">(I97*$C$76*$B$10-$C$66/($D$66+$C$66)*X97)*(1-AD97)</f>
        <v>2674.7122279603836</v>
      </c>
      <c r="AS97" s="938">
        <f t="shared" ref="AS97:AS130" si="14">(I97*$D$76*$B$10-$D$66/($D$66+$C$66)*X97)*(1-AD97)</f>
        <v>3392.2587126437579</v>
      </c>
      <c r="AT97" s="938">
        <f t="shared" ref="AT97:AT130" si="15">(I97*$B$10*$E$76-(Q97))*(1-AD97)</f>
        <v>657.47825077636821</v>
      </c>
      <c r="AU97" s="938">
        <f t="shared" ref="AU97:AU130" si="16">I97*$F$76*(1-AD97)*$B$10</f>
        <v>0</v>
      </c>
      <c r="AV97" s="938">
        <f t="shared" ref="AV97:AV130" si="17">I97*$G$76*(1-AD97)*$B$10</f>
        <v>0</v>
      </c>
      <c r="AW97" s="938">
        <f t="shared" ref="AW97:AW130" si="18">I97*$G$76*(1-AD97)*$B$10</f>
        <v>0</v>
      </c>
      <c r="AX97" s="938">
        <f t="shared" ref="AX97:AX130" si="19">I97*$I$76*(1-AD97)*$AM$97</f>
        <v>2798.4495620620314</v>
      </c>
      <c r="AY97" s="938">
        <f t="shared" ref="AY97:AY130" si="20">(I97*$J$76*$B$10-R97)*(1-AD97)</f>
        <v>404.59200209812275</v>
      </c>
      <c r="AZ97" s="938">
        <f t="shared" ref="AZ97:AZ130" si="21">(I97*$K$76*$B$10-S97)*(1-AD97)</f>
        <v>588.07238655935896</v>
      </c>
      <c r="BA97" s="938">
        <f t="shared" ref="BA97:BA130" si="22">(I97*$L$76*$B$10-T97)*(1-AD97)</f>
        <v>516.96231057860598</v>
      </c>
      <c r="BB97" s="938">
        <f t="shared" ref="BB97:BB130" si="23">(I97*$M$76*$B$10-U97)*(1-AD97)</f>
        <v>111.50602928216298</v>
      </c>
      <c r="BC97" s="1467">
        <f>SUM(AR97:BB97)</f>
        <v>11144.031481960794</v>
      </c>
      <c r="BD97" s="1156">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88">
        <f t="shared" ref="BX97:BX130" si="24">D137/10^6</f>
        <v>49.995050999999997</v>
      </c>
      <c r="BY97" s="956">
        <f>(AK97+AC177)*1000/10^6</f>
        <v>111.48215319455257</v>
      </c>
      <c r="BZ97" s="647">
        <f>((AK97-AM97*AK97)+(AC177-AC177*AE177))/(AK97+AC177)</f>
        <v>0.28613022309776337</v>
      </c>
      <c r="CA97" s="677">
        <f t="shared" ref="CA97:CA130" si="25">D177/10^6</f>
        <v>49.995050999999997</v>
      </c>
      <c r="CB97" s="708">
        <f t="shared" ref="CB97:CB130" si="26">AE97</f>
        <v>0</v>
      </c>
      <c r="CC97" s="715">
        <f>W177</f>
        <v>0</v>
      </c>
      <c r="CD97" s="647">
        <f t="shared" ref="CD97:CD130" si="27">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28">
        <f>AH97-CL97</f>
        <v>0</v>
      </c>
    </row>
    <row r="98" spans="1:91">
      <c r="A98" s="127">
        <f>'Input data'!A118</f>
        <v>2018</v>
      </c>
      <c r="B98" s="662">
        <f>'Input data'!B118</f>
        <v>57.436000617299655</v>
      </c>
      <c r="C98" s="236">
        <f>'Input data'!C118</f>
        <v>3154.0370052724184</v>
      </c>
      <c r="D98" s="236">
        <f>'Input data'!D118</f>
        <v>50359792.847133137</v>
      </c>
      <c r="E98" s="1004">
        <f>($E$110-$E$97)/($A$110-$A$97)+E97</f>
        <v>0.73673846153846156</v>
      </c>
      <c r="F98" s="560">
        <f>($F$110-$F$97)/($A$110-$A$97)+F97</f>
        <v>0.29578461538461537</v>
      </c>
      <c r="G98" s="1005">
        <f>B98*F98*'Input data'!$C$9</f>
        <v>519.97422906036013</v>
      </c>
      <c r="H98" s="529">
        <f>'Input data'!I118</f>
        <v>424.26313389388866</v>
      </c>
      <c r="I98" s="528">
        <f>'Input data'!K118</f>
        <v>24367.977620226877</v>
      </c>
      <c r="J98" s="528">
        <f>J97*0.94</f>
        <v>10475.389593043146</v>
      </c>
      <c r="K98" s="530">
        <f>I98*$B$10-J98</f>
        <v>848.85915021449364</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20.070540516702977</v>
      </c>
      <c r="R98" s="528">
        <f t="shared" ref="R98:R130" si="34">H98*$J$75*M98*B98-H98*$J$75*$M$97*B98</f>
        <v>14.00584697562465</v>
      </c>
      <c r="S98" s="528">
        <f t="shared" ref="S98:S130" si="35">$K$75*N98*I98-$K$75*$N$97*I98</f>
        <v>41.014920169807738</v>
      </c>
      <c r="T98" s="528">
        <f t="shared" ref="T98:T130" si="36">H98*$L$75*O98*B98-H98*$L$75*$O$97*B98</f>
        <v>27.616879689468988</v>
      </c>
      <c r="U98" s="530">
        <f t="shared" ref="U98:U130" si="37">H98*$M$75*P98*B98-H98*$M$75*$P$97*B98</f>
        <v>0</v>
      </c>
      <c r="V98" s="528">
        <f t="shared" ref="V98:V130" si="38">SUM(Q98:U98)</f>
        <v>102.70818735160435</v>
      </c>
      <c r="W98" s="649">
        <v>0.05</v>
      </c>
      <c r="X98" s="530">
        <f t="shared" ref="X98:X130" si="39">W98*($C$76+$D$76)*$B$10*$I$97</f>
        <v>303.3485470302071</v>
      </c>
      <c r="Y98" s="527">
        <f>X98+V98</f>
        <v>406.05673438181145</v>
      </c>
      <c r="Z98" s="528">
        <f>I98*$B$10-Y98</f>
        <v>10918.192008875829</v>
      </c>
      <c r="AA98" s="530">
        <f>Z98-J98</f>
        <v>442.80241583268253</v>
      </c>
      <c r="AB98" s="1091">
        <f t="shared" ref="AB98:AB130" si="40">AA98/Z98</f>
        <v>4.0556386576890292E-2</v>
      </c>
      <c r="AC98" s="135" t="str">
        <f t="shared" ref="AC98:AC130" si="41">IF(AND(AB98&gt;=0,AB98&lt;=1),"Yes","No")</f>
        <v>Yes</v>
      </c>
      <c r="AD98" s="1091">
        <f t="shared" ref="AD98:AD130" si="42">IF(AB98&lt;=0,0,IF(AB98&gt;=1,1,AB98))</f>
        <v>4.0556386576890292E-2</v>
      </c>
      <c r="AE98" s="649">
        <f t="shared" si="10"/>
        <v>2.3097802675159818E-2</v>
      </c>
      <c r="AF98" s="530">
        <f t="shared" ref="AF98:AF130" si="43">AK98/B98</f>
        <v>414.46358774486276</v>
      </c>
      <c r="AG98" s="528">
        <f t="shared" ref="AG98:AG130" si="44">J98</f>
        <v>10475.389593043146</v>
      </c>
      <c r="AH98" s="528">
        <f>IF(V98+I98*$C$10*$G$10&lt;AH97,AH97,V98+I98*$C$10*$G$10)</f>
        <v>6782.3257195400192</v>
      </c>
      <c r="AI98" s="528">
        <f>IF(($C$10*$H$10*$I$98+X98)&lt;AI97,AI97,($C$10*$H$10*$I$98+X98))</f>
        <v>3707.5235423427162</v>
      </c>
      <c r="AJ98" s="528">
        <f t="shared" si="11"/>
        <v>2839.8920266362888</v>
      </c>
      <c r="AK98" s="528">
        <f t="shared" ref="AK98:AK130" si="45">SUM(AG98:AJ98)</f>
        <v>23805.130881562167</v>
      </c>
      <c r="AL98" s="716">
        <f t="shared" si="12"/>
        <v>0</v>
      </c>
      <c r="AM98" s="417">
        <f t="shared" ref="AM98:AM130" si="46">AG98/AK98</f>
        <v>0.44004755299021142</v>
      </c>
      <c r="AN98" s="417">
        <f t="shared" ref="AN98:AN130" si="47">AH98/AK98</f>
        <v>0.28491024700868783</v>
      </c>
      <c r="AO98" s="417">
        <f t="shared" ref="AO98:AO130" si="48">AI98/AK98</f>
        <v>0.15574472414324389</v>
      </c>
      <c r="AP98" s="417">
        <f t="shared" ref="AP98:AP130" si="49">AJ98/AK98</f>
        <v>0.11929747585785701</v>
      </c>
      <c r="AQ98" s="417">
        <f t="shared" ref="AQ98:AQ130" si="50">SUM(AM98:AP98)</f>
        <v>1.0000000000000002</v>
      </c>
      <c r="AR98" s="1086">
        <f t="shared" si="13"/>
        <v>2479.4240234122854</v>
      </c>
      <c r="AS98" s="938">
        <f t="shared" si="14"/>
        <v>3144.5804366671259</v>
      </c>
      <c r="AT98" s="938">
        <f t="shared" si="15"/>
        <v>621.75804226515436</v>
      </c>
      <c r="AU98" s="938">
        <f t="shared" si="16"/>
        <v>0</v>
      </c>
      <c r="AV98" s="938">
        <f t="shared" si="17"/>
        <v>0</v>
      </c>
      <c r="AW98" s="938">
        <f t="shared" si="18"/>
        <v>0</v>
      </c>
      <c r="AX98" s="938">
        <f t="shared" si="19"/>
        <v>2728.3746774062242</v>
      </c>
      <c r="AY98" s="938">
        <f t="shared" si="20"/>
        <v>381.02295105106646</v>
      </c>
      <c r="AZ98" s="938">
        <f t="shared" si="21"/>
        <v>533.9951919445117</v>
      </c>
      <c r="BA98" s="938">
        <f t="shared" si="22"/>
        <v>477.52042002913004</v>
      </c>
      <c r="BB98" s="938">
        <f t="shared" si="23"/>
        <v>108.71385026764568</v>
      </c>
      <c r="BC98" s="530">
        <f t="shared" ref="BC98:BC130" si="51">SUM(AR98:BB98)</f>
        <v>10475.389593043146</v>
      </c>
      <c r="BD98" s="724">
        <f t="shared" ref="BD98:BD130" si="52">BC98-AG98</f>
        <v>0</v>
      </c>
      <c r="BE98" s="436">
        <f t="shared" ref="BE98:BE130" si="53">AR98/BC98</f>
        <v>0.23669038763569289</v>
      </c>
      <c r="BF98" s="624">
        <f t="shared" ref="BF98:BF129" si="54">AS98/BC98</f>
        <v>0.30018744493813254</v>
      </c>
      <c r="BG98" s="624">
        <f t="shared" ref="BG98:BG130" si="55">AT98/BC98</f>
        <v>5.9354168810873881E-2</v>
      </c>
      <c r="BH98" s="624">
        <f t="shared" ref="BH98:BH130" si="56">AU98/BC98</f>
        <v>0</v>
      </c>
      <c r="BI98" s="624">
        <f t="shared" ref="BI98:BI130" si="57">AV98/BC98</f>
        <v>0</v>
      </c>
      <c r="BJ98" s="624">
        <f t="shared" ref="BJ98:BJ130" si="58">AW98/BC98</f>
        <v>0</v>
      </c>
      <c r="BK98" s="624">
        <f t="shared" ref="BK98:BK130" si="59">SUM(AX98:BB98)/BC98</f>
        <v>0.40376799861530049</v>
      </c>
      <c r="BL98" s="624">
        <f t="shared" ref="BL98:BL130" si="60">SUM(BE98:BK98)</f>
        <v>0.99999999999999978</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108.79675618524169</v>
      </c>
      <c r="BW98" s="114">
        <f t="shared" ref="BW98:BW130" si="63">((AK98-AM98*AK98)+(AC138-AC138*AE138))/(AK98+AC138)</f>
        <v>0.31239939440446801</v>
      </c>
      <c r="BX98" s="1689">
        <f t="shared" si="24"/>
        <v>50.359792847133136</v>
      </c>
      <c r="BY98" s="527">
        <f t="shared" ref="BY98:BY130" si="64">(AK98+AC178)*1000/10^6</f>
        <v>108.79675618524169</v>
      </c>
      <c r="BZ98" s="417">
        <f t="shared" ref="BZ98:BZ130" si="65">((AK98-AM98*AK98)+(AC178-AC178*AE178))/(AK98+AC178)</f>
        <v>0.31239939440446801</v>
      </c>
      <c r="CA98" s="544">
        <f t="shared" si="25"/>
        <v>50.359792847133136</v>
      </c>
      <c r="CB98" s="649">
        <f t="shared" si="26"/>
        <v>2.3097802675159818E-2</v>
      </c>
      <c r="CC98" s="525">
        <f t="shared" ref="CC98:CC130" si="66">W178</f>
        <v>3.7534536819961217E-2</v>
      </c>
      <c r="CD98" s="417">
        <f t="shared" si="27"/>
        <v>2.3097802675159818E-2</v>
      </c>
      <c r="CE98" s="525">
        <f t="shared" ref="CE98:CE130" si="67">W178</f>
        <v>3.7534536819961217E-2</v>
      </c>
      <c r="CG98" s="527">
        <f t="shared" ref="CG98:CG130" si="68">$I98*$E$75*$L98</f>
        <v>1281.1695029828775</v>
      </c>
      <c r="CH98" s="528">
        <f t="shared" ref="CH98:CH130" si="69">$I98*$J$75*M98</f>
        <v>502.14828052484881</v>
      </c>
      <c r="CI98" s="528">
        <f t="shared" ref="CI98:CI130" si="70">$I98*$K$75*N98</f>
        <v>2060.3452451258809</v>
      </c>
      <c r="CJ98" s="528">
        <f t="shared" ref="CJ98:CJ130" si="71">$I98*$L$75*O98</f>
        <v>2899.772367394261</v>
      </c>
      <c r="CK98" s="528">
        <f t="shared" ref="CK98:CK130" si="72">$I98*$M$75*P98</f>
        <v>38.890323512150175</v>
      </c>
      <c r="CL98" s="528">
        <f t="shared" ref="CL98:CL130" si="73">SUM(CG98:CK98)</f>
        <v>6782.3257195400174</v>
      </c>
      <c r="CM98" s="646">
        <f t="shared" ref="CM98:CM130" si="74">AH98-CL98</f>
        <v>0</v>
      </c>
    </row>
    <row r="99" spans="1:91">
      <c r="A99" s="127">
        <f>'Input data'!A119</f>
        <v>2019</v>
      </c>
      <c r="B99" s="662">
        <f>'Input data'!B119</f>
        <v>58.364834921819444</v>
      </c>
      <c r="C99" s="236">
        <f>'Input data'!C119</f>
        <v>3164.1559328574817</v>
      </c>
      <c r="D99" s="1550">
        <f>'Input data'!D119</f>
        <v>53404857.831011549</v>
      </c>
      <c r="E99" s="1455">
        <f t="shared" ref="E99:E109" si="75">($E$110-$E$97)/($A$110-$A$97)+E98</f>
        <v>0.75867692307692314</v>
      </c>
      <c r="F99" s="1449">
        <f t="shared" ref="F99:F109" si="76">($F$110-$F$97)/($A$110-$A$97)+F98</f>
        <v>0.30196923076923077</v>
      </c>
      <c r="G99" s="1554">
        <f>B99*F99*'Input data'!$C$9</f>
        <v>539.43112442415634</v>
      </c>
      <c r="H99" s="1542">
        <f>'Input data'!I119</f>
        <v>424.26313389388866</v>
      </c>
      <c r="I99" s="1509">
        <f>'Input data'!K119</f>
        <v>24762.047773130591</v>
      </c>
      <c r="J99" s="1509">
        <f>J97*0.89</f>
        <v>9918.1880189451058</v>
      </c>
      <c r="K99" s="1511">
        <f t="shared" ref="K99:K130" si="77">I99*$B$10-J99</f>
        <v>1589.1923942165249</v>
      </c>
      <c r="L99" s="1504">
        <f t="shared" si="28"/>
        <v>0.59846153846153849</v>
      </c>
      <c r="M99" s="1504">
        <f t="shared" si="29"/>
        <v>0.46207692307692311</v>
      </c>
      <c r="N99" s="1504">
        <f t="shared" si="30"/>
        <v>0.74092307692307691</v>
      </c>
      <c r="O99" s="1504">
        <f t="shared" si="31"/>
        <v>0.81538461538461537</v>
      </c>
      <c r="P99" s="1504">
        <f t="shared" si="32"/>
        <v>0.23600000000000002</v>
      </c>
      <c r="Q99" s="1508">
        <f t="shared" si="33"/>
        <v>40.79022813076017</v>
      </c>
      <c r="R99" s="1509">
        <f t="shared" si="34"/>
        <v>28.464688971619694</v>
      </c>
      <c r="S99" s="1509">
        <f t="shared" si="35"/>
        <v>83.356397357562855</v>
      </c>
      <c r="T99" s="1509">
        <f t="shared" si="36"/>
        <v>56.126979831743938</v>
      </c>
      <c r="U99" s="1511">
        <f t="shared" si="37"/>
        <v>0</v>
      </c>
      <c r="V99" s="1509">
        <f t="shared" si="38"/>
        <v>208.73829429168666</v>
      </c>
      <c r="W99" s="1454">
        <v>0.1</v>
      </c>
      <c r="X99" s="530">
        <f t="shared" si="39"/>
        <v>606.6970940604142</v>
      </c>
      <c r="Y99" s="1508">
        <f t="shared" ref="Y99:Y130" si="78">X99+V99</f>
        <v>815.43538835210086</v>
      </c>
      <c r="Z99" s="1509">
        <f t="shared" ref="Z99:Z130" si="79">I99*$B$10-Y99</f>
        <v>10691.945024809529</v>
      </c>
      <c r="AA99" s="1511">
        <f t="shared" ref="AA99:AA130" si="80">Z99-J99</f>
        <v>773.75700586442326</v>
      </c>
      <c r="AB99" s="1091">
        <f t="shared" si="40"/>
        <v>7.2368217762904863E-2</v>
      </c>
      <c r="AC99" s="135" t="str">
        <f t="shared" si="41"/>
        <v>Yes</v>
      </c>
      <c r="AD99" s="1091">
        <f t="shared" si="42"/>
        <v>7.2368217762904863E-2</v>
      </c>
      <c r="AE99" s="649">
        <f t="shared" si="10"/>
        <v>4.2261345922522509E-2</v>
      </c>
      <c r="AF99" s="530">
        <f t="shared" si="43"/>
        <v>406.33320283022556</v>
      </c>
      <c r="AG99" s="528">
        <f t="shared" si="44"/>
        <v>9918.1880189451058</v>
      </c>
      <c r="AH99" s="528">
        <f t="shared" ref="AH99:AH130" si="81">IF(V99+I99*$C$10*$G$10&lt;AH98,AH98,V99+I99*$C$10*$G$10)</f>
        <v>6996.3761941639132</v>
      </c>
      <c r="AI99" s="528">
        <f t="shared" ref="AI99:AI130" si="82">IF(($C$10*$H$10*$I$98+X99)&lt;AI98,AI98,($C$10*$H$10*$I$98+X99))</f>
        <v>4010.8720893729233</v>
      </c>
      <c r="AJ99" s="528">
        <f t="shared" si="11"/>
        <v>2790.1340039583492</v>
      </c>
      <c r="AK99" s="528">
        <f t="shared" si="45"/>
        <v>23715.570306440291</v>
      </c>
      <c r="AL99" s="716">
        <f t="shared" si="12"/>
        <v>0</v>
      </c>
      <c r="AM99" s="417">
        <f t="shared" si="46"/>
        <v>0.41821418969847352</v>
      </c>
      <c r="AN99" s="417">
        <f t="shared" si="47"/>
        <v>0.29501193113892565</v>
      </c>
      <c r="AO99" s="417">
        <f t="shared" si="48"/>
        <v>0.16912399902454445</v>
      </c>
      <c r="AP99" s="417">
        <f t="shared" si="49"/>
        <v>0.11764988013805638</v>
      </c>
      <c r="AQ99" s="417">
        <f t="shared" si="50"/>
        <v>1</v>
      </c>
      <c r="AR99" s="1086">
        <f t="shared" si="13"/>
        <v>2313.9306035340765</v>
      </c>
      <c r="AS99" s="938">
        <f t="shared" si="14"/>
        <v>2934.6900082320794</v>
      </c>
      <c r="AT99" s="938">
        <f t="shared" si="15"/>
        <v>591.94500350350825</v>
      </c>
      <c r="AU99" s="938">
        <f t="shared" si="16"/>
        <v>0</v>
      </c>
      <c r="AV99" s="938">
        <f t="shared" si="17"/>
        <v>0</v>
      </c>
      <c r="AW99" s="938">
        <f t="shared" si="18"/>
        <v>0</v>
      </c>
      <c r="AX99" s="938">
        <f t="shared" si="19"/>
        <v>2680.5705609824404</v>
      </c>
      <c r="AY99" s="938">
        <f t="shared" si="20"/>
        <v>361.14463601855459</v>
      </c>
      <c r="AZ99" s="938">
        <f t="shared" si="21"/>
        <v>485.9769888542948</v>
      </c>
      <c r="BA99" s="938">
        <f t="shared" si="22"/>
        <v>443.12115343037897</v>
      </c>
      <c r="BB99" s="938">
        <f t="shared" si="23"/>
        <v>106.80906438977173</v>
      </c>
      <c r="BC99" s="530">
        <f t="shared" si="51"/>
        <v>9918.188018945104</v>
      </c>
      <c r="BD99" s="724">
        <f t="shared" si="52"/>
        <v>0</v>
      </c>
      <c r="BE99" s="436">
        <f t="shared" si="53"/>
        <v>0.23330174817357269</v>
      </c>
      <c r="BF99" s="624">
        <f t="shared" si="54"/>
        <v>0.29588973334911756</v>
      </c>
      <c r="BG99" s="624">
        <f t="shared" si="55"/>
        <v>5.9682776972246526E-2</v>
      </c>
      <c r="BH99" s="624">
        <f t="shared" si="56"/>
        <v>0</v>
      </c>
      <c r="BI99" s="624">
        <f t="shared" si="57"/>
        <v>0</v>
      </c>
      <c r="BJ99" s="624">
        <f t="shared" si="58"/>
        <v>0</v>
      </c>
      <c r="BK99" s="624">
        <f t="shared" si="59"/>
        <v>0.41112574150506326</v>
      </c>
      <c r="BL99" s="624">
        <f t="shared" si="60"/>
        <v>1</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107.06936587159521</v>
      </c>
      <c r="BW99" s="114">
        <f t="shared" si="63"/>
        <v>0.33847064590569859</v>
      </c>
      <c r="BX99" s="1689">
        <f t="shared" si="24"/>
        <v>53.404857831011547</v>
      </c>
      <c r="BY99" s="527">
        <f t="shared" si="64"/>
        <v>107.06936587159521</v>
      </c>
      <c r="BZ99" s="417">
        <f t="shared" si="65"/>
        <v>0.33847064590569859</v>
      </c>
      <c r="CA99" s="544">
        <f t="shared" si="25"/>
        <v>53.404857831011547</v>
      </c>
      <c r="CB99" s="649">
        <f t="shared" si="26"/>
        <v>4.2261345922522509E-2</v>
      </c>
      <c r="CC99" s="525">
        <f t="shared" si="66"/>
        <v>8.8760290106708384E-2</v>
      </c>
      <c r="CD99" s="417">
        <f t="shared" si="27"/>
        <v>4.2261345922522509E-2</v>
      </c>
      <c r="CE99" s="525">
        <f t="shared" si="67"/>
        <v>8.8760290106708384E-2</v>
      </c>
      <c r="CG99" s="527">
        <f t="shared" si="68"/>
        <v>1322.2832285721358</v>
      </c>
      <c r="CH99" s="528">
        <f t="shared" si="69"/>
        <v>524.50118605067348</v>
      </c>
      <c r="CI99" s="528">
        <f t="shared" si="70"/>
        <v>2135.3426046490672</v>
      </c>
      <c r="CJ99" s="528">
        <f t="shared" si="71"/>
        <v>2974.7299310824474</v>
      </c>
      <c r="CK99" s="528">
        <f t="shared" si="72"/>
        <v>39.519243809589504</v>
      </c>
      <c r="CL99" s="528">
        <f t="shared" si="73"/>
        <v>6996.3761941639132</v>
      </c>
      <c r="CM99" s="646">
        <f t="shared" si="74"/>
        <v>0</v>
      </c>
    </row>
    <row r="100" spans="1:91">
      <c r="A100" s="127">
        <f>'Input data'!A120</f>
        <v>2020</v>
      </c>
      <c r="B100" s="662">
        <f>'Input data'!B120</f>
        <v>59.308690000000006</v>
      </c>
      <c r="C100" s="236">
        <f>'Input data'!C120</f>
        <v>2966.4312031486884</v>
      </c>
      <c r="D100" s="1550">
        <f>'Input data'!D120</f>
        <v>50522212.337504238</v>
      </c>
      <c r="E100" s="1455">
        <f t="shared" si="75"/>
        <v>0.78061538461538471</v>
      </c>
      <c r="F100" s="1449">
        <f t="shared" si="76"/>
        <v>0.30815384615384617</v>
      </c>
      <c r="G100" s="1554">
        <f>B100*F100*'Input data'!$C$9</f>
        <v>559.3813349254624</v>
      </c>
      <c r="H100" s="1542">
        <f>'Input data'!I120</f>
        <v>424.26313389388866</v>
      </c>
      <c r="I100" s="1509">
        <f>'Input data'!K120</f>
        <v>25162.490686541139</v>
      </c>
      <c r="J100" s="1509">
        <f>J97*0.81</f>
        <v>9026.6655003882443</v>
      </c>
      <c r="K100" s="1511">
        <f t="shared" si="77"/>
        <v>2666.8081220502918</v>
      </c>
      <c r="L100" s="1504">
        <f t="shared" si="28"/>
        <v>0.60769230769230775</v>
      </c>
      <c r="M100" s="1504">
        <f t="shared" si="29"/>
        <v>0.47461538461538466</v>
      </c>
      <c r="N100" s="1504">
        <f t="shared" si="30"/>
        <v>0.75538461538461532</v>
      </c>
      <c r="O100" s="1504">
        <f t="shared" si="31"/>
        <v>0.82307692307692304</v>
      </c>
      <c r="P100" s="1504">
        <f t="shared" si="32"/>
        <v>0.23600000000000002</v>
      </c>
      <c r="Q100" s="1508">
        <f t="shared" si="33"/>
        <v>62.174809501571872</v>
      </c>
      <c r="R100" s="1509">
        <f t="shared" si="34"/>
        <v>43.387514496329516</v>
      </c>
      <c r="S100" s="1509">
        <f t="shared" si="35"/>
        <v>127.05661046635623</v>
      </c>
      <c r="T100" s="1509">
        <f t="shared" si="36"/>
        <v>85.551967685751606</v>
      </c>
      <c r="U100" s="1511">
        <f t="shared" si="37"/>
        <v>0</v>
      </c>
      <c r="V100" s="1509">
        <f t="shared" si="38"/>
        <v>318.17090215000923</v>
      </c>
      <c r="W100" s="1454">
        <f>($N$142-$N$137)/($A$102-$A$97)+W99</f>
        <v>0.2</v>
      </c>
      <c r="X100" s="530">
        <f t="shared" si="39"/>
        <v>1213.3941881208284</v>
      </c>
      <c r="Y100" s="1508">
        <f t="shared" si="78"/>
        <v>1531.5650902708376</v>
      </c>
      <c r="Z100" s="1509">
        <f t="shared" si="79"/>
        <v>10161.908532167698</v>
      </c>
      <c r="AA100" s="1511">
        <f t="shared" si="80"/>
        <v>1135.2430317794533</v>
      </c>
      <c r="AB100" s="1091">
        <f t="shared" si="40"/>
        <v>0.11171553337503697</v>
      </c>
      <c r="AC100" s="135" t="str">
        <f t="shared" si="41"/>
        <v>Yes</v>
      </c>
      <c r="AD100" s="1091">
        <f t="shared" si="42"/>
        <v>0.11171553337503697</v>
      </c>
      <c r="AE100" s="649">
        <f t="shared" si="10"/>
        <v>6.3097402659273327E-2</v>
      </c>
      <c r="AF100" s="530">
        <f t="shared" si="43"/>
        <v>397.49323210110077</v>
      </c>
      <c r="AG100" s="528">
        <f t="shared" si="44"/>
        <v>9026.6655003882443</v>
      </c>
      <c r="AH100" s="528">
        <f t="shared" si="81"/>
        <v>7215.5760361663397</v>
      </c>
      <c r="AI100" s="528">
        <f t="shared" si="82"/>
        <v>4617.5691834333375</v>
      </c>
      <c r="AJ100" s="528">
        <f t="shared" si="11"/>
        <v>2714.9921597943135</v>
      </c>
      <c r="AK100" s="528">
        <f t="shared" si="45"/>
        <v>23574.802879782237</v>
      </c>
      <c r="AL100" s="716">
        <f t="shared" si="12"/>
        <v>0</v>
      </c>
      <c r="AM100" s="417">
        <f t="shared" si="46"/>
        <v>0.38289463315638228</v>
      </c>
      <c r="AN100" s="417">
        <f t="shared" si="47"/>
        <v>0.30607153209134236</v>
      </c>
      <c r="AO100" s="417">
        <f t="shared" si="48"/>
        <v>0.19586883534001326</v>
      </c>
      <c r="AP100" s="417">
        <f t="shared" si="49"/>
        <v>0.11516499941226198</v>
      </c>
      <c r="AQ100" s="417">
        <f t="shared" si="50"/>
        <v>0.99999999999999989</v>
      </c>
      <c r="AR100" s="1086">
        <f t="shared" si="13"/>
        <v>2017.8652163457427</v>
      </c>
      <c r="AS100" s="938">
        <f t="shared" si="14"/>
        <v>2559.1990007498525</v>
      </c>
      <c r="AT100" s="938">
        <f t="shared" si="15"/>
        <v>557.59353532799946</v>
      </c>
      <c r="AU100" s="938">
        <f t="shared" si="16"/>
        <v>0</v>
      </c>
      <c r="AV100" s="938">
        <f t="shared" si="17"/>
        <v>0</v>
      </c>
      <c r="AW100" s="938">
        <f t="shared" si="18"/>
        <v>0</v>
      </c>
      <c r="AX100" s="938">
        <f t="shared" si="19"/>
        <v>2608.3793991678872</v>
      </c>
      <c r="AY100" s="938">
        <f t="shared" si="20"/>
        <v>338.57173496576468</v>
      </c>
      <c r="AZ100" s="938">
        <f t="shared" si="21"/>
        <v>435.26820826636424</v>
      </c>
      <c r="BA100" s="938">
        <f t="shared" si="22"/>
        <v>405.8558446188876</v>
      </c>
      <c r="BB100" s="938">
        <f t="shared" si="23"/>
        <v>103.93256094574485</v>
      </c>
      <c r="BC100" s="530">
        <f t="shared" si="51"/>
        <v>9026.6655003882424</v>
      </c>
      <c r="BD100" s="724">
        <f t="shared" si="52"/>
        <v>0</v>
      </c>
      <c r="BE100" s="436">
        <f t="shared" si="53"/>
        <v>0.22354491991078579</v>
      </c>
      <c r="BF100" s="624">
        <f t="shared" si="54"/>
        <v>0.28351543553262054</v>
      </c>
      <c r="BG100" s="624">
        <f t="shared" si="55"/>
        <v>6.1771817655591317E-2</v>
      </c>
      <c r="BH100" s="624">
        <f t="shared" si="56"/>
        <v>0</v>
      </c>
      <c r="BI100" s="624">
        <f t="shared" si="57"/>
        <v>0</v>
      </c>
      <c r="BJ100" s="624">
        <f t="shared" si="58"/>
        <v>0</v>
      </c>
      <c r="BK100" s="624">
        <f t="shared" si="59"/>
        <v>0.43116782690100253</v>
      </c>
      <c r="BL100" s="624">
        <f t="shared" si="60"/>
        <v>1.0000000000000002</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101.57777924005211</v>
      </c>
      <c r="BW100" s="114">
        <f t="shared" si="63"/>
        <v>0.36538453838790924</v>
      </c>
      <c r="BX100" s="1689">
        <f t="shared" si="24"/>
        <v>50.522212337504236</v>
      </c>
      <c r="BY100" s="527">
        <f t="shared" si="64"/>
        <v>101.57777924005211</v>
      </c>
      <c r="BZ100" s="417">
        <f t="shared" si="65"/>
        <v>0.36538453838790924</v>
      </c>
      <c r="CA100" s="544">
        <f t="shared" si="25"/>
        <v>50.522212337504236</v>
      </c>
      <c r="CB100" s="649">
        <f t="shared" si="26"/>
        <v>6.3097402659273327E-2</v>
      </c>
      <c r="CC100" s="525">
        <f t="shared" si="66"/>
        <v>9.5213595557322783E-2</v>
      </c>
      <c r="CD100" s="417">
        <f t="shared" si="27"/>
        <v>6.3097402659273327E-2</v>
      </c>
      <c r="CE100" s="525">
        <f t="shared" si="67"/>
        <v>9.5213595557322783E-2</v>
      </c>
      <c r="CG100" s="527">
        <f t="shared" si="68"/>
        <v>1364.3916529511498</v>
      </c>
      <c r="CH100" s="528">
        <f t="shared" si="69"/>
        <v>547.44573505593632</v>
      </c>
      <c r="CI100" s="528">
        <f t="shared" si="70"/>
        <v>2212.2267992546454</v>
      </c>
      <c r="CJ100" s="528">
        <f t="shared" si="71"/>
        <v>3051.3535141251637</v>
      </c>
      <c r="CK100" s="528">
        <f t="shared" si="72"/>
        <v>40.158334779443209</v>
      </c>
      <c r="CL100" s="528">
        <f t="shared" si="73"/>
        <v>7215.5760361663388</v>
      </c>
      <c r="CM100" s="646">
        <f t="shared" si="74"/>
        <v>0</v>
      </c>
    </row>
    <row r="101" spans="1:91">
      <c r="A101" s="873">
        <f>'Input data'!A121</f>
        <v>2021</v>
      </c>
      <c r="B101" s="1551">
        <f>'Input data'!B121</f>
        <v>60.097873988486953</v>
      </c>
      <c r="C101" s="1550">
        <f>'Input data'!C121</f>
        <v>3038.4599250524875</v>
      </c>
      <c r="D101" s="1550">
        <f>'Input data'!D121</f>
        <v>50478759.434739612</v>
      </c>
      <c r="E101" s="1455">
        <f t="shared" si="75"/>
        <v>0.80255384615384628</v>
      </c>
      <c r="F101" s="1449">
        <f t="shared" si="76"/>
        <v>0.31433846153846157</v>
      </c>
      <c r="G101" s="1554">
        <f>B101*F101*'Input data'!$C$9</f>
        <v>578.20078755547547</v>
      </c>
      <c r="H101" s="1542">
        <f>'Input data'!I121</f>
        <v>424.26313389388866</v>
      </c>
      <c r="I101" s="1509">
        <f>'Input data'!K121</f>
        <v>25497.312358715488</v>
      </c>
      <c r="J101" s="1509">
        <f>J97*0.65</f>
        <v>7243.6204632745166</v>
      </c>
      <c r="K101" s="1511">
        <f t="shared" si="77"/>
        <v>4605.4509670505695</v>
      </c>
      <c r="L101" s="1504">
        <f t="shared" si="28"/>
        <v>0.61692307692307702</v>
      </c>
      <c r="M101" s="1504">
        <f t="shared" si="29"/>
        <v>0.48715384615384622</v>
      </c>
      <c r="N101" s="1504">
        <f t="shared" si="30"/>
        <v>0.76984615384615374</v>
      </c>
      <c r="O101" s="1504">
        <f t="shared" si="31"/>
        <v>0.8307692307692307</v>
      </c>
      <c r="P101" s="1504">
        <f t="shared" si="32"/>
        <v>0.23600000000000002</v>
      </c>
      <c r="Q101" s="1508">
        <f t="shared" si="33"/>
        <v>84.002841555116447</v>
      </c>
      <c r="R101" s="1509">
        <f t="shared" si="34"/>
        <v>58.61979369013352</v>
      </c>
      <c r="S101" s="1509">
        <f t="shared" si="35"/>
        <v>171.66303207194642</v>
      </c>
      <c r="T101" s="1509">
        <f t="shared" si="36"/>
        <v>115.58713961243393</v>
      </c>
      <c r="U101" s="1511">
        <f t="shared" si="37"/>
        <v>0</v>
      </c>
      <c r="V101" s="1509">
        <f t="shared" si="38"/>
        <v>429.87280692963031</v>
      </c>
      <c r="W101" s="1454">
        <v>0.4</v>
      </c>
      <c r="X101" s="530">
        <f t="shared" si="39"/>
        <v>2426.7883762416568</v>
      </c>
      <c r="Y101" s="1508">
        <f t="shared" si="78"/>
        <v>2856.6611831712871</v>
      </c>
      <c r="Z101" s="1509">
        <f t="shared" si="79"/>
        <v>8992.410247153799</v>
      </c>
      <c r="AA101" s="1511">
        <f t="shared" si="80"/>
        <v>1748.7897838792824</v>
      </c>
      <c r="AB101" s="1091">
        <f t="shared" si="40"/>
        <v>0.19447397703333147</v>
      </c>
      <c r="AC101" s="135" t="str">
        <f t="shared" si="41"/>
        <v>Yes</v>
      </c>
      <c r="AD101" s="1091">
        <f t="shared" si="42"/>
        <v>0.19447397703333147</v>
      </c>
      <c r="AE101" s="649">
        <f t="shared" si="10"/>
        <v>9.8397217928982372E-2</v>
      </c>
      <c r="AF101" s="530">
        <f t="shared" si="43"/>
        <v>382.51682184889864</v>
      </c>
      <c r="AG101" s="528">
        <f t="shared" si="44"/>
        <v>7243.6204632745166</v>
      </c>
      <c r="AH101" s="528">
        <f t="shared" si="81"/>
        <v>7419.0574372368628</v>
      </c>
      <c r="AI101" s="528">
        <f t="shared" si="82"/>
        <v>5830.9633715541659</v>
      </c>
      <c r="AJ101" s="528">
        <f t="shared" si="11"/>
        <v>2494.8064858860807</v>
      </c>
      <c r="AK101" s="528">
        <f t="shared" si="45"/>
        <v>22988.447757951624</v>
      </c>
      <c r="AL101" s="716">
        <f t="shared" si="12"/>
        <v>0</v>
      </c>
      <c r="AM101" s="417">
        <f t="shared" si="46"/>
        <v>0.31509828499703613</v>
      </c>
      <c r="AN101" s="417">
        <f t="shared" si="47"/>
        <v>0.32272981261514871</v>
      </c>
      <c r="AO101" s="417">
        <f t="shared" si="48"/>
        <v>0.25364754649592447</v>
      </c>
      <c r="AP101" s="417">
        <f t="shared" si="49"/>
        <v>0.10852435589189079</v>
      </c>
      <c r="AQ101" s="417">
        <f t="shared" si="50"/>
        <v>1</v>
      </c>
      <c r="AR101" s="1086">
        <f t="shared" si="13"/>
        <v>1429.040281160529</v>
      </c>
      <c r="AS101" s="938">
        <f t="shared" si="14"/>
        <v>1812.4096842307074</v>
      </c>
      <c r="AT101" s="938">
        <f t="shared" si="15"/>
        <v>495.45611996690928</v>
      </c>
      <c r="AU101" s="938">
        <f t="shared" si="16"/>
        <v>0</v>
      </c>
      <c r="AV101" s="938">
        <f t="shared" si="17"/>
        <v>0</v>
      </c>
      <c r="AW101" s="938">
        <f t="shared" si="18"/>
        <v>0</v>
      </c>
      <c r="AX101" s="938">
        <f t="shared" si="19"/>
        <v>2396.8400126756469</v>
      </c>
      <c r="AY101" s="938">
        <f t="shared" si="20"/>
        <v>299.30864866562246</v>
      </c>
      <c r="AZ101" s="938">
        <f t="shared" si="21"/>
        <v>365.39822719823422</v>
      </c>
      <c r="BA101" s="938">
        <f t="shared" si="22"/>
        <v>349.6638518408223</v>
      </c>
      <c r="BB101" s="938">
        <f t="shared" si="23"/>
        <v>95.503637536043001</v>
      </c>
      <c r="BC101" s="530">
        <f t="shared" si="51"/>
        <v>7243.6204632745148</v>
      </c>
      <c r="BD101" s="724">
        <f t="shared" si="52"/>
        <v>0</v>
      </c>
      <c r="BE101" s="436">
        <f t="shared" si="53"/>
        <v>0.19728260037999343</v>
      </c>
      <c r="BF101" s="624">
        <f t="shared" si="54"/>
        <v>0.25020770944857024</v>
      </c>
      <c r="BG101" s="624">
        <f t="shared" si="55"/>
        <v>6.8398961883618048E-2</v>
      </c>
      <c r="BH101" s="624">
        <f t="shared" si="56"/>
        <v>0</v>
      </c>
      <c r="BI101" s="624">
        <f t="shared" si="57"/>
        <v>0</v>
      </c>
      <c r="BJ101" s="624">
        <f t="shared" si="58"/>
        <v>0</v>
      </c>
      <c r="BK101" s="624">
        <f t="shared" si="59"/>
        <v>0.4841107282878182</v>
      </c>
      <c r="BL101" s="624">
        <f t="shared" si="60"/>
        <v>0.99999999999999989</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92.019303745198329</v>
      </c>
      <c r="BW101" s="114">
        <f t="shared" si="63"/>
        <v>0.43784153124584108</v>
      </c>
      <c r="BX101" s="1689">
        <f t="shared" si="24"/>
        <v>50.478759434739615</v>
      </c>
      <c r="BY101" s="527">
        <f t="shared" si="64"/>
        <v>92.019303745198329</v>
      </c>
      <c r="BZ101" s="417">
        <f t="shared" si="65"/>
        <v>0.43784153124584108</v>
      </c>
      <c r="CA101" s="544">
        <f t="shared" si="25"/>
        <v>50.478759434739615</v>
      </c>
      <c r="CB101" s="649">
        <f t="shared" si="26"/>
        <v>9.8397217928982372E-2</v>
      </c>
      <c r="CC101" s="525">
        <f t="shared" si="66"/>
        <v>0.20685740487956927</v>
      </c>
      <c r="CD101" s="417">
        <f t="shared" si="27"/>
        <v>9.8397217928982372E-2</v>
      </c>
      <c r="CE101" s="525">
        <f t="shared" si="67"/>
        <v>0.20685740487956927</v>
      </c>
      <c r="CG101" s="527">
        <f t="shared" si="68"/>
        <v>1403.5474776500628</v>
      </c>
      <c r="CH101" s="528">
        <f t="shared" si="69"/>
        <v>569.38520466198611</v>
      </c>
      <c r="CI101" s="528">
        <f t="shared" si="70"/>
        <v>2284.5792885319715</v>
      </c>
      <c r="CJ101" s="528">
        <f t="shared" si="71"/>
        <v>3120.8527695357297</v>
      </c>
      <c r="CK101" s="528">
        <f t="shared" si="72"/>
        <v>40.692696857112345</v>
      </c>
      <c r="CL101" s="528">
        <f t="shared" si="73"/>
        <v>7419.0574372368628</v>
      </c>
      <c r="CM101" s="646">
        <f t="shared" si="74"/>
        <v>0</v>
      </c>
    </row>
    <row r="102" spans="1:91" s="464" customFormat="1">
      <c r="A102" s="150">
        <f>'Input data'!A122</f>
        <v>2022</v>
      </c>
      <c r="B102" s="1506">
        <f>'Input data'!B122</f>
        <v>60.841582286809363</v>
      </c>
      <c r="C102" s="1507">
        <f>'Input data'!C122</f>
        <v>3105.6495314991057</v>
      </c>
      <c r="D102" s="1507">
        <f>'Input data'!D122</f>
        <v>50359792.847133152</v>
      </c>
      <c r="E102" s="1455">
        <f t="shared" si="75"/>
        <v>0.82449230769230786</v>
      </c>
      <c r="F102" s="1449">
        <f t="shared" si="76"/>
        <v>0.32052307692307697</v>
      </c>
      <c r="G102" s="1554">
        <f>B102*F102*'Input data'!$C$9</f>
        <v>596.87288512572582</v>
      </c>
      <c r="H102" s="1549">
        <f>'Input data'!I122</f>
        <v>424.26313389388866</v>
      </c>
      <c r="I102" s="1557">
        <f>'Input data'!K122</f>
        <v>25812.840372064646</v>
      </c>
      <c r="J102" s="1557">
        <f>J97*(1-$G$4)</f>
        <v>5572.0157409803969</v>
      </c>
      <c r="K102" s="1511">
        <f t="shared" si="77"/>
        <v>6423.6873780436263</v>
      </c>
      <c r="L102" s="1504">
        <f t="shared" si="28"/>
        <v>0.62615384615384628</v>
      </c>
      <c r="M102" s="1504">
        <f t="shared" si="29"/>
        <v>0.49969230769230777</v>
      </c>
      <c r="N102" s="1504">
        <f t="shared" si="30"/>
        <v>0.78430769230769215</v>
      </c>
      <c r="O102" s="1504">
        <f t="shared" si="31"/>
        <v>0.83846153846153837</v>
      </c>
      <c r="P102" s="1449">
        <f t="shared" si="32"/>
        <v>0.23600000000000002</v>
      </c>
      <c r="Q102" s="1508">
        <f t="shared" si="33"/>
        <v>106.302965845774</v>
      </c>
      <c r="R102" s="1509">
        <f t="shared" si="34"/>
        <v>74.181513519872851</v>
      </c>
      <c r="S102" s="1509">
        <f t="shared" si="35"/>
        <v>217.23419229042383</v>
      </c>
      <c r="T102" s="1509">
        <f t="shared" si="36"/>
        <v>146.27190612795357</v>
      </c>
      <c r="U102" s="1511">
        <f t="shared" si="37"/>
        <v>0</v>
      </c>
      <c r="V102" s="1509">
        <f t="shared" si="38"/>
        <v>543.99057778402425</v>
      </c>
      <c r="W102" s="1454">
        <f>$E$26</f>
        <v>0.5</v>
      </c>
      <c r="X102" s="530">
        <f t="shared" si="39"/>
        <v>3033.4854703020706</v>
      </c>
      <c r="Y102" s="1508">
        <f t="shared" si="78"/>
        <v>3577.476048086095</v>
      </c>
      <c r="Z102" s="1509">
        <f t="shared" si="79"/>
        <v>8418.2270709379281</v>
      </c>
      <c r="AA102" s="1511">
        <f t="shared" si="80"/>
        <v>2846.2113299575312</v>
      </c>
      <c r="AB102" s="1091">
        <f t="shared" si="40"/>
        <v>0.33810104027526744</v>
      </c>
      <c r="AC102" s="135" t="str">
        <f t="shared" si="41"/>
        <v>Yes</v>
      </c>
      <c r="AD102" s="1091">
        <f t="shared" si="42"/>
        <v>0.33810104027526744</v>
      </c>
      <c r="AE102" s="649">
        <f t="shared" si="10"/>
        <v>0.15915151958679319</v>
      </c>
      <c r="AF102" s="530">
        <f t="shared" si="43"/>
        <v>356.74101143002122</v>
      </c>
      <c r="AG102" s="528">
        <f t="shared" si="44"/>
        <v>5572.0157409803969</v>
      </c>
      <c r="AH102" s="528">
        <f t="shared" si="81"/>
        <v>7619.6660315280851</v>
      </c>
      <c r="AI102" s="528">
        <f t="shared" si="82"/>
        <v>6437.6604656145792</v>
      </c>
      <c r="AJ102" s="528">
        <f t="shared" si="11"/>
        <v>2075.3453638761698</v>
      </c>
      <c r="AK102" s="528">
        <f t="shared" si="45"/>
        <v>21704.687601999234</v>
      </c>
      <c r="AL102" s="716">
        <f t="shared" si="12"/>
        <v>0</v>
      </c>
      <c r="AM102" s="417">
        <f t="shared" si="46"/>
        <v>0.2567194627794207</v>
      </c>
      <c r="AN102" s="417">
        <f t="shared" si="47"/>
        <v>0.35106084783391361</v>
      </c>
      <c r="AO102" s="417">
        <f t="shared" si="48"/>
        <v>0.2966023093104368</v>
      </c>
      <c r="AP102" s="417">
        <f t="shared" si="49"/>
        <v>9.5617380076228706E-2</v>
      </c>
      <c r="AQ102" s="417">
        <f t="shared" si="50"/>
        <v>0.99999999999999989</v>
      </c>
      <c r="AR102" s="1086">
        <f t="shared" si="13"/>
        <v>1020.4948758131897</v>
      </c>
      <c r="AS102" s="938">
        <f t="shared" si="14"/>
        <v>1294.2635837595894</v>
      </c>
      <c r="AT102" s="938">
        <f t="shared" si="15"/>
        <v>398.08086958449604</v>
      </c>
      <c r="AU102" s="938">
        <f t="shared" si="16"/>
        <v>0</v>
      </c>
      <c r="AV102" s="938">
        <f t="shared" si="17"/>
        <v>0</v>
      </c>
      <c r="AW102" s="938">
        <f t="shared" si="18"/>
        <v>0</v>
      </c>
      <c r="AX102" s="938">
        <f t="shared" si="19"/>
        <v>1993.8503592965417</v>
      </c>
      <c r="AY102" s="938">
        <f t="shared" si="20"/>
        <v>239.16463558917894</v>
      </c>
      <c r="AZ102" s="938">
        <f t="shared" si="21"/>
        <v>275.20504286557275</v>
      </c>
      <c r="BA102" s="938">
        <f t="shared" si="22"/>
        <v>271.510119416392</v>
      </c>
      <c r="BB102" s="938">
        <f t="shared" si="23"/>
        <v>79.446254655435226</v>
      </c>
      <c r="BC102" s="530">
        <f t="shared" si="51"/>
        <v>5572.0157409803951</v>
      </c>
      <c r="BD102" s="724">
        <f t="shared" si="52"/>
        <v>0</v>
      </c>
      <c r="BE102" s="436">
        <f t="shared" si="53"/>
        <v>0.18314644524561838</v>
      </c>
      <c r="BF102" s="624">
        <f t="shared" si="54"/>
        <v>0.23227924039063536</v>
      </c>
      <c r="BG102" s="624">
        <f t="shared" si="55"/>
        <v>7.1442883166452392E-2</v>
      </c>
      <c r="BH102" s="624">
        <f t="shared" si="56"/>
        <v>0</v>
      </c>
      <c r="BI102" s="624">
        <f t="shared" si="57"/>
        <v>0</v>
      </c>
      <c r="BJ102" s="624">
        <f t="shared" si="58"/>
        <v>0</v>
      </c>
      <c r="BK102" s="624">
        <f t="shared" si="59"/>
        <v>0.51313143119729399</v>
      </c>
      <c r="BL102" s="624">
        <f t="shared" si="60"/>
        <v>1</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88.740758245241665</v>
      </c>
      <c r="BW102" s="114">
        <f t="shared" si="63"/>
        <v>0.47851759273061129</v>
      </c>
      <c r="BX102" s="1689">
        <f t="shared" si="24"/>
        <v>50.35979284713315</v>
      </c>
      <c r="BY102" s="527">
        <f t="shared" si="64"/>
        <v>88.740758245241665</v>
      </c>
      <c r="BZ102" s="417">
        <f t="shared" si="65"/>
        <v>0.47851759273061129</v>
      </c>
      <c r="CA102" s="544">
        <f t="shared" si="25"/>
        <v>50.35979284713315</v>
      </c>
      <c r="CB102" s="649">
        <f t="shared" si="26"/>
        <v>0.15915151958679319</v>
      </c>
      <c r="CC102" s="525">
        <f t="shared" si="66"/>
        <v>0.23582978957214951</v>
      </c>
      <c r="CD102" s="417">
        <f t="shared" si="27"/>
        <v>0.15915151958679319</v>
      </c>
      <c r="CE102" s="525">
        <f t="shared" si="67"/>
        <v>0.23582978957214951</v>
      </c>
      <c r="CF102" s="1"/>
      <c r="CG102" s="527">
        <f t="shared" si="68"/>
        <v>1442.1769033076646</v>
      </c>
      <c r="CH102" s="528">
        <f t="shared" si="69"/>
        <v>591.26762187127986</v>
      </c>
      <c r="CI102" s="528">
        <f t="shared" si="70"/>
        <v>2356.2976857374128</v>
      </c>
      <c r="CJ102" s="528">
        <f t="shared" si="71"/>
        <v>3188.7275535893946</v>
      </c>
      <c r="CK102" s="528">
        <f t="shared" si="72"/>
        <v>41.196267022332343</v>
      </c>
      <c r="CL102" s="528">
        <f t="shared" si="73"/>
        <v>7619.6660315280833</v>
      </c>
      <c r="CM102" s="646">
        <f t="shared" si="74"/>
        <v>0</v>
      </c>
    </row>
    <row r="103" spans="1:91" s="4" customFormat="1">
      <c r="A103" s="150">
        <f>'Input data'!A123</f>
        <v>2023</v>
      </c>
      <c r="B103" s="1506">
        <f>'Input data'!B123</f>
        <v>61.537824355929828</v>
      </c>
      <c r="C103" s="1507">
        <f>'Input data'!C123</f>
        <v>3166.2503551240475</v>
      </c>
      <c r="D103" s="1507">
        <f>'Input data'!D123</f>
        <v>49907933.066043317</v>
      </c>
      <c r="E103" s="1455">
        <f t="shared" si="75"/>
        <v>0.84643076923076943</v>
      </c>
      <c r="F103" s="1449">
        <f t="shared" si="76"/>
        <v>0.32670769230769237</v>
      </c>
      <c r="G103" s="1554">
        <f>B103*F103*'Input data'!$C$9</f>
        <v>615.35189839731549</v>
      </c>
      <c r="H103" s="1549">
        <f>'Input data'!I123</f>
        <v>424.26313389388866</v>
      </c>
      <c r="I103" s="1557">
        <f>'Input data'!K123</f>
        <v>26108.230214258459</v>
      </c>
      <c r="J103" s="1557">
        <f>($J$107-$J$102)/($A$107-$A$102)+J102</f>
        <v>5237.6947965215732</v>
      </c>
      <c r="K103" s="1511">
        <f t="shared" si="77"/>
        <v>6895.2814315542964</v>
      </c>
      <c r="L103" s="1504">
        <f t="shared" si="28"/>
        <v>0.63538461538461555</v>
      </c>
      <c r="M103" s="1504">
        <f t="shared" si="29"/>
        <v>0.51223076923076927</v>
      </c>
      <c r="N103" s="1504">
        <f t="shared" si="30"/>
        <v>0.79876923076923056</v>
      </c>
      <c r="O103" s="1504">
        <f t="shared" si="31"/>
        <v>0.84615384615384603</v>
      </c>
      <c r="P103" s="1449">
        <f t="shared" si="32"/>
        <v>0.23600000000000002</v>
      </c>
      <c r="Q103" s="1508">
        <f t="shared" si="33"/>
        <v>129.02333558441796</v>
      </c>
      <c r="R103" s="1509">
        <f t="shared" si="34"/>
        <v>90.036493684668471</v>
      </c>
      <c r="S103" s="1509">
        <f t="shared" si="35"/>
        <v>263.66414021750961</v>
      </c>
      <c r="T103" s="1509">
        <f t="shared" si="36"/>
        <v>177.53492652594377</v>
      </c>
      <c r="U103" s="1511">
        <f t="shared" si="37"/>
        <v>0</v>
      </c>
      <c r="V103" s="1509">
        <f t="shared" si="38"/>
        <v>660.25889601253982</v>
      </c>
      <c r="W103" s="1454">
        <f>($N$147-$N$142)/($A$107-$A$102)+W102</f>
        <v>0.5</v>
      </c>
      <c r="X103" s="530">
        <f t="shared" si="39"/>
        <v>3033.4854703020706</v>
      </c>
      <c r="Y103" s="1508">
        <f t="shared" si="78"/>
        <v>3693.7443663146105</v>
      </c>
      <c r="Z103" s="1509">
        <f t="shared" si="79"/>
        <v>8439.2318617612582</v>
      </c>
      <c r="AA103" s="1511">
        <f t="shared" si="80"/>
        <v>3201.537065239685</v>
      </c>
      <c r="AB103" s="1091">
        <f t="shared" si="40"/>
        <v>0.37936356266570542</v>
      </c>
      <c r="AC103" s="135" t="str">
        <f t="shared" si="41"/>
        <v>Yes</v>
      </c>
      <c r="AD103" s="1091">
        <f t="shared" si="42"/>
        <v>0.37936356266570542</v>
      </c>
      <c r="AE103" s="649">
        <f t="shared" si="10"/>
        <v>0.17801789007344582</v>
      </c>
      <c r="AF103" s="530">
        <f t="shared" si="43"/>
        <v>348.73670596215072</v>
      </c>
      <c r="AG103" s="528">
        <f t="shared" si="44"/>
        <v>5237.6947965215732</v>
      </c>
      <c r="AH103" s="528">
        <f t="shared" si="81"/>
        <v>7816.9050072111759</v>
      </c>
      <c r="AI103" s="528">
        <f t="shared" si="82"/>
        <v>6437.6604656145792</v>
      </c>
      <c r="AJ103" s="528">
        <f t="shared" si="11"/>
        <v>1968.2378886170527</v>
      </c>
      <c r="AK103" s="528">
        <f t="shared" si="45"/>
        <v>21460.498157964379</v>
      </c>
      <c r="AL103" s="716">
        <f t="shared" si="12"/>
        <v>0</v>
      </c>
      <c r="AM103" s="417">
        <f t="shared" si="46"/>
        <v>0.2440621255838728</v>
      </c>
      <c r="AN103" s="417">
        <f t="shared" si="47"/>
        <v>0.36424620480257497</v>
      </c>
      <c r="AO103" s="417">
        <f t="shared" si="48"/>
        <v>0.29997721479850398</v>
      </c>
      <c r="AP103" s="417">
        <f t="shared" si="49"/>
        <v>9.1714454815048363E-2</v>
      </c>
      <c r="AQ103" s="417">
        <f t="shared" si="50"/>
        <v>1.0000000000000002</v>
      </c>
      <c r="AR103" s="1086">
        <f t="shared" si="13"/>
        <v>977.32593663071737</v>
      </c>
      <c r="AS103" s="938">
        <f t="shared" si="14"/>
        <v>1239.5136900975713</v>
      </c>
      <c r="AT103" s="938">
        <f t="shared" si="15"/>
        <v>364.19002948179428</v>
      </c>
      <c r="AU103" s="938">
        <f t="shared" si="16"/>
        <v>0</v>
      </c>
      <c r="AV103" s="938">
        <f t="shared" si="17"/>
        <v>0</v>
      </c>
      <c r="AW103" s="938">
        <f t="shared" si="18"/>
        <v>0</v>
      </c>
      <c r="AX103" s="938">
        <f t="shared" si="19"/>
        <v>1890.9487980692227</v>
      </c>
      <c r="AY103" s="938">
        <f t="shared" si="20"/>
        <v>217.50815394767042</v>
      </c>
      <c r="AZ103" s="938">
        <f t="shared" si="21"/>
        <v>233.72859422808364</v>
      </c>
      <c r="BA103" s="938">
        <f t="shared" si="22"/>
        <v>239.13351854417559</v>
      </c>
      <c r="BB103" s="938">
        <f t="shared" si="23"/>
        <v>75.346075522337316</v>
      </c>
      <c r="BC103" s="530">
        <f t="shared" si="51"/>
        <v>5237.6947965215732</v>
      </c>
      <c r="BD103" s="724">
        <f t="shared" si="52"/>
        <v>0</v>
      </c>
      <c r="BE103" s="436">
        <f t="shared" si="53"/>
        <v>0.18659467086164952</v>
      </c>
      <c r="BF103" s="624">
        <f t="shared" si="54"/>
        <v>0.23665252334304582</v>
      </c>
      <c r="BG103" s="624">
        <f t="shared" si="55"/>
        <v>6.9532503062923412E-2</v>
      </c>
      <c r="BH103" s="624">
        <f t="shared" si="56"/>
        <v>0</v>
      </c>
      <c r="BI103" s="624">
        <f t="shared" si="57"/>
        <v>0</v>
      </c>
      <c r="BJ103" s="624">
        <f t="shared" si="58"/>
        <v>0</v>
      </c>
      <c r="BK103" s="624">
        <f t="shared" si="59"/>
        <v>0.50722030273238117</v>
      </c>
      <c r="BL103" s="624">
        <f t="shared" si="60"/>
        <v>1</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88.355442530178934</v>
      </c>
      <c r="BW103" s="114">
        <f t="shared" si="63"/>
        <v>0.49886672474079752</v>
      </c>
      <c r="BX103" s="1689">
        <f t="shared" si="24"/>
        <v>49.90793306604332</v>
      </c>
      <c r="BY103" s="527">
        <f t="shared" si="64"/>
        <v>88.355442530178934</v>
      </c>
      <c r="BZ103" s="417">
        <f t="shared" si="65"/>
        <v>0.49886672474079752</v>
      </c>
      <c r="CA103" s="544">
        <f t="shared" si="25"/>
        <v>49.90793306604332</v>
      </c>
      <c r="CB103" s="649">
        <f t="shared" si="26"/>
        <v>0.17801789007344582</v>
      </c>
      <c r="CC103" s="525">
        <f t="shared" si="66"/>
        <v>0.23984085052055193</v>
      </c>
      <c r="CD103" s="417">
        <f t="shared" si="27"/>
        <v>0.17801789007344582</v>
      </c>
      <c r="CE103" s="525">
        <f t="shared" si="67"/>
        <v>0.23984085052055193</v>
      </c>
      <c r="CF103"/>
      <c r="CG103" s="527">
        <f t="shared" si="68"/>
        <v>1480.1843776767912</v>
      </c>
      <c r="CH103" s="528">
        <f t="shared" si="69"/>
        <v>613.03988900430238</v>
      </c>
      <c r="CI103" s="528">
        <f t="shared" si="70"/>
        <v>2427.2060567541043</v>
      </c>
      <c r="CJ103" s="528">
        <f t="shared" si="71"/>
        <v>3254.80698630898</v>
      </c>
      <c r="CK103" s="528">
        <f t="shared" si="72"/>
        <v>41.667697466998575</v>
      </c>
      <c r="CL103" s="528">
        <f t="shared" si="73"/>
        <v>7816.9050072111768</v>
      </c>
      <c r="CM103" s="646">
        <f t="shared" si="74"/>
        <v>0</v>
      </c>
    </row>
    <row r="104" spans="1:91" s="4" customFormat="1">
      <c r="A104" s="150">
        <f>'Input data'!A124</f>
        <v>2024</v>
      </c>
      <c r="B104" s="1506">
        <f>'Input data'!B124</f>
        <v>62.221509701386374</v>
      </c>
      <c r="C104" s="1507">
        <f>'Input data'!C124</f>
        <v>3234.5964359714103</v>
      </c>
      <c r="D104" s="1507">
        <f>'Input data'!D124</f>
        <v>50177221.869345397</v>
      </c>
      <c r="E104" s="1455">
        <f t="shared" si="75"/>
        <v>0.868369230769231</v>
      </c>
      <c r="F104" s="1449">
        <f t="shared" si="76"/>
        <v>0.33289230769230777</v>
      </c>
      <c r="G104" s="1554">
        <f>B104*F104*'Input data'!$C$9</f>
        <v>633.96656052179912</v>
      </c>
      <c r="H104" s="1549">
        <f>'Input data'!I124</f>
        <v>424.26313389388866</v>
      </c>
      <c r="I104" s="1557">
        <f>'Input data'!K124</f>
        <v>26398.292701519178</v>
      </c>
      <c r="J104" s="1557">
        <f t="shared" ref="J104:J106" si="85">($J$107-$J$102)/($A$107-$A$102)+J103</f>
        <v>4903.3738520627494</v>
      </c>
      <c r="K104" s="1511">
        <f t="shared" si="77"/>
        <v>7364.399764947927</v>
      </c>
      <c r="L104" s="1504">
        <f t="shared" si="28"/>
        <v>0.64461538461538481</v>
      </c>
      <c r="M104" s="1504">
        <f t="shared" si="29"/>
        <v>0.52476923076923077</v>
      </c>
      <c r="N104" s="1504">
        <f t="shared" si="30"/>
        <v>0.81323076923076898</v>
      </c>
      <c r="O104" s="1504">
        <f t="shared" si="31"/>
        <v>0.8538461538461537</v>
      </c>
      <c r="P104" s="1449">
        <f t="shared" si="32"/>
        <v>0.23600000000000002</v>
      </c>
      <c r="Q104" s="1508">
        <f t="shared" si="33"/>
        <v>152.19958260241037</v>
      </c>
      <c r="R104" s="1509">
        <f t="shared" si="34"/>
        <v>106.20959918390167</v>
      </c>
      <c r="S104" s="1509">
        <f t="shared" si="35"/>
        <v>311.02569086870426</v>
      </c>
      <c r="T104" s="1509">
        <f t="shared" si="36"/>
        <v>209.42522987958955</v>
      </c>
      <c r="U104" s="1511">
        <f t="shared" si="37"/>
        <v>0</v>
      </c>
      <c r="V104" s="1509">
        <f t="shared" si="38"/>
        <v>778.86010253460586</v>
      </c>
      <c r="W104" s="1454">
        <f>($N$147-$N$142)/($A$107-$A$102)+W103</f>
        <v>0.5</v>
      </c>
      <c r="X104" s="530">
        <f t="shared" si="39"/>
        <v>3033.4854703020706</v>
      </c>
      <c r="Y104" s="1508">
        <f t="shared" si="78"/>
        <v>3812.3455728366762</v>
      </c>
      <c r="Z104" s="1509">
        <f t="shared" si="79"/>
        <v>8455.4280441740011</v>
      </c>
      <c r="AA104" s="1511">
        <f t="shared" si="80"/>
        <v>3552.0541921112517</v>
      </c>
      <c r="AB104" s="1091">
        <f t="shared" si="40"/>
        <v>0.42009158774152244</v>
      </c>
      <c r="AC104" s="135" t="str">
        <f t="shared" si="41"/>
        <v>Yes</v>
      </c>
      <c r="AD104" s="1091">
        <f t="shared" si="42"/>
        <v>0.42009158774152244</v>
      </c>
      <c r="AE104" s="649">
        <f t="shared" si="10"/>
        <v>0.19632835817910144</v>
      </c>
      <c r="AF104" s="530">
        <f t="shared" si="43"/>
        <v>340.9682493805812</v>
      </c>
      <c r="AG104" s="528">
        <f t="shared" si="44"/>
        <v>4903.3738520627494</v>
      </c>
      <c r="AH104" s="528">
        <f t="shared" si="81"/>
        <v>8015.016565619344</v>
      </c>
      <c r="AI104" s="528">
        <f t="shared" si="82"/>
        <v>6437.6604656145792</v>
      </c>
      <c r="AJ104" s="528">
        <f t="shared" si="11"/>
        <v>1859.5083534018884</v>
      </c>
      <c r="AK104" s="528">
        <f t="shared" si="45"/>
        <v>21215.559236698562</v>
      </c>
      <c r="AL104" s="716">
        <f t="shared" si="12"/>
        <v>0</v>
      </c>
      <c r="AM104" s="417">
        <f t="shared" si="46"/>
        <v>0.23112159323054371</v>
      </c>
      <c r="AN104" s="417">
        <f t="shared" si="47"/>
        <v>0.37778954946212356</v>
      </c>
      <c r="AO104" s="417">
        <f t="shared" si="48"/>
        <v>0.3034405265395384</v>
      </c>
      <c r="AP104" s="417">
        <f t="shared" si="49"/>
        <v>8.7648330767794269E-2</v>
      </c>
      <c r="AQ104" s="417">
        <f t="shared" si="50"/>
        <v>0.99999999999999978</v>
      </c>
      <c r="AR104" s="1086">
        <f t="shared" si="13"/>
        <v>931.95272481573033</v>
      </c>
      <c r="AS104" s="938">
        <f t="shared" si="14"/>
        <v>1181.9681824010704</v>
      </c>
      <c r="AT104" s="938">
        <f t="shared" si="15"/>
        <v>331.46258719591935</v>
      </c>
      <c r="AU104" s="938">
        <f t="shared" si="16"/>
        <v>0</v>
      </c>
      <c r="AV104" s="938">
        <f t="shared" si="17"/>
        <v>0</v>
      </c>
      <c r="AW104" s="938">
        <f t="shared" si="18"/>
        <v>0</v>
      </c>
      <c r="AX104" s="938">
        <f t="shared" si="19"/>
        <v>1786.4888722041619</v>
      </c>
      <c r="AY104" s="938">
        <f t="shared" si="20"/>
        <v>196.69371899230995</v>
      </c>
      <c r="AZ104" s="938">
        <f t="shared" si="21"/>
        <v>195.05031221336995</v>
      </c>
      <c r="BA104" s="938">
        <f t="shared" si="22"/>
        <v>208.57365189590661</v>
      </c>
      <c r="BB104" s="938">
        <f t="shared" si="23"/>
        <v>71.18380234427822</v>
      </c>
      <c r="BC104" s="530">
        <f t="shared" si="51"/>
        <v>4903.3738520627458</v>
      </c>
      <c r="BD104" s="724">
        <f t="shared" si="52"/>
        <v>0</v>
      </c>
      <c r="BE104" s="436">
        <f t="shared" si="53"/>
        <v>0.19006356703225424</v>
      </c>
      <c r="BF104" s="624">
        <f t="shared" si="54"/>
        <v>0.24105202215079752</v>
      </c>
      <c r="BG104" s="624">
        <f t="shared" si="55"/>
        <v>6.7598881340952627E-2</v>
      </c>
      <c r="BH104" s="624">
        <f t="shared" si="56"/>
        <v>0</v>
      </c>
      <c r="BI104" s="624">
        <f t="shared" si="57"/>
        <v>0</v>
      </c>
      <c r="BJ104" s="624">
        <f t="shared" si="58"/>
        <v>0</v>
      </c>
      <c r="BK104" s="624">
        <f t="shared" si="59"/>
        <v>0.50128552947599581</v>
      </c>
      <c r="BL104" s="624">
        <f t="shared" si="60"/>
        <v>1.0000000000000002</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88.730240084875817</v>
      </c>
      <c r="BW104" s="114">
        <f t="shared" si="63"/>
        <v>0.51710006263319785</v>
      </c>
      <c r="BX104" s="1689">
        <f t="shared" si="24"/>
        <v>50.177221869345395</v>
      </c>
      <c r="BY104" s="527">
        <f t="shared" si="64"/>
        <v>88.730240084875817</v>
      </c>
      <c r="BZ104" s="417">
        <f t="shared" si="65"/>
        <v>0.51710006263319785</v>
      </c>
      <c r="CA104" s="544">
        <f t="shared" si="25"/>
        <v>50.177221869345395</v>
      </c>
      <c r="CB104" s="649">
        <f t="shared" si="26"/>
        <v>0.19632835817910144</v>
      </c>
      <c r="CC104" s="525">
        <f t="shared" si="66"/>
        <v>0.24219823068215074</v>
      </c>
      <c r="CD104" s="417">
        <f t="shared" si="27"/>
        <v>0.19632835817910144</v>
      </c>
      <c r="CE104" s="525">
        <f t="shared" si="67"/>
        <v>0.24219823068215074</v>
      </c>
      <c r="CF104"/>
      <c r="CG104" s="527">
        <f t="shared" si="68"/>
        <v>1518.3720264383246</v>
      </c>
      <c r="CH104" s="528">
        <f t="shared" si="69"/>
        <v>635.02356321873572</v>
      </c>
      <c r="CI104" s="528">
        <f t="shared" si="70"/>
        <v>2498.6045622066513</v>
      </c>
      <c r="CJ104" s="528">
        <f t="shared" si="71"/>
        <v>3320.8857880906467</v>
      </c>
      <c r="CK104" s="528">
        <f t="shared" si="72"/>
        <v>42.130625664985125</v>
      </c>
      <c r="CL104" s="528">
        <f t="shared" si="73"/>
        <v>8015.0165656193431</v>
      </c>
      <c r="CM104" s="646">
        <f t="shared" si="74"/>
        <v>0</v>
      </c>
    </row>
    <row r="105" spans="1:91" s="4" customFormat="1">
      <c r="A105" s="150">
        <f>'Input data'!A125</f>
        <v>2025</v>
      </c>
      <c r="B105" s="1506">
        <f>'Input data'!B125</f>
        <v>62.892038582526091</v>
      </c>
      <c r="C105" s="1507">
        <f>'Input data'!C125</f>
        <v>3296.2240257379749</v>
      </c>
      <c r="D105" s="1507">
        <f>'Input data'!D125</f>
        <v>50605741.387768611</v>
      </c>
      <c r="E105" s="1455">
        <f t="shared" si="75"/>
        <v>0.89030769230769258</v>
      </c>
      <c r="F105" s="1449">
        <f t="shared" si="76"/>
        <v>0.33907692307692316</v>
      </c>
      <c r="G105" s="1554">
        <f>B105*F105*'Input data'!$C$9</f>
        <v>652.70351659310825</v>
      </c>
      <c r="H105" s="1549">
        <f>'Input data'!I125</f>
        <v>424.26313389388866</v>
      </c>
      <c r="I105" s="1557">
        <f>'Input data'!K125</f>
        <v>26682.77338599788</v>
      </c>
      <c r="J105" s="1557">
        <f t="shared" si="85"/>
        <v>4569.0529076039256</v>
      </c>
      <c r="K105" s="1511">
        <f t="shared" si="77"/>
        <v>7830.9241316150401</v>
      </c>
      <c r="L105" s="1504">
        <f t="shared" si="28"/>
        <v>0.65384615384615408</v>
      </c>
      <c r="M105" s="1504">
        <f t="shared" si="29"/>
        <v>0.53730769230769226</v>
      </c>
      <c r="N105" s="1504">
        <f t="shared" si="30"/>
        <v>0.82769230769230739</v>
      </c>
      <c r="O105" s="1504">
        <f t="shared" si="31"/>
        <v>0.86153846153846136</v>
      </c>
      <c r="P105" s="1449">
        <f t="shared" si="32"/>
        <v>0.23600000000000002</v>
      </c>
      <c r="Q105" s="1508">
        <f t="shared" si="33"/>
        <v>175.81686677097082</v>
      </c>
      <c r="R105" s="1509">
        <f t="shared" si="34"/>
        <v>122.69047411447059</v>
      </c>
      <c r="S105" s="1509">
        <f t="shared" si="35"/>
        <v>359.2885178710485</v>
      </c>
      <c r="T105" s="1509">
        <f t="shared" si="36"/>
        <v>241.92239630778477</v>
      </c>
      <c r="U105" s="1511">
        <f t="shared" si="37"/>
        <v>0</v>
      </c>
      <c r="V105" s="1509">
        <f t="shared" si="38"/>
        <v>899.71825506427467</v>
      </c>
      <c r="W105" s="1454">
        <f>($N$147-$N$142)/($A$107-$A$102)+W104</f>
        <v>0.5</v>
      </c>
      <c r="X105" s="530">
        <f t="shared" si="39"/>
        <v>3033.4854703020706</v>
      </c>
      <c r="Y105" s="1508">
        <f t="shared" si="78"/>
        <v>3933.2037253663452</v>
      </c>
      <c r="Z105" s="1509">
        <f t="shared" si="79"/>
        <v>8466.77331385262</v>
      </c>
      <c r="AA105" s="1511">
        <f t="shared" si="80"/>
        <v>3897.7204062486944</v>
      </c>
      <c r="AB105" s="1091">
        <f t="shared" si="40"/>
        <v>0.4603548792160968</v>
      </c>
      <c r="AC105" s="135" t="str">
        <f t="shared" si="41"/>
        <v>Yes</v>
      </c>
      <c r="AD105" s="1091">
        <f t="shared" si="42"/>
        <v>0.4603548792160968</v>
      </c>
      <c r="AE105" s="649">
        <f t="shared" si="10"/>
        <v>0.21411400479319376</v>
      </c>
      <c r="AF105" s="530">
        <f t="shared" si="43"/>
        <v>333.42245520975717</v>
      </c>
      <c r="AG105" s="528">
        <f t="shared" si="44"/>
        <v>4569.0529076039256</v>
      </c>
      <c r="AH105" s="528">
        <f t="shared" si="81"/>
        <v>8213.8550166057721</v>
      </c>
      <c r="AI105" s="528">
        <f t="shared" si="82"/>
        <v>6437.6604656145792</v>
      </c>
      <c r="AJ105" s="528">
        <f t="shared" si="11"/>
        <v>1749.0495275083481</v>
      </c>
      <c r="AK105" s="528">
        <f t="shared" si="45"/>
        <v>20969.617917332627</v>
      </c>
      <c r="AL105" s="716">
        <f t="shared" si="12"/>
        <v>0</v>
      </c>
      <c r="AM105" s="417">
        <f t="shared" si="46"/>
        <v>0.21788918260772572</v>
      </c>
      <c r="AN105" s="417">
        <f t="shared" si="47"/>
        <v>0.39170265519318481</v>
      </c>
      <c r="AO105" s="417">
        <f t="shared" si="48"/>
        <v>0.30699941653650603</v>
      </c>
      <c r="AP105" s="417">
        <f t="shared" si="49"/>
        <v>8.3408745662583356E-2</v>
      </c>
      <c r="AQ105" s="417">
        <f t="shared" si="50"/>
        <v>1</v>
      </c>
      <c r="AR105" s="1086">
        <f t="shared" si="13"/>
        <v>884.37007449923453</v>
      </c>
      <c r="AS105" s="938">
        <f t="shared" si="14"/>
        <v>1121.6205089506445</v>
      </c>
      <c r="AT105" s="938">
        <f t="shared" si="15"/>
        <v>299.91315192281752</v>
      </c>
      <c r="AU105" s="938">
        <f t="shared" si="16"/>
        <v>0</v>
      </c>
      <c r="AV105" s="938">
        <f t="shared" si="17"/>
        <v>0</v>
      </c>
      <c r="AW105" s="938">
        <f t="shared" si="18"/>
        <v>0</v>
      </c>
      <c r="AX105" s="938">
        <f t="shared" si="19"/>
        <v>1680.3675617327499</v>
      </c>
      <c r="AY105" s="938">
        <f t="shared" si="20"/>
        <v>176.73352136802538</v>
      </c>
      <c r="AZ105" s="938">
        <f t="shared" si="21"/>
        <v>159.22786402561476</v>
      </c>
      <c r="BA105" s="938">
        <f t="shared" si="22"/>
        <v>179.86489488073215</v>
      </c>
      <c r="BB105" s="938">
        <f t="shared" si="23"/>
        <v>66.955330224106234</v>
      </c>
      <c r="BC105" s="530">
        <f t="shared" si="51"/>
        <v>4569.0529076039256</v>
      </c>
      <c r="BD105" s="724">
        <f t="shared" si="52"/>
        <v>0</v>
      </c>
      <c r="BE105" s="436">
        <f t="shared" si="53"/>
        <v>0.19355654057484101</v>
      </c>
      <c r="BF105" s="624">
        <f t="shared" si="54"/>
        <v>0.24548205758003311</v>
      </c>
      <c r="BG105" s="624">
        <f t="shared" si="55"/>
        <v>6.5640113605096362E-2</v>
      </c>
      <c r="BH105" s="624">
        <f t="shared" si="56"/>
        <v>0</v>
      </c>
      <c r="BI105" s="624">
        <f t="shared" si="57"/>
        <v>0</v>
      </c>
      <c r="BJ105" s="624">
        <f t="shared" si="58"/>
        <v>0</v>
      </c>
      <c r="BK105" s="624">
        <f t="shared" si="59"/>
        <v>0.4953212882400293</v>
      </c>
      <c r="BL105" s="624">
        <f t="shared" si="60"/>
        <v>0.99999999999999978</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89.228816584605397</v>
      </c>
      <c r="BW105" s="114">
        <f t="shared" si="63"/>
        <v>0.53467894777326108</v>
      </c>
      <c r="BX105" s="1689">
        <f t="shared" si="24"/>
        <v>50.60574138776861</v>
      </c>
      <c r="BY105" s="527">
        <f t="shared" si="64"/>
        <v>89.228816584605397</v>
      </c>
      <c r="BZ105" s="417">
        <f t="shared" si="65"/>
        <v>0.53467894777326108</v>
      </c>
      <c r="CA105" s="544">
        <f t="shared" si="25"/>
        <v>50.60574138776861</v>
      </c>
      <c r="CB105" s="649">
        <f t="shared" si="26"/>
        <v>0.21411400479319376</v>
      </c>
      <c r="CC105" s="525">
        <f t="shared" si="66"/>
        <v>0.24377233346132599</v>
      </c>
      <c r="CD105" s="417">
        <f t="shared" si="27"/>
        <v>0.21411400479319376</v>
      </c>
      <c r="CE105" s="525">
        <f t="shared" si="67"/>
        <v>0.24377233346132599</v>
      </c>
      <c r="CF105"/>
      <c r="CG105" s="527">
        <f t="shared" si="68"/>
        <v>1556.7118412012981</v>
      </c>
      <c r="CH105" s="528">
        <f t="shared" si="69"/>
        <v>657.2031914797376</v>
      </c>
      <c r="CI105" s="528">
        <f t="shared" si="70"/>
        <v>2570.4417900880926</v>
      </c>
      <c r="CJ105" s="528">
        <f t="shared" si="71"/>
        <v>3386.9135483090017</v>
      </c>
      <c r="CK105" s="528">
        <f t="shared" si="72"/>
        <v>42.584645527640909</v>
      </c>
      <c r="CL105" s="528">
        <f t="shared" si="73"/>
        <v>8213.8550166057703</v>
      </c>
      <c r="CM105" s="646">
        <f t="shared" si="74"/>
        <v>0</v>
      </c>
    </row>
    <row r="106" spans="1:91" s="4" customFormat="1">
      <c r="A106" s="150">
        <f>'Input data'!A126</f>
        <v>2026</v>
      </c>
      <c r="B106" s="1506">
        <f>'Input data'!B126</f>
        <v>63.548817559440096</v>
      </c>
      <c r="C106" s="1507">
        <f>'Input data'!C126</f>
        <v>3366.4633271478065</v>
      </c>
      <c r="D106" s="1507">
        <f>'Input data'!D126</f>
        <v>48876629.54391963</v>
      </c>
      <c r="E106" s="1455">
        <f t="shared" si="75"/>
        <v>0.91224615384615415</v>
      </c>
      <c r="F106" s="1449">
        <f t="shared" si="76"/>
        <v>0.34526153846153856</v>
      </c>
      <c r="G106" s="1554">
        <f>B106*F106*'Input data'!$C$9</f>
        <v>671.54902418095162</v>
      </c>
      <c r="H106" s="1549">
        <f>'Input data'!I126</f>
        <v>424.26313389388866</v>
      </c>
      <c r="I106" s="1557">
        <f>'Input data'!K126</f>
        <v>26961.420493019035</v>
      </c>
      <c r="J106" s="1557">
        <f t="shared" si="85"/>
        <v>4234.7319631451019</v>
      </c>
      <c r="K106" s="1511">
        <f t="shared" si="77"/>
        <v>8294.737527219153</v>
      </c>
      <c r="L106" s="1504">
        <f t="shared" si="28"/>
        <v>0.66307692307692334</v>
      </c>
      <c r="M106" s="1504">
        <f t="shared" si="29"/>
        <v>0.54984615384615376</v>
      </c>
      <c r="N106" s="1504">
        <f t="shared" si="30"/>
        <v>0.84215384615384581</v>
      </c>
      <c r="O106" s="1504">
        <f t="shared" si="31"/>
        <v>0.86923076923076903</v>
      </c>
      <c r="P106" s="1449">
        <f t="shared" si="32"/>
        <v>0.23600000000000002</v>
      </c>
      <c r="Q106" s="1508">
        <f t="shared" si="33"/>
        <v>199.85952947915325</v>
      </c>
      <c r="R106" s="1509">
        <f t="shared" si="34"/>
        <v>139.46819141097887</v>
      </c>
      <c r="S106" s="1509">
        <f t="shared" si="35"/>
        <v>408.42062225184736</v>
      </c>
      <c r="T106" s="1509">
        <f t="shared" si="36"/>
        <v>275.00487970546783</v>
      </c>
      <c r="U106" s="1511">
        <f t="shared" si="37"/>
        <v>0</v>
      </c>
      <c r="V106" s="1509">
        <f t="shared" si="38"/>
        <v>1022.7532228474473</v>
      </c>
      <c r="W106" s="1454">
        <f>($N$147-$N$142)/($A$107-$A$102)+W105</f>
        <v>0.5</v>
      </c>
      <c r="X106" s="530">
        <f t="shared" si="39"/>
        <v>3033.4854703020706</v>
      </c>
      <c r="Y106" s="1508">
        <f t="shared" si="78"/>
        <v>4056.238693149518</v>
      </c>
      <c r="Z106" s="1509">
        <f t="shared" si="79"/>
        <v>8473.2307972147355</v>
      </c>
      <c r="AA106" s="1511">
        <f t="shared" si="80"/>
        <v>4238.4988340696336</v>
      </c>
      <c r="AB106" s="1091">
        <f t="shared" si="40"/>
        <v>0.50022228067514518</v>
      </c>
      <c r="AC106" s="135" t="str">
        <f t="shared" si="41"/>
        <v>Yes</v>
      </c>
      <c r="AD106" s="1091">
        <f t="shared" si="42"/>
        <v>0.50022228067514518</v>
      </c>
      <c r="AE106" s="649">
        <f t="shared" si="10"/>
        <v>0.23140494815331936</v>
      </c>
      <c r="AF106" s="530">
        <f t="shared" si="43"/>
        <v>326.08654539180856</v>
      </c>
      <c r="AG106" s="528">
        <f t="shared" si="44"/>
        <v>4234.7319631451019</v>
      </c>
      <c r="AH106" s="528">
        <f t="shared" si="81"/>
        <v>8413.2712143112476</v>
      </c>
      <c r="AI106" s="528">
        <f t="shared" si="82"/>
        <v>6437.6604656145792</v>
      </c>
      <c r="AJ106" s="528">
        <f t="shared" si="11"/>
        <v>1636.7507386211962</v>
      </c>
      <c r="AK106" s="528">
        <f t="shared" si="45"/>
        <v>20722.414381692124</v>
      </c>
      <c r="AL106" s="716">
        <f t="shared" si="12"/>
        <v>0</v>
      </c>
      <c r="AM106" s="417">
        <f t="shared" si="46"/>
        <v>0.20435514342799796</v>
      </c>
      <c r="AN106" s="417">
        <f t="shared" si="47"/>
        <v>0.40599859935935939</v>
      </c>
      <c r="AO106" s="417">
        <f t="shared" si="48"/>
        <v>0.31066169930961979</v>
      </c>
      <c r="AP106" s="417">
        <f t="shared" si="49"/>
        <v>7.8984557903022903E-2</v>
      </c>
      <c r="AQ106" s="417">
        <f t="shared" si="50"/>
        <v>1</v>
      </c>
      <c r="AR106" s="1086">
        <f t="shared" si="13"/>
        <v>834.56842902519611</v>
      </c>
      <c r="AS106" s="938">
        <f t="shared" si="14"/>
        <v>1058.4585493210179</v>
      </c>
      <c r="AT106" s="938">
        <f t="shared" si="15"/>
        <v>269.55867446982506</v>
      </c>
      <c r="AU106" s="938">
        <f t="shared" si="16"/>
        <v>0</v>
      </c>
      <c r="AV106" s="938">
        <f t="shared" si="17"/>
        <v>0</v>
      </c>
      <c r="AW106" s="938">
        <f t="shared" si="18"/>
        <v>0</v>
      </c>
      <c r="AX106" s="938">
        <f t="shared" si="19"/>
        <v>1572.4785402385064</v>
      </c>
      <c r="AY106" s="938">
        <f t="shared" si="20"/>
        <v>157.64144982759268</v>
      </c>
      <c r="AZ106" s="938">
        <f t="shared" si="21"/>
        <v>126.32459469797368</v>
      </c>
      <c r="BA106" s="938">
        <f t="shared" si="22"/>
        <v>153.04530304786903</v>
      </c>
      <c r="BB106" s="938">
        <f t="shared" si="23"/>
        <v>62.6564225171199</v>
      </c>
      <c r="BC106" s="530">
        <f t="shared" si="51"/>
        <v>4234.731963145101</v>
      </c>
      <c r="BD106" s="724">
        <f t="shared" si="52"/>
        <v>0</v>
      </c>
      <c r="BE106" s="436">
        <f t="shared" si="53"/>
        <v>0.19707703729266704</v>
      </c>
      <c r="BF106" s="624">
        <f t="shared" si="54"/>
        <v>0.24994699984149868</v>
      </c>
      <c r="BG106" s="624">
        <f t="shared" si="55"/>
        <v>6.3654247025737618E-2</v>
      </c>
      <c r="BH106" s="624">
        <f t="shared" si="56"/>
        <v>0</v>
      </c>
      <c r="BI106" s="624">
        <f t="shared" si="57"/>
        <v>0</v>
      </c>
      <c r="BJ106" s="624">
        <f t="shared" si="58"/>
        <v>0</v>
      </c>
      <c r="BK106" s="624">
        <f t="shared" si="59"/>
        <v>0.48932171584009665</v>
      </c>
      <c r="BL106" s="624">
        <f t="shared" si="60"/>
        <v>1</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87.612656453276486</v>
      </c>
      <c r="BW106" s="114">
        <f t="shared" si="63"/>
        <v>0.55884592170559577</v>
      </c>
      <c r="BX106" s="1689">
        <f t="shared" si="24"/>
        <v>48.876629543919627</v>
      </c>
      <c r="BY106" s="527">
        <f t="shared" si="64"/>
        <v>87.612656453276486</v>
      </c>
      <c r="BZ106" s="417">
        <f t="shared" si="65"/>
        <v>0.55884592170559577</v>
      </c>
      <c r="CA106" s="544">
        <f t="shared" si="25"/>
        <v>48.876629543919627</v>
      </c>
      <c r="CB106" s="649">
        <f t="shared" si="26"/>
        <v>0.23140494815331936</v>
      </c>
      <c r="CC106" s="525">
        <f t="shared" si="66"/>
        <v>0.25160872219290298</v>
      </c>
      <c r="CD106" s="417">
        <f t="shared" si="27"/>
        <v>0.23140494815331936</v>
      </c>
      <c r="CE106" s="525">
        <f t="shared" si="67"/>
        <v>0.25160872219290298</v>
      </c>
      <c r="CF106"/>
      <c r="CG106" s="527">
        <f t="shared" si="68"/>
        <v>1595.1751334354569</v>
      </c>
      <c r="CH106" s="528">
        <f t="shared" si="69"/>
        <v>679.56280313952084</v>
      </c>
      <c r="CI106" s="528">
        <f t="shared" si="70"/>
        <v>2642.6648773127877</v>
      </c>
      <c r="CJ106" s="528">
        <f t="shared" si="71"/>
        <v>3452.8390451908876</v>
      </c>
      <c r="CK106" s="528">
        <f t="shared" si="72"/>
        <v>43.029355232593296</v>
      </c>
      <c r="CL106" s="528">
        <f t="shared" si="73"/>
        <v>8413.2712143112458</v>
      </c>
      <c r="CM106" s="646">
        <f t="shared" si="74"/>
        <v>0</v>
      </c>
    </row>
    <row r="107" spans="1:91" s="464" customFormat="1">
      <c r="A107" s="150">
        <f>'Input data'!A127</f>
        <v>2027</v>
      </c>
      <c r="B107" s="1506">
        <f>'Input data'!B127</f>
        <v>64.191260356766122</v>
      </c>
      <c r="C107" s="1507">
        <f>'Input data'!C127</f>
        <v>3436.4344789089987</v>
      </c>
      <c r="D107" s="1507">
        <f>'Input data'!D127</f>
        <v>48564316.261510797</v>
      </c>
      <c r="E107" s="1455">
        <f t="shared" si="75"/>
        <v>0.93418461538461572</v>
      </c>
      <c r="F107" s="1449">
        <f t="shared" si="76"/>
        <v>0.35144615384615396</v>
      </c>
      <c r="G107" s="1554">
        <f>B107*F107*'Input data'!$C$9</f>
        <v>690.48896858595515</v>
      </c>
      <c r="H107" s="1549">
        <f>'Input data'!I127</f>
        <v>424.26313389388866</v>
      </c>
      <c r="I107" s="1557">
        <f>'Input data'!K127</f>
        <v>27233.985287560132</v>
      </c>
      <c r="J107" s="1557">
        <f>J97*(1-$G$5)</f>
        <v>3900.4110186862777</v>
      </c>
      <c r="K107" s="1511">
        <f t="shared" si="77"/>
        <v>8755.7243600066085</v>
      </c>
      <c r="L107" s="1504">
        <f t="shared" si="28"/>
        <v>0.67230769230769261</v>
      </c>
      <c r="M107" s="1504">
        <f t="shared" si="29"/>
        <v>0.56238461538461526</v>
      </c>
      <c r="N107" s="1504">
        <f t="shared" si="30"/>
        <v>0.85661538461538422</v>
      </c>
      <c r="O107" s="1504">
        <f t="shared" si="31"/>
        <v>0.87692307692307669</v>
      </c>
      <c r="P107" s="1449">
        <f t="shared" si="32"/>
        <v>0.23600000000000002</v>
      </c>
      <c r="Q107" s="1508">
        <f t="shared" si="33"/>
        <v>224.31110766104825</v>
      </c>
      <c r="R107" s="1509">
        <f t="shared" si="34"/>
        <v>156.53126263435399</v>
      </c>
      <c r="S107" s="1509">
        <f t="shared" si="35"/>
        <v>458.38836110380407</v>
      </c>
      <c r="T107" s="1509">
        <f t="shared" si="36"/>
        <v>308.65002704492599</v>
      </c>
      <c r="U107" s="1511">
        <f t="shared" si="37"/>
        <v>0</v>
      </c>
      <c r="V107" s="1509">
        <f t="shared" si="38"/>
        <v>1147.8807584441324</v>
      </c>
      <c r="W107" s="1454">
        <f>$C$27</f>
        <v>0.5</v>
      </c>
      <c r="X107" s="530">
        <f t="shared" si="39"/>
        <v>3033.4854703020706</v>
      </c>
      <c r="Y107" s="1508">
        <f t="shared" si="78"/>
        <v>4181.366228746203</v>
      </c>
      <c r="Z107" s="1509">
        <f t="shared" si="79"/>
        <v>8474.7691499466837</v>
      </c>
      <c r="AA107" s="1511">
        <f t="shared" si="80"/>
        <v>4574.3581312604056</v>
      </c>
      <c r="AB107" s="1091">
        <f t="shared" si="40"/>
        <v>0.53976197467150877</v>
      </c>
      <c r="AC107" s="135" t="str">
        <f t="shared" si="41"/>
        <v>Yes</v>
      </c>
      <c r="AD107" s="1091">
        <f t="shared" si="42"/>
        <v>0.53976197467150877</v>
      </c>
      <c r="AE107" s="649">
        <f t="shared" si="10"/>
        <v>0.24823041972031623</v>
      </c>
      <c r="AF107" s="530">
        <f t="shared" si="43"/>
        <v>318.94811809555193</v>
      </c>
      <c r="AG107" s="528">
        <f t="shared" si="44"/>
        <v>3900.4110186862777</v>
      </c>
      <c r="AH107" s="528">
        <f t="shared" si="81"/>
        <v>8613.112729403827</v>
      </c>
      <c r="AI107" s="528">
        <f t="shared" si="82"/>
        <v>6437.6604656145792</v>
      </c>
      <c r="AJ107" s="528">
        <f t="shared" si="11"/>
        <v>1522.4974752674802</v>
      </c>
      <c r="AK107" s="528">
        <f t="shared" si="45"/>
        <v>20473.681688972163</v>
      </c>
      <c r="AL107" s="716">
        <f t="shared" si="12"/>
        <v>0</v>
      </c>
      <c r="AM107" s="417">
        <f t="shared" si="46"/>
        <v>0.19050853080260471</v>
      </c>
      <c r="AN107" s="417">
        <f t="shared" si="47"/>
        <v>0.42069193319749371</v>
      </c>
      <c r="AO107" s="417">
        <f t="shared" si="48"/>
        <v>0.31443589694383728</v>
      </c>
      <c r="AP107" s="417">
        <f t="shared" si="49"/>
        <v>7.4363639056064371E-2</v>
      </c>
      <c r="AQ107" s="417">
        <f t="shared" si="50"/>
        <v>1.0000000000000002</v>
      </c>
      <c r="AR107" s="1086">
        <f t="shared" si="13"/>
        <v>782.53382238796212</v>
      </c>
      <c r="AS107" s="938">
        <f t="shared" si="14"/>
        <v>992.46459083870627</v>
      </c>
      <c r="AT107" s="938">
        <f t="shared" si="15"/>
        <v>240.41850115859609</v>
      </c>
      <c r="AU107" s="938">
        <f t="shared" si="16"/>
        <v>0</v>
      </c>
      <c r="AV107" s="938">
        <f t="shared" si="17"/>
        <v>0</v>
      </c>
      <c r="AW107" s="938">
        <f t="shared" si="18"/>
        <v>0</v>
      </c>
      <c r="AX107" s="938">
        <f t="shared" si="19"/>
        <v>1462.7117929039164</v>
      </c>
      <c r="AY107" s="938">
        <f t="shared" si="20"/>
        <v>139.43313624667962</v>
      </c>
      <c r="AZ107" s="938">
        <f t="shared" si="21"/>
        <v>96.409740362840495</v>
      </c>
      <c r="BA107" s="938">
        <f t="shared" si="22"/>
        <v>128.15673917567847</v>
      </c>
      <c r="BB107" s="938">
        <f t="shared" si="23"/>
        <v>58.282695611897488</v>
      </c>
      <c r="BC107" s="530">
        <f t="shared" si="51"/>
        <v>3900.4110186862772</v>
      </c>
      <c r="BD107" s="724">
        <f t="shared" si="52"/>
        <v>0</v>
      </c>
      <c r="BE107" s="436">
        <f t="shared" si="53"/>
        <v>0.20062855392392273</v>
      </c>
      <c r="BF107" s="624">
        <f t="shared" si="54"/>
        <v>0.25445128374521531</v>
      </c>
      <c r="BG107" s="624">
        <f t="shared" si="55"/>
        <v>6.1639273401389631E-2</v>
      </c>
      <c r="BH107" s="624">
        <f t="shared" si="56"/>
        <v>0</v>
      </c>
      <c r="BI107" s="624">
        <f t="shared" si="57"/>
        <v>0</v>
      </c>
      <c r="BJ107" s="624">
        <f t="shared" si="58"/>
        <v>0</v>
      </c>
      <c r="BK107" s="624">
        <f t="shared" si="59"/>
        <v>0.48328088892947224</v>
      </c>
      <c r="BL107" s="624">
        <f t="shared" si="60"/>
        <v>1</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87.410390776653131</v>
      </c>
      <c r="BW107" s="114">
        <f t="shared" si="63"/>
        <v>0.57863034728373319</v>
      </c>
      <c r="BX107" s="1689">
        <f t="shared" si="24"/>
        <v>48.564316261510797</v>
      </c>
      <c r="BY107" s="527">
        <f t="shared" si="64"/>
        <v>87.410390776653131</v>
      </c>
      <c r="BZ107" s="417">
        <f t="shared" si="65"/>
        <v>0.57863034728373319</v>
      </c>
      <c r="CA107" s="544">
        <f t="shared" si="25"/>
        <v>48.564316261510797</v>
      </c>
      <c r="CB107" s="649">
        <f t="shared" si="26"/>
        <v>0.24823041972031623</v>
      </c>
      <c r="CC107" s="525">
        <f t="shared" si="66"/>
        <v>0.25549953203324571</v>
      </c>
      <c r="CD107" s="417">
        <f t="shared" si="27"/>
        <v>0.24823041972031623</v>
      </c>
      <c r="CE107" s="525">
        <f t="shared" si="67"/>
        <v>0.25549953203324571</v>
      </c>
      <c r="CF107" s="1"/>
      <c r="CG107" s="527">
        <f t="shared" si="68"/>
        <v>1633.7325674646286</v>
      </c>
      <c r="CH107" s="528">
        <f t="shared" si="69"/>
        <v>702.08592706733941</v>
      </c>
      <c r="CI107" s="528">
        <f t="shared" si="70"/>
        <v>2715.2195687510516</v>
      </c>
      <c r="CJ107" s="528">
        <f t="shared" si="71"/>
        <v>3518.6103083121711</v>
      </c>
      <c r="CK107" s="528">
        <f t="shared" si="72"/>
        <v>43.464357808635029</v>
      </c>
      <c r="CL107" s="528">
        <f t="shared" si="73"/>
        <v>8613.1127294038251</v>
      </c>
      <c r="CM107" s="646">
        <f t="shared" si="74"/>
        <v>0</v>
      </c>
    </row>
    <row r="108" spans="1:91" s="4" customFormat="1">
      <c r="A108" s="150">
        <f>'Input data'!A128</f>
        <v>2028</v>
      </c>
      <c r="B108" s="1506">
        <f>'Input data'!B128</f>
        <v>64.818788725428234</v>
      </c>
      <c r="C108" s="1507">
        <f>'Input data'!C128</f>
        <v>3485.2345926420976</v>
      </c>
      <c r="D108" s="1507">
        <f>'Input data'!D128</f>
        <v>48196370.991930716</v>
      </c>
      <c r="E108" s="1455">
        <f t="shared" si="75"/>
        <v>0.9561230769230773</v>
      </c>
      <c r="F108" s="1449">
        <f t="shared" si="76"/>
        <v>0.35763076923076936</v>
      </c>
      <c r="G108" s="1554">
        <f>B108*F108*'Input data'!$C$9</f>
        <v>709.50887905329228</v>
      </c>
      <c r="H108" s="1549">
        <f>'Input data'!I128</f>
        <v>424.26313389388866</v>
      </c>
      <c r="I108" s="1557">
        <f>'Input data'!K128</f>
        <v>27500.222439856039</v>
      </c>
      <c r="J108" s="1557">
        <f>($J$112-$J$107)/($A$112-$A$107)+J107</f>
        <v>3566.0900742274539</v>
      </c>
      <c r="K108" s="1511">
        <f t="shared" si="77"/>
        <v>9213.7706207096853</v>
      </c>
      <c r="L108" s="1504">
        <f t="shared" si="28"/>
        <v>0.68153846153846187</v>
      </c>
      <c r="M108" s="1504">
        <f t="shared" si="29"/>
        <v>0.57492307692307676</v>
      </c>
      <c r="N108" s="1504">
        <f t="shared" si="30"/>
        <v>0.87107692307692264</v>
      </c>
      <c r="O108" s="1504">
        <f t="shared" si="31"/>
        <v>0.88461538461538436</v>
      </c>
      <c r="P108" s="1449">
        <f t="shared" si="32"/>
        <v>0.23600000000000002</v>
      </c>
      <c r="Q108" s="1508">
        <f t="shared" si="33"/>
        <v>249.15434962615245</v>
      </c>
      <c r="R108" s="1509">
        <f t="shared" si="34"/>
        <v>173.86764901877143</v>
      </c>
      <c r="S108" s="1509">
        <f t="shared" si="35"/>
        <v>509.15647993498351</v>
      </c>
      <c r="T108" s="1509">
        <f t="shared" si="36"/>
        <v>342.83410015823756</v>
      </c>
      <c r="U108" s="1511">
        <f t="shared" si="37"/>
        <v>0</v>
      </c>
      <c r="V108" s="1509">
        <f t="shared" si="38"/>
        <v>1275.0125787381448</v>
      </c>
      <c r="W108" s="1454">
        <f>W107</f>
        <v>0.5</v>
      </c>
      <c r="X108" s="530">
        <f t="shared" si="39"/>
        <v>3033.4854703020706</v>
      </c>
      <c r="Y108" s="1508">
        <f t="shared" si="78"/>
        <v>4308.4980490402158</v>
      </c>
      <c r="Z108" s="1509">
        <f t="shared" si="79"/>
        <v>8471.3626458969229</v>
      </c>
      <c r="AA108" s="1511">
        <f t="shared" si="80"/>
        <v>4905.2725716694695</v>
      </c>
      <c r="AB108" s="1091">
        <f t="shared" si="40"/>
        <v>0.57904174059238533</v>
      </c>
      <c r="AC108" s="135" t="str">
        <f t="shared" si="41"/>
        <v>Yes</v>
      </c>
      <c r="AD108" s="1091">
        <f t="shared" si="42"/>
        <v>0.57904174059238533</v>
      </c>
      <c r="AE108" s="649">
        <f t="shared" si="10"/>
        <v>0.2646188378775074</v>
      </c>
      <c r="AF108" s="530">
        <f t="shared" si="43"/>
        <v>311.99511644861855</v>
      </c>
      <c r="AG108" s="528">
        <f t="shared" si="44"/>
        <v>3566.0900742274539</v>
      </c>
      <c r="AH108" s="528">
        <f t="shared" si="81"/>
        <v>8813.2240303060098</v>
      </c>
      <c r="AI108" s="528">
        <f t="shared" si="82"/>
        <v>6437.6604656145792</v>
      </c>
      <c r="AJ108" s="528">
        <f t="shared" si="11"/>
        <v>1406.1709663003417</v>
      </c>
      <c r="AK108" s="528">
        <f t="shared" si="45"/>
        <v>20223.145536448385</v>
      </c>
      <c r="AL108" s="716">
        <f t="shared" si="12"/>
        <v>0</v>
      </c>
      <c r="AM108" s="417">
        <f t="shared" si="46"/>
        <v>0.176337062293314</v>
      </c>
      <c r="AN108" s="417">
        <f t="shared" si="47"/>
        <v>0.43579887285199254</v>
      </c>
      <c r="AO108" s="417">
        <f t="shared" si="48"/>
        <v>0.31833131270365023</v>
      </c>
      <c r="AP108" s="417">
        <f t="shared" si="49"/>
        <v>6.9532752151043223E-2</v>
      </c>
      <c r="AQ108" s="417">
        <f t="shared" si="50"/>
        <v>1</v>
      </c>
      <c r="AR108" s="1086">
        <f t="shared" si="13"/>
        <v>728.24783795285452</v>
      </c>
      <c r="AS108" s="938">
        <f t="shared" si="14"/>
        <v>923.61527622856477</v>
      </c>
      <c r="AT108" s="938">
        <f t="shared" si="15"/>
        <v>212.51444043407614</v>
      </c>
      <c r="AU108" s="938">
        <f t="shared" si="16"/>
        <v>0</v>
      </c>
      <c r="AV108" s="938">
        <f t="shared" si="17"/>
        <v>0</v>
      </c>
      <c r="AW108" s="938">
        <f t="shared" si="18"/>
        <v>0</v>
      </c>
      <c r="AX108" s="938">
        <f t="shared" si="19"/>
        <v>1350.953212507135</v>
      </c>
      <c r="AY108" s="938">
        <f t="shared" si="20"/>
        <v>122.12600993275862</v>
      </c>
      <c r="AZ108" s="938">
        <f t="shared" si="21"/>
        <v>69.558673440379252</v>
      </c>
      <c r="BA108" s="938">
        <f t="shared" si="22"/>
        <v>105.24502089915943</v>
      </c>
      <c r="BB108" s="938">
        <f t="shared" si="23"/>
        <v>53.829602832525026</v>
      </c>
      <c r="BC108" s="530">
        <f t="shared" si="51"/>
        <v>3566.0900742274525</v>
      </c>
      <c r="BD108" s="724">
        <f t="shared" si="52"/>
        <v>0</v>
      </c>
      <c r="BE108" s="436">
        <f t="shared" si="53"/>
        <v>0.20421465044194656</v>
      </c>
      <c r="BF108" s="624">
        <f t="shared" si="54"/>
        <v>0.25899942430047962</v>
      </c>
      <c r="BG108" s="624">
        <f t="shared" si="55"/>
        <v>5.9593121881565105E-2</v>
      </c>
      <c r="BH108" s="624">
        <f t="shared" si="56"/>
        <v>0</v>
      </c>
      <c r="BI108" s="624">
        <f t="shared" si="57"/>
        <v>0</v>
      </c>
      <c r="BJ108" s="624">
        <f t="shared" si="58"/>
        <v>0</v>
      </c>
      <c r="BK108" s="624">
        <f t="shared" si="59"/>
        <v>0.47719280337600883</v>
      </c>
      <c r="BL108" s="624">
        <f t="shared" si="60"/>
        <v>1</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87.042134181946935</v>
      </c>
      <c r="BW108" s="114">
        <f t="shared" si="63"/>
        <v>0.59797082493887088</v>
      </c>
      <c r="BX108" s="1689">
        <f t="shared" si="24"/>
        <v>48.196370991930714</v>
      </c>
      <c r="BY108" s="527">
        <f t="shared" si="64"/>
        <v>87.042134181946935</v>
      </c>
      <c r="BZ108" s="417">
        <f t="shared" si="65"/>
        <v>0.59797082493887088</v>
      </c>
      <c r="CA108" s="544">
        <f t="shared" si="25"/>
        <v>48.196370991930714</v>
      </c>
      <c r="CB108" s="649">
        <f t="shared" si="26"/>
        <v>0.2646188378775074</v>
      </c>
      <c r="CC108" s="525">
        <f t="shared" si="66"/>
        <v>0.25861615901728963</v>
      </c>
      <c r="CD108" s="417">
        <f t="shared" si="27"/>
        <v>0.2646188378775074</v>
      </c>
      <c r="CE108" s="525">
        <f t="shared" si="67"/>
        <v>0.25861615901728963</v>
      </c>
      <c r="CF108"/>
      <c r="CG108" s="527">
        <f t="shared" si="68"/>
        <v>1672.354195217958</v>
      </c>
      <c r="CH108" s="528">
        <f t="shared" si="69"/>
        <v>724.75561002024438</v>
      </c>
      <c r="CI108" s="528">
        <f t="shared" si="70"/>
        <v>2788.0502798760949</v>
      </c>
      <c r="CJ108" s="528">
        <f t="shared" si="71"/>
        <v>3584.1746834724963</v>
      </c>
      <c r="CK108" s="528">
        <f t="shared" si="72"/>
        <v>43.889261719214254</v>
      </c>
      <c r="CL108" s="528">
        <f t="shared" si="73"/>
        <v>8813.224030306008</v>
      </c>
      <c r="CM108" s="646">
        <f t="shared" si="74"/>
        <v>0</v>
      </c>
    </row>
    <row r="109" spans="1:91" s="4" customFormat="1">
      <c r="A109" s="150">
        <f>'Input data'!A129</f>
        <v>2029</v>
      </c>
      <c r="B109" s="1506">
        <f>'Input data'!B129</f>
        <v>65.435442210930105</v>
      </c>
      <c r="C109" s="1507">
        <f>'Input data'!C129</f>
        <v>3537.8042151577115</v>
      </c>
      <c r="D109" s="1507">
        <f>'Input data'!D129</f>
        <v>46504880.945737489</v>
      </c>
      <c r="E109" s="1455">
        <f t="shared" si="75"/>
        <v>0.97806153846153887</v>
      </c>
      <c r="F109" s="1449">
        <f t="shared" si="76"/>
        <v>0.36381538461538476</v>
      </c>
      <c r="G109" s="1554">
        <f>B109*F109*'Input data'!$C$9</f>
        <v>728.64526766221286</v>
      </c>
      <c r="H109" s="1549">
        <f>'Input data'!I129</f>
        <v>424.26313389388866</v>
      </c>
      <c r="I109" s="1557">
        <f>'Input data'!K129</f>
        <v>27761.845780141652</v>
      </c>
      <c r="J109" s="1557">
        <f t="shared" ref="J109:J111" si="86">($J$112-$J$107)/($A$112-$A$107)+J108</f>
        <v>3231.7691297686301</v>
      </c>
      <c r="K109" s="1511">
        <f t="shared" si="77"/>
        <v>9669.6727578554637</v>
      </c>
      <c r="L109" s="1504">
        <f t="shared" si="28"/>
        <v>0.69076923076923114</v>
      </c>
      <c r="M109" s="1504">
        <f t="shared" si="29"/>
        <v>0.58746153846153826</v>
      </c>
      <c r="N109" s="1504">
        <f t="shared" si="30"/>
        <v>0.88553846153846105</v>
      </c>
      <c r="O109" s="1504">
        <f t="shared" si="31"/>
        <v>0.89230769230769202</v>
      </c>
      <c r="P109" s="1449">
        <f t="shared" si="32"/>
        <v>0.23600000000000002</v>
      </c>
      <c r="Q109" s="1508">
        <f t="shared" si="33"/>
        <v>274.3905592327651</v>
      </c>
      <c r="R109" s="1509">
        <f t="shared" si="34"/>
        <v>191.47826043707619</v>
      </c>
      <c r="S109" s="1509">
        <f t="shared" si="35"/>
        <v>560.72764322988041</v>
      </c>
      <c r="T109" s="1509">
        <f t="shared" si="36"/>
        <v>377.55889314246406</v>
      </c>
      <c r="U109" s="1511">
        <f t="shared" si="37"/>
        <v>0</v>
      </c>
      <c r="V109" s="1509">
        <f t="shared" si="38"/>
        <v>1404.1553560421858</v>
      </c>
      <c r="W109" s="1454">
        <f t="shared" ref="W109:W130" si="87">W108</f>
        <v>0.5</v>
      </c>
      <c r="X109" s="530">
        <f t="shared" si="39"/>
        <v>3033.4854703020706</v>
      </c>
      <c r="Y109" s="1508">
        <f t="shared" si="78"/>
        <v>4437.6408263442563</v>
      </c>
      <c r="Z109" s="1509">
        <f t="shared" si="79"/>
        <v>8463.8010612798389</v>
      </c>
      <c r="AA109" s="1511">
        <f t="shared" si="80"/>
        <v>5232.0319315112083</v>
      </c>
      <c r="AB109" s="1091">
        <f t="shared" si="40"/>
        <v>0.61816575007258689</v>
      </c>
      <c r="AC109" s="135" t="str">
        <f t="shared" si="41"/>
        <v>Yes</v>
      </c>
      <c r="AD109" s="1091">
        <f t="shared" si="42"/>
        <v>0.61816575007258689</v>
      </c>
      <c r="AE109" s="649">
        <f t="shared" si="10"/>
        <v>0.28062685187122149</v>
      </c>
      <c r="AF109" s="530">
        <f t="shared" si="43"/>
        <v>305.20350626422811</v>
      </c>
      <c r="AG109" s="528">
        <f t="shared" si="44"/>
        <v>3231.7691297686301</v>
      </c>
      <c r="AH109" s="528">
        <f t="shared" si="81"/>
        <v>9014.0815751560822</v>
      </c>
      <c r="AI109" s="528">
        <f t="shared" si="82"/>
        <v>6437.6604656145792</v>
      </c>
      <c r="AJ109" s="528">
        <f t="shared" si="11"/>
        <v>1287.6152261868529</v>
      </c>
      <c r="AK109" s="528">
        <f t="shared" si="45"/>
        <v>19971.126396726144</v>
      </c>
      <c r="AL109" s="716">
        <f t="shared" si="12"/>
        <v>0</v>
      </c>
      <c r="AM109" s="417">
        <f t="shared" si="46"/>
        <v>0.16182207580932503</v>
      </c>
      <c r="AN109" s="417">
        <f t="shared" si="47"/>
        <v>0.4513556920171391</v>
      </c>
      <c r="AO109" s="417">
        <f t="shared" si="48"/>
        <v>0.32234839125898784</v>
      </c>
      <c r="AP109" s="417">
        <f t="shared" si="49"/>
        <v>6.4473840914548067E-2</v>
      </c>
      <c r="AQ109" s="417">
        <f t="shared" si="50"/>
        <v>1</v>
      </c>
      <c r="AR109" s="1086">
        <f t="shared" si="13"/>
        <v>671.70655630519468</v>
      </c>
      <c r="AS109" s="938">
        <f t="shared" si="14"/>
        <v>851.90563461243516</v>
      </c>
      <c r="AT109" s="938">
        <f t="shared" si="15"/>
        <v>185.86615029872362</v>
      </c>
      <c r="AU109" s="938">
        <f t="shared" si="16"/>
        <v>0</v>
      </c>
      <c r="AV109" s="938">
        <f t="shared" si="17"/>
        <v>0</v>
      </c>
      <c r="AW109" s="938">
        <f t="shared" si="18"/>
        <v>0</v>
      </c>
      <c r="AX109" s="938">
        <f t="shared" si="19"/>
        <v>1237.0529387809106</v>
      </c>
      <c r="AY109" s="938">
        <f t="shared" si="20"/>
        <v>105.73669222201612</v>
      </c>
      <c r="AZ109" s="938">
        <f t="shared" si="21"/>
        <v>45.852024244949106</v>
      </c>
      <c r="BA109" s="938">
        <f t="shared" si="22"/>
        <v>84.357960404485041</v>
      </c>
      <c r="BB109" s="938">
        <f t="shared" si="23"/>
        <v>49.291172899914628</v>
      </c>
      <c r="BC109" s="530">
        <f t="shared" si="51"/>
        <v>3231.7691297686292</v>
      </c>
      <c r="BD109" s="724">
        <f t="shared" si="52"/>
        <v>0</v>
      </c>
      <c r="BE109" s="436">
        <f t="shared" si="53"/>
        <v>0.2078448457589184</v>
      </c>
      <c r="BF109" s="624">
        <f t="shared" si="54"/>
        <v>0.26360349406314965</v>
      </c>
      <c r="BG109" s="624">
        <f t="shared" si="55"/>
        <v>5.7512199304914538E-2</v>
      </c>
      <c r="BH109" s="624">
        <f t="shared" si="56"/>
        <v>0</v>
      </c>
      <c r="BI109" s="624">
        <f t="shared" si="57"/>
        <v>0</v>
      </c>
      <c r="BJ109" s="624">
        <f t="shared" si="58"/>
        <v>0</v>
      </c>
      <c r="BK109" s="624">
        <f t="shared" si="59"/>
        <v>0.47103946087301729</v>
      </c>
      <c r="BL109" s="624">
        <f t="shared" si="60"/>
        <v>0.99999999999999989</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85.368178153064562</v>
      </c>
      <c r="BW109" s="114">
        <f t="shared" si="63"/>
        <v>0.62110656247266083</v>
      </c>
      <c r="BX109" s="1689">
        <f t="shared" si="24"/>
        <v>46.50488094573749</v>
      </c>
      <c r="BY109" s="527">
        <f t="shared" si="64"/>
        <v>85.368178153064562</v>
      </c>
      <c r="BZ109" s="417">
        <f t="shared" si="65"/>
        <v>0.62110656247266083</v>
      </c>
      <c r="CA109" s="544">
        <f t="shared" si="25"/>
        <v>46.50488094573749</v>
      </c>
      <c r="CB109" s="649">
        <f t="shared" si="26"/>
        <v>0.28062685187122149</v>
      </c>
      <c r="CC109" s="525">
        <f t="shared" si="66"/>
        <v>0.26576566386252065</v>
      </c>
      <c r="CD109" s="417">
        <f t="shared" si="27"/>
        <v>0.28062685187122149</v>
      </c>
      <c r="CE109" s="525">
        <f t="shared" si="67"/>
        <v>0.26576566386252065</v>
      </c>
      <c r="CF109"/>
      <c r="CG109" s="527">
        <f t="shared" si="68"/>
        <v>1711.1300152154326</v>
      </c>
      <c r="CH109" s="528">
        <f t="shared" si="69"/>
        <v>747.60709353678567</v>
      </c>
      <c r="CI109" s="528">
        <f t="shared" si="70"/>
        <v>2861.3016971907805</v>
      </c>
      <c r="CJ109" s="528">
        <f t="shared" si="71"/>
        <v>3649.7359670438304</v>
      </c>
      <c r="CK109" s="528">
        <f t="shared" si="72"/>
        <v>44.306802169251078</v>
      </c>
      <c r="CL109" s="528">
        <f t="shared" si="73"/>
        <v>9014.0815751560804</v>
      </c>
      <c r="CM109" s="646">
        <f t="shared" si="74"/>
        <v>0</v>
      </c>
    </row>
    <row r="110" spans="1:91" s="464" customFormat="1">
      <c r="A110" s="150">
        <f>'Input data'!A130</f>
        <v>2030</v>
      </c>
      <c r="B110" s="1506">
        <f>'Input data'!B130</f>
        <v>66.040790860694059</v>
      </c>
      <c r="C110" s="1507">
        <f>'Input data'!C130</f>
        <v>3601.1809165553482</v>
      </c>
      <c r="D110" s="1507">
        <f>'Input data'!D130</f>
        <v>44627656.242225982</v>
      </c>
      <c r="E110" s="1455">
        <f>C53</f>
        <v>1</v>
      </c>
      <c r="F110" s="1449">
        <f>D53</f>
        <v>0.37</v>
      </c>
      <c r="G110" s="1554">
        <f>B110*F110*'Input data'!$C$9</f>
        <v>747.88708974120425</v>
      </c>
      <c r="H110" s="1549">
        <f>'Input data'!I130</f>
        <v>424.26313389388866</v>
      </c>
      <c r="I110" s="1557">
        <f>'Input data'!K130</f>
        <v>28018.672895388943</v>
      </c>
      <c r="J110" s="1557">
        <f t="shared" si="86"/>
        <v>2897.4481853098064</v>
      </c>
      <c r="K110" s="1511">
        <f t="shared" si="77"/>
        <v>10123.346000744647</v>
      </c>
      <c r="L110" s="1449">
        <f>C19</f>
        <v>0.7</v>
      </c>
      <c r="M110" s="1449">
        <f>D19</f>
        <v>0.6</v>
      </c>
      <c r="N110" s="1449">
        <f>E19</f>
        <v>0.9</v>
      </c>
      <c r="O110" s="1449">
        <f>F19</f>
        <v>0.9</v>
      </c>
      <c r="P110" s="1449">
        <f>G19</f>
        <v>0.23600000000000002</v>
      </c>
      <c r="Q110" s="1508">
        <f t="shared" si="33"/>
        <v>300.00638289969538</v>
      </c>
      <c r="R110" s="1509">
        <f t="shared" si="34"/>
        <v>209.35377834527856</v>
      </c>
      <c r="S110" s="1509">
        <f t="shared" si="35"/>
        <v>613.0745624326164</v>
      </c>
      <c r="T110" s="1509">
        <f t="shared" si="36"/>
        <v>412.8060315923517</v>
      </c>
      <c r="U110" s="1511">
        <f t="shared" si="37"/>
        <v>0</v>
      </c>
      <c r="V110" s="1509">
        <f t="shared" si="38"/>
        <v>1535.2407552699419</v>
      </c>
      <c r="W110" s="1454">
        <f t="shared" si="87"/>
        <v>0.5</v>
      </c>
      <c r="X110" s="530">
        <f t="shared" si="39"/>
        <v>3033.4854703020706</v>
      </c>
      <c r="Y110" s="1508">
        <f t="shared" si="78"/>
        <v>4568.7262255720125</v>
      </c>
      <c r="Z110" s="1509">
        <f t="shared" si="79"/>
        <v>8452.06796048244</v>
      </c>
      <c r="AA110" s="1511">
        <f t="shared" si="80"/>
        <v>5554.619775172634</v>
      </c>
      <c r="AB110" s="1091">
        <f t="shared" si="40"/>
        <v>0.65719061904651077</v>
      </c>
      <c r="AC110" s="135" t="str">
        <f t="shared" si="41"/>
        <v>Yes</v>
      </c>
      <c r="AD110" s="1091">
        <f t="shared" si="42"/>
        <v>0.65719061904651077</v>
      </c>
      <c r="AE110" s="649">
        <f t="shared" si="10"/>
        <v>0.29627693816720957</v>
      </c>
      <c r="AF110" s="530">
        <f t="shared" si="43"/>
        <v>298.56375160658246</v>
      </c>
      <c r="AG110" s="528">
        <f t="shared" si="44"/>
        <v>2897.4481853098064</v>
      </c>
      <c r="AH110" s="528">
        <f t="shared" si="81"/>
        <v>9215.5670268003014</v>
      </c>
      <c r="AI110" s="528">
        <f t="shared" si="82"/>
        <v>6437.6604656145792</v>
      </c>
      <c r="AJ110" s="528">
        <f t="shared" si="11"/>
        <v>1166.7106007098362</v>
      </c>
      <c r="AK110" s="528">
        <f t="shared" si="45"/>
        <v>19717.386278434522</v>
      </c>
      <c r="AL110" s="716">
        <f t="shared" si="12"/>
        <v>0</v>
      </c>
      <c r="AM110" s="417">
        <f t="shared" si="46"/>
        <v>0.14694889801285832</v>
      </c>
      <c r="AN110" s="417">
        <f t="shared" si="47"/>
        <v>0.46738279083570194</v>
      </c>
      <c r="AO110" s="417">
        <f t="shared" si="48"/>
        <v>0.32649664487506824</v>
      </c>
      <c r="AP110" s="417">
        <f t="shared" si="49"/>
        <v>5.9171666276371604E-2</v>
      </c>
      <c r="AQ110" s="417">
        <f t="shared" si="50"/>
        <v>1</v>
      </c>
      <c r="AR110" s="1086">
        <f t="shared" si="13"/>
        <v>612.87582041758969</v>
      </c>
      <c r="AS110" s="938">
        <f t="shared" si="14"/>
        <v>777.292345638857</v>
      </c>
      <c r="AT110" s="938">
        <f t="shared" si="15"/>
        <v>160.50251758170836</v>
      </c>
      <c r="AU110" s="938">
        <f t="shared" si="16"/>
        <v>0</v>
      </c>
      <c r="AV110" s="938">
        <f t="shared" si="17"/>
        <v>0</v>
      </c>
      <c r="AW110" s="938">
        <f t="shared" si="18"/>
        <v>0</v>
      </c>
      <c r="AX110" s="938">
        <f t="shared" si="19"/>
        <v>1120.8960161096306</v>
      </c>
      <c r="AY110" s="938">
        <f t="shared" si="20"/>
        <v>90.287568375093656</v>
      </c>
      <c r="AZ110" s="938">
        <f t="shared" si="21"/>
        <v>25.379859191228938</v>
      </c>
      <c r="BA110" s="938">
        <f t="shared" si="22"/>
        <v>65.551232662341533</v>
      </c>
      <c r="BB110" s="938">
        <f t="shared" si="23"/>
        <v>44.662825333355002</v>
      </c>
      <c r="BC110" s="530">
        <f t="shared" si="51"/>
        <v>2897.448185309805</v>
      </c>
      <c r="BD110" s="724">
        <f t="shared" si="52"/>
        <v>0</v>
      </c>
      <c r="BE110" s="436">
        <f t="shared" si="53"/>
        <v>0.21152261618513082</v>
      </c>
      <c r="BF110" s="624">
        <f t="shared" si="54"/>
        <v>0.26826790193514582</v>
      </c>
      <c r="BG110" s="624">
        <f t="shared" si="55"/>
        <v>5.5394439284700059E-2</v>
      </c>
      <c r="BH110" s="624">
        <f t="shared" si="56"/>
        <v>0</v>
      </c>
      <c r="BI110" s="624">
        <f t="shared" si="57"/>
        <v>0</v>
      </c>
      <c r="BJ110" s="624">
        <f t="shared" si="58"/>
        <v>0</v>
      </c>
      <c r="BK110" s="624">
        <f t="shared" si="59"/>
        <v>0.46481504259502315</v>
      </c>
      <c r="BL110" s="624">
        <f t="shared" si="60"/>
        <v>0.99999999999999989</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83.562180282260599</v>
      </c>
      <c r="BW110" s="114">
        <f t="shared" si="63"/>
        <v>0.64488669598602022</v>
      </c>
      <c r="BX110" s="1689">
        <f t="shared" si="24"/>
        <v>44.627656242225981</v>
      </c>
      <c r="BY110" s="527">
        <f t="shared" si="64"/>
        <v>83.562180282260599</v>
      </c>
      <c r="BZ110" s="417">
        <f t="shared" si="65"/>
        <v>0.64488669598602022</v>
      </c>
      <c r="CA110" s="544">
        <f t="shared" si="25"/>
        <v>44.627656242225981</v>
      </c>
      <c r="CB110" s="649">
        <f t="shared" si="26"/>
        <v>0.29627693816720957</v>
      </c>
      <c r="CC110" s="525">
        <f t="shared" si="66"/>
        <v>0.27410846670370259</v>
      </c>
      <c r="CD110" s="417">
        <f t="shared" si="27"/>
        <v>0.29627693816720957</v>
      </c>
      <c r="CE110" s="525">
        <f t="shared" si="67"/>
        <v>0.27410846670370259</v>
      </c>
      <c r="CF110" s="1"/>
      <c r="CG110" s="527">
        <f t="shared" si="68"/>
        <v>1750.0372335815559</v>
      </c>
      <c r="CH110" s="528">
        <f t="shared" si="69"/>
        <v>770.627404951946</v>
      </c>
      <c r="CI110" s="528">
        <f t="shared" si="70"/>
        <v>2934.931415900824</v>
      </c>
      <c r="CJ110" s="528">
        <f t="shared" si="71"/>
        <v>3715.2542843311703</v>
      </c>
      <c r="CK110" s="528">
        <f t="shared" si="72"/>
        <v>44.716688034804761</v>
      </c>
      <c r="CL110" s="528">
        <f t="shared" si="73"/>
        <v>9215.5670268003014</v>
      </c>
      <c r="CM110" s="646">
        <f t="shared" si="74"/>
        <v>0</v>
      </c>
    </row>
    <row r="111" spans="1:91" s="4" customFormat="1">
      <c r="A111" s="150">
        <f>'Input data'!A131</f>
        <v>2031</v>
      </c>
      <c r="B111" s="1506">
        <f>'Input data'!B131</f>
        <v>66.6344094187031</v>
      </c>
      <c r="C111" s="1507">
        <f>'Input data'!C131</f>
        <v>3689.3743282354972</v>
      </c>
      <c r="D111" s="1507">
        <f>'Input data'!D131</f>
        <v>43830165.240535274</v>
      </c>
      <c r="E111" s="1455">
        <f>E110</f>
        <v>1</v>
      </c>
      <c r="F111" s="1449">
        <f>F110</f>
        <v>0.37</v>
      </c>
      <c r="G111" s="1554">
        <f>B111*F111*'Input data'!$C$9</f>
        <v>754.60959639171108</v>
      </c>
      <c r="H111" s="1549">
        <f>'Input data'!I131</f>
        <v>424.26313389388866</v>
      </c>
      <c r="I111" s="1557">
        <f>'Input data'!K131</f>
        <v>28270.52336514743</v>
      </c>
      <c r="J111" s="1557">
        <f t="shared" si="86"/>
        <v>2563.1272408509826</v>
      </c>
      <c r="K111" s="1511">
        <f t="shared" si="77"/>
        <v>10574.706504665477</v>
      </c>
      <c r="L111" s="1449">
        <f>L110</f>
        <v>0.7</v>
      </c>
      <c r="M111" s="1449">
        <f t="shared" ref="M111:P126" si="88">M110</f>
        <v>0.6</v>
      </c>
      <c r="N111" s="1449">
        <f t="shared" si="88"/>
        <v>0.9</v>
      </c>
      <c r="O111" s="1449">
        <f t="shared" si="88"/>
        <v>0.9</v>
      </c>
      <c r="P111" s="1449">
        <f t="shared" si="88"/>
        <v>0.23600000000000002</v>
      </c>
      <c r="Q111" s="1508">
        <f t="shared" si="33"/>
        <v>302.70303983080453</v>
      </c>
      <c r="R111" s="1509">
        <f t="shared" si="34"/>
        <v>211.23558936533766</v>
      </c>
      <c r="S111" s="1509">
        <f t="shared" si="35"/>
        <v>618.58528441156659</v>
      </c>
      <c r="T111" s="1509">
        <f t="shared" si="36"/>
        <v>416.51660679924453</v>
      </c>
      <c r="U111" s="1511">
        <f t="shared" si="37"/>
        <v>0</v>
      </c>
      <c r="V111" s="1509">
        <f t="shared" si="38"/>
        <v>1549.0405204069534</v>
      </c>
      <c r="W111" s="1454">
        <f t="shared" si="87"/>
        <v>0.5</v>
      </c>
      <c r="X111" s="530">
        <f t="shared" si="39"/>
        <v>3033.4854703020706</v>
      </c>
      <c r="Y111" s="1508">
        <f t="shared" si="78"/>
        <v>4582.525990709024</v>
      </c>
      <c r="Z111" s="1509">
        <f t="shared" si="79"/>
        <v>8555.3077548074361</v>
      </c>
      <c r="AA111" s="1511">
        <f t="shared" si="80"/>
        <v>5992.1805139564531</v>
      </c>
      <c r="AB111" s="1091">
        <f t="shared" si="40"/>
        <v>0.70040502173510943</v>
      </c>
      <c r="AC111" s="135" t="str">
        <f t="shared" si="41"/>
        <v>Yes</v>
      </c>
      <c r="AD111" s="1091">
        <f t="shared" si="42"/>
        <v>0.70040502173510943</v>
      </c>
      <c r="AE111" s="649">
        <f t="shared" si="10"/>
        <v>0.31632001082729411</v>
      </c>
      <c r="AF111" s="530">
        <f t="shared" si="43"/>
        <v>290.06021478695209</v>
      </c>
      <c r="AG111" s="528">
        <f t="shared" si="44"/>
        <v>2563.1272408509826</v>
      </c>
      <c r="AH111" s="528">
        <f t="shared" si="81"/>
        <v>9298.4026733512983</v>
      </c>
      <c r="AI111" s="528">
        <f t="shared" si="82"/>
        <v>6437.6604656145792</v>
      </c>
      <c r="AJ111" s="528">
        <f t="shared" si="11"/>
        <v>1028.8007283738625</v>
      </c>
      <c r="AK111" s="528">
        <f t="shared" si="45"/>
        <v>19327.991108190723</v>
      </c>
      <c r="AL111" s="716">
        <f t="shared" si="12"/>
        <v>0</v>
      </c>
      <c r="AM111" s="417">
        <f t="shared" si="46"/>
        <v>0.13261219060499221</v>
      </c>
      <c r="AN111" s="417">
        <f t="shared" si="47"/>
        <v>0.48108479672317656</v>
      </c>
      <c r="AO111" s="417">
        <f t="shared" si="48"/>
        <v>0.33307447367804605</v>
      </c>
      <c r="AP111" s="417">
        <f t="shared" si="49"/>
        <v>5.322853899378515E-2</v>
      </c>
      <c r="AQ111" s="417">
        <f t="shared" si="50"/>
        <v>0.99999999999999989</v>
      </c>
      <c r="AR111" s="1086">
        <f t="shared" si="13"/>
        <v>544.03288550003936</v>
      </c>
      <c r="AS111" s="938">
        <f t="shared" si="14"/>
        <v>689.98087962888189</v>
      </c>
      <c r="AT111" s="938">
        <f t="shared" si="15"/>
        <v>141.53047627529642</v>
      </c>
      <c r="AU111" s="938">
        <f t="shared" si="16"/>
        <v>0</v>
      </c>
      <c r="AV111" s="938">
        <f t="shared" si="17"/>
        <v>0</v>
      </c>
      <c r="AW111" s="938">
        <f t="shared" si="18"/>
        <v>0</v>
      </c>
      <c r="AX111" s="938">
        <f t="shared" si="19"/>
        <v>988.40161142218619</v>
      </c>
      <c r="AY111" s="938">
        <f t="shared" si="20"/>
        <v>79.615215676353216</v>
      </c>
      <c r="AZ111" s="938">
        <f t="shared" si="21"/>
        <v>22.379858043696803</v>
      </c>
      <c r="BA111" s="938">
        <f t="shared" si="22"/>
        <v>57.802814054994414</v>
      </c>
      <c r="BB111" s="938">
        <f t="shared" si="23"/>
        <v>39.383500249534364</v>
      </c>
      <c r="BC111" s="530">
        <f t="shared" si="51"/>
        <v>2563.1272408509831</v>
      </c>
      <c r="BD111" s="724">
        <f t="shared" si="52"/>
        <v>0</v>
      </c>
      <c r="BE111" s="436">
        <f t="shared" si="53"/>
        <v>0.21225356152019015</v>
      </c>
      <c r="BF111" s="624">
        <f t="shared" si="54"/>
        <v>0.26919493836747704</v>
      </c>
      <c r="BG111" s="624">
        <f t="shared" si="55"/>
        <v>5.5217889310991419E-2</v>
      </c>
      <c r="BH111" s="624">
        <f t="shared" si="56"/>
        <v>0</v>
      </c>
      <c r="BI111" s="624">
        <f t="shared" si="57"/>
        <v>0</v>
      </c>
      <c r="BJ111" s="624">
        <f t="shared" si="58"/>
        <v>0</v>
      </c>
      <c r="BK111" s="624">
        <f t="shared" si="59"/>
        <v>0.46333361080134122</v>
      </c>
      <c r="BL111" s="624">
        <f t="shared" si="60"/>
        <v>0.99999999999999978</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82.827509884575605</v>
      </c>
      <c r="BW111" s="114">
        <f t="shared" si="63"/>
        <v>0.65155023463349604</v>
      </c>
      <c r="BX111" s="1689">
        <f t="shared" si="24"/>
        <v>43.830165240535273</v>
      </c>
      <c r="BY111" s="527">
        <f t="shared" si="64"/>
        <v>82.827509884575605</v>
      </c>
      <c r="BZ111" s="417">
        <f t="shared" si="65"/>
        <v>0.65155023463349604</v>
      </c>
      <c r="CA111" s="544">
        <f t="shared" si="25"/>
        <v>43.830165240535273</v>
      </c>
      <c r="CB111" s="649">
        <f t="shared" si="26"/>
        <v>0.31632001082729411</v>
      </c>
      <c r="CC111" s="525">
        <f t="shared" si="66"/>
        <v>0.28019114672951217</v>
      </c>
      <c r="CD111" s="417">
        <f t="shared" si="27"/>
        <v>0.31632001082729411</v>
      </c>
      <c r="CE111" s="525">
        <f t="shared" si="67"/>
        <v>0.28019114672951217</v>
      </c>
      <c r="CF111"/>
      <c r="CG111" s="527">
        <f t="shared" si="68"/>
        <v>1765.7677323463599</v>
      </c>
      <c r="CH111" s="528">
        <f t="shared" si="69"/>
        <v>777.55431668222479</v>
      </c>
      <c r="CI111" s="528">
        <f t="shared" si="70"/>
        <v>2961.3125317575</v>
      </c>
      <c r="CJ111" s="528">
        <f t="shared" si="71"/>
        <v>3748.6494611932058</v>
      </c>
      <c r="CK111" s="528">
        <f t="shared" si="72"/>
        <v>45.118631372009098</v>
      </c>
      <c r="CL111" s="528">
        <f t="shared" si="73"/>
        <v>9298.4026733513019</v>
      </c>
      <c r="CM111" s="646">
        <f t="shared" si="74"/>
        <v>0</v>
      </c>
    </row>
    <row r="112" spans="1:91" s="4" customFormat="1">
      <c r="A112" s="150">
        <f>'Input data'!A132</f>
        <v>2032</v>
      </c>
      <c r="B112" s="1506">
        <f>'Input data'!B132</f>
        <v>67.215877817791679</v>
      </c>
      <c r="C112" s="1507">
        <f>'Input data'!C132</f>
        <v>3770.9504220066083</v>
      </c>
      <c r="D112" s="1507">
        <f>'Input data'!D132</f>
        <v>42600148.259036541</v>
      </c>
      <c r="E112" s="1455">
        <f t="shared" ref="E112:F127" si="89">E111</f>
        <v>1</v>
      </c>
      <c r="F112" s="1449">
        <f t="shared" si="89"/>
        <v>0.37</v>
      </c>
      <c r="G112" s="1554">
        <f>B112*F112*'Input data'!$C$9</f>
        <v>761.19450706741986</v>
      </c>
      <c r="H112" s="1549">
        <f>'Input data'!I132</f>
        <v>424.26313389388866</v>
      </c>
      <c r="I112" s="1557">
        <f>'Input data'!K132</f>
        <v>28517.218970405011</v>
      </c>
      <c r="J112" s="1557">
        <f>J97*(1-$G$6)</f>
        <v>2228.8062963921584</v>
      </c>
      <c r="K112" s="1511">
        <f t="shared" si="77"/>
        <v>11023.671447955228</v>
      </c>
      <c r="L112" s="1449">
        <f>C20</f>
        <v>0.7</v>
      </c>
      <c r="M112" s="1449">
        <f>D20</f>
        <v>0.6</v>
      </c>
      <c r="N112" s="1449">
        <f t="shared" si="88"/>
        <v>0.9</v>
      </c>
      <c r="O112" s="1449">
        <f t="shared" si="88"/>
        <v>0.9</v>
      </c>
      <c r="P112" s="1449">
        <f t="shared" si="88"/>
        <v>0.23600000000000002</v>
      </c>
      <c r="Q112" s="1508">
        <f t="shared" si="33"/>
        <v>305.34450170470927</v>
      </c>
      <c r="R112" s="1509">
        <f t="shared" si="34"/>
        <v>213.07888355898774</v>
      </c>
      <c r="S112" s="1509">
        <f t="shared" si="35"/>
        <v>623.98321317186219</v>
      </c>
      <c r="T112" s="1509">
        <f t="shared" si="36"/>
        <v>420.1512341136031</v>
      </c>
      <c r="U112" s="1511">
        <f t="shared" si="37"/>
        <v>0</v>
      </c>
      <c r="V112" s="1509">
        <f t="shared" si="38"/>
        <v>1562.5578325491624</v>
      </c>
      <c r="W112" s="1454">
        <f t="shared" si="87"/>
        <v>0.5</v>
      </c>
      <c r="X112" s="530">
        <f t="shared" si="39"/>
        <v>3033.4854703020706</v>
      </c>
      <c r="Y112" s="1508">
        <f t="shared" si="78"/>
        <v>4596.0433028512325</v>
      </c>
      <c r="Z112" s="1509">
        <f t="shared" si="79"/>
        <v>8656.4344414961542</v>
      </c>
      <c r="AA112" s="1511">
        <f t="shared" si="80"/>
        <v>6427.6281451039958</v>
      </c>
      <c r="AB112" s="1091">
        <f t="shared" si="40"/>
        <v>0.74252605833783247</v>
      </c>
      <c r="AC112" s="135" t="str">
        <f t="shared" si="41"/>
        <v>Yes</v>
      </c>
      <c r="AD112" s="1091">
        <f t="shared" si="42"/>
        <v>0.74252605833783247</v>
      </c>
      <c r="AE112" s="649">
        <f t="shared" si="10"/>
        <v>0.33591409165143815</v>
      </c>
      <c r="AF112" s="530">
        <f t="shared" si="43"/>
        <v>281.7471686507306</v>
      </c>
      <c r="AG112" s="528">
        <f t="shared" si="44"/>
        <v>2228.8062963921584</v>
      </c>
      <c r="AH112" s="528">
        <f t="shared" si="81"/>
        <v>9379.5428434784317</v>
      </c>
      <c r="AI112" s="528">
        <f t="shared" si="82"/>
        <v>6437.6604656145792</v>
      </c>
      <c r="AJ112" s="528">
        <f t="shared" si="11"/>
        <v>891.87365805108493</v>
      </c>
      <c r="AK112" s="528">
        <f t="shared" si="45"/>
        <v>18937.883263536252</v>
      </c>
      <c r="AL112" s="716">
        <f t="shared" si="12"/>
        <v>0</v>
      </c>
      <c r="AM112" s="417">
        <f t="shared" si="46"/>
        <v>0.11769035986633153</v>
      </c>
      <c r="AN112" s="417">
        <f t="shared" si="47"/>
        <v>0.49527936744325451</v>
      </c>
      <c r="AO112" s="417">
        <f t="shared" si="48"/>
        <v>0.33993558709963667</v>
      </c>
      <c r="AP112" s="417">
        <f t="shared" si="49"/>
        <v>4.7094685590777383E-2</v>
      </c>
      <c r="AQ112" s="417">
        <f t="shared" si="50"/>
        <v>1</v>
      </c>
      <c r="AR112" s="1086">
        <f t="shared" si="13"/>
        <v>474.63019042376499</v>
      </c>
      <c r="AS112" s="938">
        <f t="shared" si="14"/>
        <v>601.95948630202702</v>
      </c>
      <c r="AT112" s="938">
        <f t="shared" si="15"/>
        <v>122.69363747523548</v>
      </c>
      <c r="AU112" s="938">
        <f t="shared" si="16"/>
        <v>0</v>
      </c>
      <c r="AV112" s="938">
        <f t="shared" si="17"/>
        <v>0</v>
      </c>
      <c r="AW112" s="938">
        <f t="shared" si="18"/>
        <v>0</v>
      </c>
      <c r="AX112" s="938">
        <f t="shared" si="19"/>
        <v>856.85141591613205</v>
      </c>
      <c r="AY112" s="938">
        <f t="shared" si="20"/>
        <v>69.018918516931308</v>
      </c>
      <c r="AZ112" s="938">
        <f t="shared" si="21"/>
        <v>19.401236128249021</v>
      </c>
      <c r="BA112" s="938">
        <f t="shared" si="22"/>
        <v>50.109613839756527</v>
      </c>
      <c r="BB112" s="938">
        <f t="shared" si="23"/>
        <v>34.141797790061133</v>
      </c>
      <c r="BC112" s="530">
        <f t="shared" si="51"/>
        <v>2228.8062963921575</v>
      </c>
      <c r="BD112" s="724">
        <f t="shared" si="52"/>
        <v>0</v>
      </c>
      <c r="BE112" s="436">
        <f t="shared" si="53"/>
        <v>0.21295264249390564</v>
      </c>
      <c r="BF112" s="624">
        <f t="shared" si="54"/>
        <v>0.27008156216914803</v>
      </c>
      <c r="BG112" s="624">
        <f t="shared" si="55"/>
        <v>5.5049035743412841E-2</v>
      </c>
      <c r="BH112" s="624">
        <f t="shared" si="56"/>
        <v>0</v>
      </c>
      <c r="BI112" s="624">
        <f t="shared" si="57"/>
        <v>0</v>
      </c>
      <c r="BJ112" s="624">
        <f t="shared" si="58"/>
        <v>0</v>
      </c>
      <c r="BK112" s="624">
        <f t="shared" si="59"/>
        <v>0.46191675959353351</v>
      </c>
      <c r="BL112" s="624">
        <f t="shared" si="60"/>
        <v>1</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81.625670230774517</v>
      </c>
      <c r="BW112" s="114">
        <f t="shared" si="63"/>
        <v>0.65955691177483156</v>
      </c>
      <c r="BX112" s="1689">
        <f t="shared" si="24"/>
        <v>42.600148259036544</v>
      </c>
      <c r="BY112" s="527">
        <f t="shared" si="64"/>
        <v>81.625670230774517</v>
      </c>
      <c r="BZ112" s="417">
        <f t="shared" si="65"/>
        <v>0.65955691177483156</v>
      </c>
      <c r="CA112" s="544">
        <f t="shared" si="25"/>
        <v>42.600148259036544</v>
      </c>
      <c r="CB112" s="649">
        <f t="shared" si="26"/>
        <v>0.33591409165143815</v>
      </c>
      <c r="CC112" s="525">
        <f t="shared" si="66"/>
        <v>0.28738471154494827</v>
      </c>
      <c r="CD112" s="417">
        <f t="shared" si="27"/>
        <v>0.33591409165143815</v>
      </c>
      <c r="CE112" s="525">
        <f t="shared" si="67"/>
        <v>0.28738471154494827</v>
      </c>
      <c r="CF112"/>
      <c r="CG112" s="527">
        <f t="shared" si="68"/>
        <v>1781.1762599441377</v>
      </c>
      <c r="CH112" s="528">
        <f t="shared" si="69"/>
        <v>784.33944868339051</v>
      </c>
      <c r="CI112" s="528">
        <f t="shared" si="70"/>
        <v>2987.153680078065</v>
      </c>
      <c r="CJ112" s="528">
        <f t="shared" si="71"/>
        <v>3781.361107022431</v>
      </c>
      <c r="CK112" s="528">
        <f t="shared" si="72"/>
        <v>45.512347750406022</v>
      </c>
      <c r="CL112" s="528">
        <f t="shared" si="73"/>
        <v>9379.5428434784299</v>
      </c>
      <c r="CM112" s="646">
        <f t="shared" si="74"/>
        <v>0</v>
      </c>
    </row>
    <row r="113" spans="1:91">
      <c r="A113" s="873">
        <f>'Input data'!A133</f>
        <v>2033</v>
      </c>
      <c r="B113" s="1551">
        <f>'Input data'!B133</f>
        <v>67.784781669940756</v>
      </c>
      <c r="C113" s="1550">
        <f>'Input data'!C133</f>
        <v>3867.5085984126213</v>
      </c>
      <c r="D113" s="1550">
        <f>'Input data'!D133</f>
        <v>41720520.537816472</v>
      </c>
      <c r="E113" s="1455">
        <f t="shared" si="89"/>
        <v>1</v>
      </c>
      <c r="F113" s="1449">
        <f t="shared" si="89"/>
        <v>0.37</v>
      </c>
      <c r="G113" s="1554">
        <f>B113*F113*'Input data'!$C$9</f>
        <v>767.63712898004701</v>
      </c>
      <c r="H113" s="1542">
        <f>'Input data'!I133</f>
        <v>424.26313389388866</v>
      </c>
      <c r="I113" s="1509">
        <f>'Input data'!K133</f>
        <v>28758.583901602084</v>
      </c>
      <c r="J113" s="1509">
        <f>J112</f>
        <v>2228.8062963921584</v>
      </c>
      <c r="K113" s="1511">
        <f t="shared" si="77"/>
        <v>11135.838184209373</v>
      </c>
      <c r="L113" s="1504">
        <f t="shared" ref="L113:P127" si="90">L112</f>
        <v>0.7</v>
      </c>
      <c r="M113" s="1504">
        <f t="shared" si="88"/>
        <v>0.6</v>
      </c>
      <c r="N113" s="1504">
        <f t="shared" si="88"/>
        <v>0.9</v>
      </c>
      <c r="O113" s="1504">
        <f t="shared" si="88"/>
        <v>0.9</v>
      </c>
      <c r="P113" s="1504">
        <f t="shared" si="88"/>
        <v>0.23600000000000002</v>
      </c>
      <c r="Q113" s="1508">
        <f t="shared" si="33"/>
        <v>307.92888606287011</v>
      </c>
      <c r="R113" s="1509">
        <f t="shared" si="34"/>
        <v>214.88234728815212</v>
      </c>
      <c r="S113" s="1509">
        <f t="shared" si="35"/>
        <v>629.26450183719999</v>
      </c>
      <c r="T113" s="1509">
        <f t="shared" si="36"/>
        <v>423.70732328974054</v>
      </c>
      <c r="U113" s="1511">
        <f t="shared" si="37"/>
        <v>0</v>
      </c>
      <c r="V113" s="1509">
        <f t="shared" si="38"/>
        <v>1575.7830584779626</v>
      </c>
      <c r="W113" s="1454">
        <f t="shared" si="87"/>
        <v>0.5</v>
      </c>
      <c r="X113" s="530">
        <f t="shared" si="39"/>
        <v>3033.4854703020706</v>
      </c>
      <c r="Y113" s="1508">
        <f t="shared" si="78"/>
        <v>4609.2685287800332</v>
      </c>
      <c r="Z113" s="1509">
        <f t="shared" si="79"/>
        <v>8755.3759518214974</v>
      </c>
      <c r="AA113" s="1511">
        <f t="shared" si="80"/>
        <v>6526.569655429339</v>
      </c>
      <c r="AB113" s="1091">
        <f t="shared" si="40"/>
        <v>0.74543568332682841</v>
      </c>
      <c r="AC113" s="135" t="str">
        <f t="shared" si="41"/>
        <v>Yes</v>
      </c>
      <c r="AD113" s="1091">
        <f t="shared" si="42"/>
        <v>0.74543568332682841</v>
      </c>
      <c r="AE113" s="649">
        <f t="shared" si="10"/>
        <v>0.33881811423292751</v>
      </c>
      <c r="AF113" s="530">
        <f t="shared" si="43"/>
        <v>280.51509892940925</v>
      </c>
      <c r="AG113" s="528">
        <f t="shared" si="44"/>
        <v>2228.8062963921584</v>
      </c>
      <c r="AH113" s="528">
        <f t="shared" si="81"/>
        <v>9458.9297120025185</v>
      </c>
      <c r="AI113" s="528">
        <f t="shared" si="82"/>
        <v>6437.6604656145792</v>
      </c>
      <c r="AJ113" s="528">
        <f t="shared" si="11"/>
        <v>889.25826204258135</v>
      </c>
      <c r="AK113" s="528">
        <f t="shared" si="45"/>
        <v>19014.654736051838</v>
      </c>
      <c r="AL113" s="716">
        <f t="shared" si="12"/>
        <v>0</v>
      </c>
      <c r="AM113" s="417">
        <f t="shared" si="46"/>
        <v>0.11721518625138828</v>
      </c>
      <c r="AN113" s="417">
        <f t="shared" si="47"/>
        <v>0.49745471812687514</v>
      </c>
      <c r="AO113" s="417">
        <f t="shared" si="48"/>
        <v>0.33856310067038753</v>
      </c>
      <c r="AP113" s="417">
        <f t="shared" si="49"/>
        <v>4.6766994951349034E-2</v>
      </c>
      <c r="AQ113" s="417">
        <f t="shared" si="50"/>
        <v>1</v>
      </c>
      <c r="AR113" s="1086">
        <f t="shared" si="13"/>
        <v>476.11980325034273</v>
      </c>
      <c r="AS113" s="938">
        <f t="shared" si="14"/>
        <v>603.84871836093794</v>
      </c>
      <c r="AT113" s="938">
        <f t="shared" si="15"/>
        <v>122.33384161533446</v>
      </c>
      <c r="AU113" s="938">
        <f t="shared" si="16"/>
        <v>0</v>
      </c>
      <c r="AV113" s="938">
        <f t="shared" si="17"/>
        <v>0</v>
      </c>
      <c r="AW113" s="938">
        <f t="shared" si="18"/>
        <v>0</v>
      </c>
      <c r="AX113" s="938">
        <f t="shared" si="19"/>
        <v>854.33872171013354</v>
      </c>
      <c r="AY113" s="938">
        <f t="shared" si="20"/>
        <v>68.816522356476412</v>
      </c>
      <c r="AZ113" s="938">
        <f t="shared" si="21"/>
        <v>19.344342514370201</v>
      </c>
      <c r="BA113" s="938">
        <f t="shared" si="22"/>
        <v>49.962668717158607</v>
      </c>
      <c r="BB113" s="938">
        <f t="shared" si="23"/>
        <v>34.041677867404836</v>
      </c>
      <c r="BC113" s="530">
        <f t="shared" si="51"/>
        <v>2228.8062963921584</v>
      </c>
      <c r="BD113" s="724">
        <f t="shared" si="52"/>
        <v>0</v>
      </c>
      <c r="BE113" s="436">
        <f t="shared" si="53"/>
        <v>0.21362098806928778</v>
      </c>
      <c r="BF113" s="624">
        <f t="shared" si="54"/>
        <v>0.27092920517068153</v>
      </c>
      <c r="BG113" s="624">
        <f t="shared" si="55"/>
        <v>5.4887605896196658E-2</v>
      </c>
      <c r="BH113" s="624">
        <f t="shared" si="56"/>
        <v>0</v>
      </c>
      <c r="BI113" s="624">
        <f t="shared" si="57"/>
        <v>0</v>
      </c>
      <c r="BJ113" s="624">
        <f t="shared" si="58"/>
        <v>0</v>
      </c>
      <c r="BK113" s="624">
        <f t="shared" si="59"/>
        <v>0.4605622008638342</v>
      </c>
      <c r="BL113" s="624">
        <f t="shared" si="60"/>
        <v>1.0000000000000002</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81.317920472132201</v>
      </c>
      <c r="BW113" s="114">
        <f t="shared" si="63"/>
        <v>0.66475878304801861</v>
      </c>
      <c r="BX113" s="1689">
        <f t="shared" si="24"/>
        <v>41.720520537816469</v>
      </c>
      <c r="BY113" s="527">
        <f t="shared" si="64"/>
        <v>81.317920472132201</v>
      </c>
      <c r="BZ113" s="417">
        <f t="shared" si="65"/>
        <v>0.66475878304801861</v>
      </c>
      <c r="CA113" s="544">
        <f t="shared" si="25"/>
        <v>41.720520537816469</v>
      </c>
      <c r="CB113" s="649">
        <f t="shared" si="26"/>
        <v>0.33881811423292751</v>
      </c>
      <c r="CC113" s="525">
        <f t="shared" si="66"/>
        <v>0.29401952941936627</v>
      </c>
      <c r="CD113" s="417">
        <f t="shared" si="27"/>
        <v>0.33881811423292751</v>
      </c>
      <c r="CE113" s="525">
        <f t="shared" si="67"/>
        <v>0.29401952941936627</v>
      </c>
      <c r="CG113" s="527">
        <f t="shared" si="68"/>
        <v>1796.2518353667424</v>
      </c>
      <c r="CH113" s="528">
        <f t="shared" si="69"/>
        <v>790.97796547786072</v>
      </c>
      <c r="CI113" s="528">
        <f t="shared" si="70"/>
        <v>3012.4364449653203</v>
      </c>
      <c r="CJ113" s="528">
        <f t="shared" si="71"/>
        <v>3813.3659096076676</v>
      </c>
      <c r="CK113" s="528">
        <f t="shared" si="72"/>
        <v>45.897556584927869</v>
      </c>
      <c r="CL113" s="528">
        <f t="shared" si="73"/>
        <v>9458.9297120025203</v>
      </c>
      <c r="CM113" s="646">
        <f t="shared" si="74"/>
        <v>0</v>
      </c>
    </row>
    <row r="114" spans="1:91">
      <c r="A114" s="873">
        <f>'Input data'!A134</f>
        <v>2034</v>
      </c>
      <c r="B114" s="1551">
        <f>'Input data'!B134</f>
        <v>68.342055626742408</v>
      </c>
      <c r="C114" s="1550">
        <f>'Input data'!C134</f>
        <v>3988.7128287659275</v>
      </c>
      <c r="D114" s="1550">
        <f>'Input data'!D134</f>
        <v>41169489.630995624</v>
      </c>
      <c r="E114" s="1455">
        <f t="shared" si="89"/>
        <v>1</v>
      </c>
      <c r="F114" s="1449">
        <f t="shared" si="89"/>
        <v>0.37</v>
      </c>
      <c r="G114" s="1554">
        <f>B114*F114*'Input data'!$C$9</f>
        <v>773.94804670694248</v>
      </c>
      <c r="H114" s="1542">
        <f>'Input data'!I134</f>
        <v>424.26313389388866</v>
      </c>
      <c r="I114" s="1509">
        <f>'Input data'!K134</f>
        <v>28995.014696952203</v>
      </c>
      <c r="J114" s="1509">
        <f t="shared" ref="J114:J130" si="91">J113</f>
        <v>2228.8062963921584</v>
      </c>
      <c r="K114" s="1511">
        <f t="shared" si="77"/>
        <v>11245.711936509959</v>
      </c>
      <c r="L114" s="1504">
        <f t="shared" si="90"/>
        <v>0.7</v>
      </c>
      <c r="M114" s="1504">
        <f t="shared" si="88"/>
        <v>0.6</v>
      </c>
      <c r="N114" s="1504">
        <f t="shared" si="88"/>
        <v>0.9</v>
      </c>
      <c r="O114" s="1504">
        <f t="shared" si="88"/>
        <v>0.9</v>
      </c>
      <c r="P114" s="1504">
        <f t="shared" si="88"/>
        <v>0.23600000000000002</v>
      </c>
      <c r="Q114" s="1508">
        <f t="shared" si="33"/>
        <v>310.460438787866</v>
      </c>
      <c r="R114" s="1509">
        <f t="shared" si="34"/>
        <v>216.64894346165863</v>
      </c>
      <c r="S114" s="1509">
        <f t="shared" si="35"/>
        <v>634.4378270316538</v>
      </c>
      <c r="T114" s="1509">
        <f t="shared" si="36"/>
        <v>427.19071662314718</v>
      </c>
      <c r="U114" s="1511">
        <f t="shared" si="37"/>
        <v>0</v>
      </c>
      <c r="V114" s="1509">
        <f t="shared" si="38"/>
        <v>1588.7379259043255</v>
      </c>
      <c r="W114" s="1454">
        <f t="shared" si="87"/>
        <v>0.5</v>
      </c>
      <c r="X114" s="530">
        <f t="shared" si="39"/>
        <v>3033.4854703020706</v>
      </c>
      <c r="Y114" s="1508">
        <f t="shared" si="78"/>
        <v>4622.2233962063965</v>
      </c>
      <c r="Z114" s="1509">
        <f t="shared" si="79"/>
        <v>8852.2948366957207</v>
      </c>
      <c r="AA114" s="1511">
        <f t="shared" si="80"/>
        <v>6623.4885403035623</v>
      </c>
      <c r="AB114" s="1091">
        <f t="shared" si="40"/>
        <v>0.74822276737179927</v>
      </c>
      <c r="AC114" s="135" t="str">
        <f t="shared" si="41"/>
        <v>Yes</v>
      </c>
      <c r="AD114" s="1091">
        <f t="shared" si="42"/>
        <v>0.74822276737179927</v>
      </c>
      <c r="AE114" s="649">
        <f t="shared" si="10"/>
        <v>0.34161394017639757</v>
      </c>
      <c r="AF114" s="530">
        <f t="shared" si="43"/>
        <v>279.32893305281084</v>
      </c>
      <c r="AG114" s="528">
        <f t="shared" si="44"/>
        <v>2228.8062963921584</v>
      </c>
      <c r="AH114" s="528">
        <f t="shared" si="81"/>
        <v>9536.6937035335832</v>
      </c>
      <c r="AI114" s="528">
        <f t="shared" si="82"/>
        <v>6437.6604656145792</v>
      </c>
      <c r="AJ114" s="528">
        <f t="shared" si="11"/>
        <v>886.75301531348384</v>
      </c>
      <c r="AK114" s="528">
        <f t="shared" si="45"/>
        <v>19089.913480853804</v>
      </c>
      <c r="AL114" s="716">
        <f t="shared" si="12"/>
        <v>0</v>
      </c>
      <c r="AM114" s="417">
        <f t="shared" si="46"/>
        <v>0.11675308526817242</v>
      </c>
      <c r="AN114" s="417">
        <f t="shared" si="47"/>
        <v>0.49956715168449528</v>
      </c>
      <c r="AO114" s="417">
        <f t="shared" si="48"/>
        <v>0.33722837309195874</v>
      </c>
      <c r="AP114" s="417">
        <f t="shared" si="49"/>
        <v>4.6451389955373623E-2</v>
      </c>
      <c r="AQ114" s="417">
        <f t="shared" si="50"/>
        <v>1</v>
      </c>
      <c r="AR114" s="1086">
        <f t="shared" si="13"/>
        <v>477.54667996395307</v>
      </c>
      <c r="AS114" s="938">
        <f t="shared" si="14"/>
        <v>605.65838405619081</v>
      </c>
      <c r="AT114" s="938">
        <f t="shared" si="15"/>
        <v>121.98919881622143</v>
      </c>
      <c r="AU114" s="938">
        <f t="shared" si="16"/>
        <v>0</v>
      </c>
      <c r="AV114" s="938">
        <f t="shared" si="17"/>
        <v>0</v>
      </c>
      <c r="AW114" s="938">
        <f t="shared" si="18"/>
        <v>0</v>
      </c>
      <c r="AX114" s="938">
        <f t="shared" si="19"/>
        <v>851.93185142344146</v>
      </c>
      <c r="AY114" s="938">
        <f t="shared" si="20"/>
        <v>68.622650255535333</v>
      </c>
      <c r="AZ114" s="938">
        <f t="shared" si="21"/>
        <v>19.289845015860141</v>
      </c>
      <c r="BA114" s="938">
        <f t="shared" si="22"/>
        <v>49.821912293829932</v>
      </c>
      <c r="BB114" s="938">
        <f t="shared" si="23"/>
        <v>33.945774567125774</v>
      </c>
      <c r="BC114" s="530">
        <f t="shared" si="51"/>
        <v>2228.8062963921579</v>
      </c>
      <c r="BD114" s="724">
        <f t="shared" si="52"/>
        <v>0</v>
      </c>
      <c r="BE114" s="436">
        <f t="shared" si="53"/>
        <v>0.21426118579123435</v>
      </c>
      <c r="BF114" s="624">
        <f t="shared" si="54"/>
        <v>0.27174114907903391</v>
      </c>
      <c r="BG114" s="624">
        <f t="shared" si="55"/>
        <v>5.4732974782819556E-2</v>
      </c>
      <c r="BH114" s="624">
        <f t="shared" si="56"/>
        <v>0</v>
      </c>
      <c r="BI114" s="624">
        <f t="shared" si="57"/>
        <v>0</v>
      </c>
      <c r="BJ114" s="624">
        <f t="shared" si="58"/>
        <v>0</v>
      </c>
      <c r="BK114" s="624">
        <f t="shared" si="59"/>
        <v>0.45926469034691214</v>
      </c>
      <c r="BL114" s="624">
        <f t="shared" si="60"/>
        <v>1</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81.463628575218806</v>
      </c>
      <c r="BW114" s="114">
        <f t="shared" si="63"/>
        <v>0.66941688522843712</v>
      </c>
      <c r="BX114" s="1689">
        <f t="shared" si="24"/>
        <v>41.169489630995621</v>
      </c>
      <c r="BY114" s="527">
        <f t="shared" si="64"/>
        <v>81.463628575218806</v>
      </c>
      <c r="BZ114" s="417">
        <f t="shared" si="65"/>
        <v>0.66941688522843712</v>
      </c>
      <c r="CA114" s="544">
        <f t="shared" si="25"/>
        <v>41.169489630995621</v>
      </c>
      <c r="CB114" s="649">
        <f t="shared" si="26"/>
        <v>0.34161394017639757</v>
      </c>
      <c r="CC114" s="525">
        <f t="shared" si="66"/>
        <v>0.3004127271051904</v>
      </c>
      <c r="CD114" s="417">
        <f t="shared" si="27"/>
        <v>0.34161394017639757</v>
      </c>
      <c r="CE114" s="525">
        <f t="shared" si="67"/>
        <v>0.3004127271051904</v>
      </c>
      <c r="CG114" s="527">
        <f t="shared" si="68"/>
        <v>1811.0192262625512</v>
      </c>
      <c r="CH114" s="528">
        <f t="shared" si="69"/>
        <v>797.48077347849846</v>
      </c>
      <c r="CI114" s="528">
        <f t="shared" si="70"/>
        <v>3037.2023634494067</v>
      </c>
      <c r="CJ114" s="528">
        <f t="shared" si="71"/>
        <v>3844.7164496083296</v>
      </c>
      <c r="CK114" s="528">
        <f t="shared" si="72"/>
        <v>46.27489073479876</v>
      </c>
      <c r="CL114" s="528">
        <f t="shared" si="73"/>
        <v>9536.693703533585</v>
      </c>
      <c r="CM114" s="646">
        <f t="shared" si="74"/>
        <v>0</v>
      </c>
    </row>
    <row r="115" spans="1:91">
      <c r="A115" s="873">
        <f>'Input data'!A135</f>
        <v>2035</v>
      </c>
      <c r="B115" s="1551">
        <f>'Input data'!B135</f>
        <v>68.88733085860035</v>
      </c>
      <c r="C115" s="1550">
        <f>'Input data'!C135</f>
        <v>4088.0370257470286</v>
      </c>
      <c r="D115" s="1550">
        <f>'Input data'!D135</f>
        <v>33008995.481321324</v>
      </c>
      <c r="E115" s="1455">
        <f t="shared" si="89"/>
        <v>1</v>
      </c>
      <c r="F115" s="1449">
        <f t="shared" si="89"/>
        <v>0.37</v>
      </c>
      <c r="G115" s="1554">
        <f>B115*F115*'Input data'!$C$9</f>
        <v>780.12308339180618</v>
      </c>
      <c r="H115" s="1542">
        <f>'Input data'!I135</f>
        <v>424.26313389388866</v>
      </c>
      <c r="I115" s="1509">
        <f>'Input data'!K135</f>
        <v>29226.354875654968</v>
      </c>
      <c r="J115" s="1509">
        <f t="shared" si="91"/>
        <v>2228.8062963921584</v>
      </c>
      <c r="K115" s="1511">
        <f t="shared" si="77"/>
        <v>11353.219985342261</v>
      </c>
      <c r="L115" s="1504">
        <f t="shared" si="90"/>
        <v>0.7</v>
      </c>
      <c r="M115" s="1504">
        <f t="shared" si="88"/>
        <v>0.6</v>
      </c>
      <c r="N115" s="1504">
        <f t="shared" si="88"/>
        <v>0.9</v>
      </c>
      <c r="O115" s="1504">
        <f t="shared" si="88"/>
        <v>0.9</v>
      </c>
      <c r="P115" s="1504">
        <f t="shared" si="88"/>
        <v>0.23600000000000002</v>
      </c>
      <c r="Q115" s="1508">
        <f t="shared" si="33"/>
        <v>312.93748438139255</v>
      </c>
      <c r="R115" s="1509">
        <f t="shared" si="34"/>
        <v>218.37750286471544</v>
      </c>
      <c r="S115" s="1509">
        <f t="shared" si="35"/>
        <v>639.49976481010617</v>
      </c>
      <c r="T115" s="1509">
        <f t="shared" si="36"/>
        <v>430.59910864352287</v>
      </c>
      <c r="U115" s="1511">
        <f t="shared" si="37"/>
        <v>0</v>
      </c>
      <c r="V115" s="1509">
        <f t="shared" si="38"/>
        <v>1601.4138606997371</v>
      </c>
      <c r="W115" s="1454">
        <f t="shared" si="87"/>
        <v>0.5</v>
      </c>
      <c r="X115" s="530">
        <f t="shared" si="39"/>
        <v>3033.4854703020706</v>
      </c>
      <c r="Y115" s="1508">
        <f t="shared" si="78"/>
        <v>4634.8993310018077</v>
      </c>
      <c r="Z115" s="1509">
        <f t="shared" si="79"/>
        <v>8947.1269507326106</v>
      </c>
      <c r="AA115" s="1511">
        <f t="shared" si="80"/>
        <v>6718.3206543404522</v>
      </c>
      <c r="AB115" s="1091">
        <f t="shared" si="40"/>
        <v>0.7508913969070643</v>
      </c>
      <c r="AC115" s="135" t="str">
        <f t="shared" si="41"/>
        <v>Yes</v>
      </c>
      <c r="AD115" s="1091">
        <f t="shared" si="42"/>
        <v>0.7508913969070643</v>
      </c>
      <c r="AE115" s="649">
        <f t="shared" si="10"/>
        <v>0.34430398732661904</v>
      </c>
      <c r="AF115" s="530">
        <f t="shared" si="43"/>
        <v>278.18764521853552</v>
      </c>
      <c r="AG115" s="528">
        <f t="shared" si="44"/>
        <v>2228.8062963921584</v>
      </c>
      <c r="AH115" s="528">
        <f t="shared" si="81"/>
        <v>9612.7833502769245</v>
      </c>
      <c r="AI115" s="528">
        <f t="shared" si="82"/>
        <v>6437.6604656145792</v>
      </c>
      <c r="AJ115" s="528">
        <f t="shared" si="11"/>
        <v>884.35424466052859</v>
      </c>
      <c r="AK115" s="528">
        <f t="shared" si="45"/>
        <v>19163.60435694419</v>
      </c>
      <c r="AL115" s="716">
        <f t="shared" si="12"/>
        <v>0</v>
      </c>
      <c r="AM115" s="417">
        <f t="shared" si="46"/>
        <v>0.11630412812110268</v>
      </c>
      <c r="AN115" s="417">
        <f t="shared" si="47"/>
        <v>0.50161666726299337</v>
      </c>
      <c r="AO115" s="417">
        <f t="shared" si="48"/>
        <v>0.33593161003043803</v>
      </c>
      <c r="AP115" s="417">
        <f t="shared" si="49"/>
        <v>4.6147594585465912E-2</v>
      </c>
      <c r="AQ115" s="417">
        <f t="shared" si="50"/>
        <v>1</v>
      </c>
      <c r="AR115" s="1086">
        <f t="shared" si="13"/>
        <v>478.91291265722015</v>
      </c>
      <c r="AS115" s="938">
        <f t="shared" si="14"/>
        <v>607.39113672722056</v>
      </c>
      <c r="AT115" s="938">
        <f t="shared" si="15"/>
        <v>121.65920376117852</v>
      </c>
      <c r="AU115" s="938">
        <f t="shared" si="16"/>
        <v>0</v>
      </c>
      <c r="AV115" s="938">
        <f t="shared" si="17"/>
        <v>0</v>
      </c>
      <c r="AW115" s="938">
        <f t="shared" si="18"/>
        <v>0</v>
      </c>
      <c r="AX115" s="938">
        <f t="shared" si="19"/>
        <v>849.62727609274475</v>
      </c>
      <c r="AY115" s="938">
        <f t="shared" si="20"/>
        <v>68.437017958020348</v>
      </c>
      <c r="AZ115" s="938">
        <f t="shared" si="21"/>
        <v>19.237663728258159</v>
      </c>
      <c r="BA115" s="938">
        <f t="shared" si="22"/>
        <v>49.687138192111945</v>
      </c>
      <c r="BB115" s="938">
        <f t="shared" si="23"/>
        <v>33.85394727540276</v>
      </c>
      <c r="BC115" s="530">
        <f t="shared" si="51"/>
        <v>2228.8062963921575</v>
      </c>
      <c r="BD115" s="724">
        <f t="shared" si="52"/>
        <v>0</v>
      </c>
      <c r="BE115" s="436">
        <f t="shared" si="53"/>
        <v>0.21487417432033118</v>
      </c>
      <c r="BF115" s="624">
        <f t="shared" si="54"/>
        <v>0.27251858436976989</v>
      </c>
      <c r="BG115" s="624">
        <f t="shared" si="55"/>
        <v>5.4584915682494392E-2</v>
      </c>
      <c r="BH115" s="624">
        <f t="shared" si="56"/>
        <v>0</v>
      </c>
      <c r="BI115" s="624">
        <f t="shared" si="57"/>
        <v>0</v>
      </c>
      <c r="BJ115" s="624">
        <f t="shared" si="58"/>
        <v>0</v>
      </c>
      <c r="BK115" s="624">
        <f t="shared" si="59"/>
        <v>0.45802232562740441</v>
      </c>
      <c r="BL115" s="624">
        <f t="shared" si="60"/>
        <v>0.99999999999999989</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73.88611468940023</v>
      </c>
      <c r="BW115" s="114">
        <f t="shared" si="63"/>
        <v>0.70178153665527632</v>
      </c>
      <c r="BX115" s="1689">
        <f t="shared" si="24"/>
        <v>33.008995481321321</v>
      </c>
      <c r="BY115" s="527">
        <f t="shared" si="64"/>
        <v>73.88611468940023</v>
      </c>
      <c r="BZ115" s="417">
        <f t="shared" si="65"/>
        <v>0.70178153665527632</v>
      </c>
      <c r="CA115" s="544">
        <f t="shared" si="25"/>
        <v>33.008995481321321</v>
      </c>
      <c r="CB115" s="649">
        <f t="shared" si="26"/>
        <v>0.34430398732661904</v>
      </c>
      <c r="CC115" s="525">
        <f t="shared" si="66"/>
        <v>0.3342141124349175</v>
      </c>
      <c r="CD115" s="417">
        <f t="shared" si="27"/>
        <v>0.34430398732661904</v>
      </c>
      <c r="CE115" s="525">
        <f t="shared" si="67"/>
        <v>0.3342141124349175</v>
      </c>
      <c r="CG115" s="527">
        <f t="shared" si="68"/>
        <v>1825.4686588914558</v>
      </c>
      <c r="CH115" s="528">
        <f t="shared" si="69"/>
        <v>803.8435688271735</v>
      </c>
      <c r="CI115" s="528">
        <f t="shared" si="70"/>
        <v>3061.4350443037024</v>
      </c>
      <c r="CJ115" s="528">
        <f t="shared" si="71"/>
        <v>3875.3919777917085</v>
      </c>
      <c r="CK115" s="528">
        <f t="shared" si="72"/>
        <v>46.644100462882278</v>
      </c>
      <c r="CL115" s="528">
        <f t="shared" si="73"/>
        <v>9612.7833502769226</v>
      </c>
      <c r="CM115" s="646">
        <f t="shared" si="74"/>
        <v>0</v>
      </c>
    </row>
    <row r="116" spans="1:91">
      <c r="A116" s="873">
        <f>'Input data'!A136</f>
        <v>2036</v>
      </c>
      <c r="B116" s="1551">
        <f>'Input data'!B136</f>
        <v>69.420244147098416</v>
      </c>
      <c r="C116" s="1550">
        <f>'Input data'!C136</f>
        <v>4188.173572206083</v>
      </c>
      <c r="D116" s="1550">
        <f>'Input data'!D136</f>
        <v>23988684.664399058</v>
      </c>
      <c r="E116" s="1455">
        <f t="shared" si="89"/>
        <v>1</v>
      </c>
      <c r="F116" s="1449">
        <f t="shared" si="89"/>
        <v>0.37</v>
      </c>
      <c r="G116" s="1554">
        <f>B116*F116*'Input data'!$C$9</f>
        <v>786.15812572283994</v>
      </c>
      <c r="H116" s="1542">
        <f>'Input data'!I136</f>
        <v>424.26313389388866</v>
      </c>
      <c r="I116" s="1509">
        <f>'Input data'!K136</f>
        <v>29452.450337526854</v>
      </c>
      <c r="J116" s="1509">
        <f t="shared" si="91"/>
        <v>2228.8062963921584</v>
      </c>
      <c r="K116" s="1511">
        <f t="shared" si="77"/>
        <v>11458.290717508138</v>
      </c>
      <c r="L116" s="1504">
        <f t="shared" si="90"/>
        <v>0.7</v>
      </c>
      <c r="M116" s="1504">
        <f t="shared" si="88"/>
        <v>0.6</v>
      </c>
      <c r="N116" s="1504">
        <f t="shared" si="88"/>
        <v>0.9</v>
      </c>
      <c r="O116" s="1504">
        <f t="shared" si="88"/>
        <v>0.9</v>
      </c>
      <c r="P116" s="1504">
        <f t="shared" si="88"/>
        <v>0.23600000000000002</v>
      </c>
      <c r="Q116" s="1508">
        <f t="shared" si="33"/>
        <v>315.35837283529872</v>
      </c>
      <c r="R116" s="1509">
        <f t="shared" si="34"/>
        <v>220.06687407035122</v>
      </c>
      <c r="S116" s="1509">
        <f t="shared" si="35"/>
        <v>644.44694331754818</v>
      </c>
      <c r="T116" s="1509">
        <f t="shared" si="36"/>
        <v>433.93022895478225</v>
      </c>
      <c r="U116" s="1511">
        <f t="shared" si="37"/>
        <v>0</v>
      </c>
      <c r="V116" s="1509">
        <f t="shared" si="38"/>
        <v>1613.8024191779805</v>
      </c>
      <c r="W116" s="1454">
        <f t="shared" si="87"/>
        <v>0.5</v>
      </c>
      <c r="X116" s="530">
        <f t="shared" si="39"/>
        <v>3033.4854703020706</v>
      </c>
      <c r="Y116" s="1508">
        <f t="shared" si="78"/>
        <v>4647.2878894800506</v>
      </c>
      <c r="Z116" s="1509">
        <f t="shared" si="79"/>
        <v>9039.809124420246</v>
      </c>
      <c r="AA116" s="1511">
        <f t="shared" si="80"/>
        <v>6811.0028280280876</v>
      </c>
      <c r="AB116" s="1091">
        <f t="shared" si="40"/>
        <v>0.75344542503986778</v>
      </c>
      <c r="AC116" s="135" t="str">
        <f t="shared" si="41"/>
        <v>Yes</v>
      </c>
      <c r="AD116" s="1091">
        <f t="shared" si="42"/>
        <v>0.75344542503986778</v>
      </c>
      <c r="AE116" s="649">
        <f t="shared" si="10"/>
        <v>0.34689056443115873</v>
      </c>
      <c r="AF116" s="530">
        <f t="shared" si="43"/>
        <v>277.09025591010533</v>
      </c>
      <c r="AG116" s="528">
        <f t="shared" si="44"/>
        <v>2228.8062963921584</v>
      </c>
      <c r="AH116" s="528">
        <f t="shared" si="81"/>
        <v>9687.1479674418806</v>
      </c>
      <c r="AI116" s="528">
        <f t="shared" si="82"/>
        <v>6437.6604656145792</v>
      </c>
      <c r="AJ116" s="528">
        <f t="shared" si="11"/>
        <v>882.05848661287541</v>
      </c>
      <c r="AK116" s="528">
        <f t="shared" si="45"/>
        <v>19235.673216061492</v>
      </c>
      <c r="AL116" s="716">
        <f t="shared" si="12"/>
        <v>0</v>
      </c>
      <c r="AM116" s="417">
        <f t="shared" si="46"/>
        <v>0.11586838013712665</v>
      </c>
      <c r="AN116" s="417">
        <f t="shared" si="47"/>
        <v>0.50360327182899223</v>
      </c>
      <c r="AO116" s="417">
        <f t="shared" si="48"/>
        <v>0.33467300017548807</v>
      </c>
      <c r="AP116" s="417">
        <f t="shared" si="49"/>
        <v>4.5855347858393132E-2</v>
      </c>
      <c r="AQ116" s="417">
        <f t="shared" si="50"/>
        <v>1</v>
      </c>
      <c r="AR116" s="1086">
        <f t="shared" si="13"/>
        <v>480.22047396854117</v>
      </c>
      <c r="AS116" s="938">
        <f t="shared" si="14"/>
        <v>609.04947821318558</v>
      </c>
      <c r="AT116" s="938">
        <f t="shared" si="15"/>
        <v>121.34337998604298</v>
      </c>
      <c r="AU116" s="938">
        <f t="shared" si="16"/>
        <v>0</v>
      </c>
      <c r="AV116" s="938">
        <f t="shared" si="17"/>
        <v>0</v>
      </c>
      <c r="AW116" s="938">
        <f t="shared" si="18"/>
        <v>0</v>
      </c>
      <c r="AX116" s="938">
        <f t="shared" si="19"/>
        <v>847.42166825134825</v>
      </c>
      <c r="AY116" s="938">
        <f t="shared" si="20"/>
        <v>68.25935743828731</v>
      </c>
      <c r="AZ116" s="938">
        <f t="shared" si="21"/>
        <v>19.187723309484905</v>
      </c>
      <c r="BA116" s="938">
        <f t="shared" si="22"/>
        <v>49.558151818090394</v>
      </c>
      <c r="BB116" s="938">
        <f t="shared" si="23"/>
        <v>33.766063407177349</v>
      </c>
      <c r="BC116" s="530">
        <f t="shared" si="51"/>
        <v>2228.806296392157</v>
      </c>
      <c r="BD116" s="724">
        <f t="shared" si="52"/>
        <v>0</v>
      </c>
      <c r="BE116" s="436">
        <f t="shared" si="53"/>
        <v>0.21546083872155694</v>
      </c>
      <c r="BF116" s="624">
        <f t="shared" si="54"/>
        <v>0.27326263354472491</v>
      </c>
      <c r="BG116" s="624">
        <f t="shared" si="55"/>
        <v>5.444321481972908E-2</v>
      </c>
      <c r="BH116" s="624">
        <f t="shared" si="56"/>
        <v>0</v>
      </c>
      <c r="BI116" s="624">
        <f t="shared" si="57"/>
        <v>0</v>
      </c>
      <c r="BJ116" s="624">
        <f t="shared" si="58"/>
        <v>0</v>
      </c>
      <c r="BK116" s="624">
        <f t="shared" si="59"/>
        <v>0.45683331291398949</v>
      </c>
      <c r="BL116" s="624">
        <f t="shared" si="60"/>
        <v>1.0000000000000004</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65.451327478667324</v>
      </c>
      <c r="BW116" s="114">
        <f t="shared" si="63"/>
        <v>0.74604003103757921</v>
      </c>
      <c r="BX116" s="1689">
        <f t="shared" si="24"/>
        <v>23.988684664399056</v>
      </c>
      <c r="BY116" s="527">
        <f t="shared" si="64"/>
        <v>65.451327478667324</v>
      </c>
      <c r="BZ116" s="417">
        <f t="shared" si="65"/>
        <v>0.74604003103757921</v>
      </c>
      <c r="CA116" s="544">
        <f t="shared" si="25"/>
        <v>23.988684664399056</v>
      </c>
      <c r="CB116" s="649">
        <f t="shared" si="26"/>
        <v>0.34689056443115873</v>
      </c>
      <c r="CC116" s="525">
        <f t="shared" si="66"/>
        <v>0.37862802337948709</v>
      </c>
      <c r="CD116" s="417">
        <f t="shared" si="27"/>
        <v>0.34689056443115873</v>
      </c>
      <c r="CE116" s="525">
        <f t="shared" si="67"/>
        <v>0.37862802337948709</v>
      </c>
      <c r="CG116" s="527">
        <f t="shared" si="68"/>
        <v>1839.5905082059085</v>
      </c>
      <c r="CH116" s="528">
        <f t="shared" si="69"/>
        <v>810.06211314239749</v>
      </c>
      <c r="CI116" s="528">
        <f t="shared" si="70"/>
        <v>3085.1183456691142</v>
      </c>
      <c r="CJ116" s="528">
        <f t="shared" si="71"/>
        <v>3905.3720605930471</v>
      </c>
      <c r="CK116" s="528">
        <f t="shared" si="72"/>
        <v>47.004939831411896</v>
      </c>
      <c r="CL116" s="528">
        <f t="shared" si="73"/>
        <v>9687.1479674418788</v>
      </c>
      <c r="CM116" s="646">
        <f t="shared" si="74"/>
        <v>0</v>
      </c>
    </row>
    <row r="117" spans="1:91" s="1" customFormat="1">
      <c r="A117" s="873">
        <f>'Input data'!A137</f>
        <v>2037</v>
      </c>
      <c r="B117" s="1551">
        <f>'Input data'!B137</f>
        <v>69.940438284968707</v>
      </c>
      <c r="C117" s="1550">
        <f>'Input data'!C137</f>
        <v>4308.5353934667492</v>
      </c>
      <c r="D117" s="1550">
        <f>'Input data'!D137</f>
        <v>19936802.299321227</v>
      </c>
      <c r="E117" s="1455">
        <f t="shared" si="89"/>
        <v>1</v>
      </c>
      <c r="F117" s="1449">
        <f t="shared" si="89"/>
        <v>0.37</v>
      </c>
      <c r="G117" s="1554">
        <f>B117*F117*'Input data'!$C$9</f>
        <v>792.04912846223624</v>
      </c>
      <c r="H117" s="1542">
        <f>'Input data'!I137</f>
        <v>424.26313389388866</v>
      </c>
      <c r="I117" s="1509">
        <f>'Input data'!K137</f>
        <v>29673.149532692936</v>
      </c>
      <c r="J117" s="1509">
        <f t="shared" si="91"/>
        <v>2228.8062963921584</v>
      </c>
      <c r="K117" s="1511">
        <f t="shared" si="77"/>
        <v>11560.853704984906</v>
      </c>
      <c r="L117" s="1504">
        <f t="shared" si="90"/>
        <v>0.7</v>
      </c>
      <c r="M117" s="1504">
        <f t="shared" si="88"/>
        <v>0.6</v>
      </c>
      <c r="N117" s="1504">
        <f t="shared" si="88"/>
        <v>0.9</v>
      </c>
      <c r="O117" s="1504">
        <f t="shared" si="88"/>
        <v>0.9</v>
      </c>
      <c r="P117" s="1504">
        <f>P116</f>
        <v>0.23600000000000002</v>
      </c>
      <c r="Q117" s="1508">
        <f t="shared" si="33"/>
        <v>317.72148144853873</v>
      </c>
      <c r="R117" s="1509">
        <f t="shared" si="34"/>
        <v>221.7159247073422</v>
      </c>
      <c r="S117" s="1509">
        <f t="shared" si="35"/>
        <v>649.27604650208696</v>
      </c>
      <c r="T117" s="1509">
        <f t="shared" si="36"/>
        <v>437.18184473516885</v>
      </c>
      <c r="U117" s="1511">
        <f t="shared" si="37"/>
        <v>0</v>
      </c>
      <c r="V117" s="1509">
        <f t="shared" si="38"/>
        <v>1625.8952973931368</v>
      </c>
      <c r="W117" s="1454">
        <f t="shared" si="87"/>
        <v>0.5</v>
      </c>
      <c r="X117" s="530">
        <f t="shared" si="39"/>
        <v>3033.4854703020706</v>
      </c>
      <c r="Y117" s="1508">
        <f t="shared" si="78"/>
        <v>4659.3807676952074</v>
      </c>
      <c r="Z117" s="1509">
        <f t="shared" si="79"/>
        <v>9130.2792336818566</v>
      </c>
      <c r="AA117" s="1511">
        <f t="shared" si="80"/>
        <v>6901.4729372896982</v>
      </c>
      <c r="AB117" s="1091">
        <f t="shared" si="40"/>
        <v>0.75588848496878069</v>
      </c>
      <c r="AC117" s="135" t="str">
        <f t="shared" si="41"/>
        <v>Yes</v>
      </c>
      <c r="AD117" s="1091">
        <f t="shared" si="42"/>
        <v>0.75588848496878069</v>
      </c>
      <c r="AE117" s="649">
        <f t="shared" si="10"/>
        <v>0.34937587514391233</v>
      </c>
      <c r="AF117" s="530">
        <f t="shared" si="43"/>
        <v>276.0358301984125</v>
      </c>
      <c r="AG117" s="528">
        <f t="shared" si="44"/>
        <v>2228.8062963921584</v>
      </c>
      <c r="AH117" s="528">
        <f t="shared" si="81"/>
        <v>9759.7377090548234</v>
      </c>
      <c r="AI117" s="528">
        <f t="shared" si="82"/>
        <v>6437.6604656145792</v>
      </c>
      <c r="AJ117" s="528">
        <f t="shared" si="11"/>
        <v>879.86247537060865</v>
      </c>
      <c r="AK117" s="528">
        <f t="shared" si="45"/>
        <v>19306.066946432169</v>
      </c>
      <c r="AL117" s="716">
        <f t="shared" si="12"/>
        <v>0</v>
      </c>
      <c r="AM117" s="417">
        <f t="shared" si="46"/>
        <v>0.11544590115513144</v>
      </c>
      <c r="AN117" s="417">
        <f t="shared" si="47"/>
        <v>0.50552697947929048</v>
      </c>
      <c r="AO117" s="417">
        <f t="shared" si="48"/>
        <v>0.33345271636511559</v>
      </c>
      <c r="AP117" s="417">
        <f t="shared" si="49"/>
        <v>4.5574403000462525E-2</v>
      </c>
      <c r="AQ117" s="417">
        <f t="shared" si="50"/>
        <v>1</v>
      </c>
      <c r="AR117" s="1086">
        <f t="shared" si="13"/>
        <v>481.4712239517757</v>
      </c>
      <c r="AS117" s="938">
        <f t="shared" si="14"/>
        <v>610.63576756559269</v>
      </c>
      <c r="AT117" s="938">
        <f t="shared" si="15"/>
        <v>121.04127821992627</v>
      </c>
      <c r="AU117" s="938">
        <f t="shared" si="16"/>
        <v>0</v>
      </c>
      <c r="AV117" s="938">
        <f t="shared" si="17"/>
        <v>0</v>
      </c>
      <c r="AW117" s="938">
        <f t="shared" si="18"/>
        <v>0</v>
      </c>
      <c r="AX117" s="938">
        <f t="shared" si="19"/>
        <v>845.31189034130682</v>
      </c>
      <c r="AY117" s="938">
        <f t="shared" si="20"/>
        <v>68.089415967739228</v>
      </c>
      <c r="AZ117" s="938">
        <f t="shared" si="21"/>
        <v>19.139952717465615</v>
      </c>
      <c r="BA117" s="938">
        <f t="shared" si="22"/>
        <v>49.4347696839233</v>
      </c>
      <c r="BB117" s="938">
        <f t="shared" si="23"/>
        <v>33.681997944427827</v>
      </c>
      <c r="BC117" s="530">
        <f t="shared" si="51"/>
        <v>2228.806296392157</v>
      </c>
      <c r="BD117" s="724">
        <f t="shared" si="52"/>
        <v>0</v>
      </c>
      <c r="BE117" s="436">
        <f t="shared" si="53"/>
        <v>0.21602201354651107</v>
      </c>
      <c r="BF117" s="624">
        <f t="shared" si="54"/>
        <v>0.2739743550411039</v>
      </c>
      <c r="BG117" s="624">
        <f t="shared" si="55"/>
        <v>5.430767061985594E-2</v>
      </c>
      <c r="BH117" s="624">
        <f t="shared" si="56"/>
        <v>0</v>
      </c>
      <c r="BI117" s="624">
        <f t="shared" si="57"/>
        <v>0</v>
      </c>
      <c r="BJ117" s="624">
        <f t="shared" si="58"/>
        <v>0</v>
      </c>
      <c r="BK117" s="624">
        <f t="shared" si="59"/>
        <v>0.45569596079252928</v>
      </c>
      <c r="BL117" s="624">
        <f t="shared" si="60"/>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63.812859907632571</v>
      </c>
      <c r="BW117" s="114">
        <f t="shared" si="63"/>
        <v>0.75057146805590114</v>
      </c>
      <c r="BX117" s="1689">
        <f t="shared" si="24"/>
        <v>19.936802299321226</v>
      </c>
      <c r="BY117" s="527">
        <f t="shared" si="64"/>
        <v>63.812859907632571</v>
      </c>
      <c r="BZ117" s="417">
        <f t="shared" si="65"/>
        <v>0.75057146805590114</v>
      </c>
      <c r="CA117" s="544">
        <f t="shared" si="25"/>
        <v>19.936802299321226</v>
      </c>
      <c r="CB117" s="649">
        <f t="shared" si="26"/>
        <v>0.34937587514391233</v>
      </c>
      <c r="CC117" s="525">
        <f t="shared" si="66"/>
        <v>0.37989494271290059</v>
      </c>
      <c r="CD117" s="417">
        <f t="shared" si="27"/>
        <v>0.34937587514391233</v>
      </c>
      <c r="CE117" s="525">
        <f t="shared" si="67"/>
        <v>0.37989494271290059</v>
      </c>
      <c r="CG117" s="527">
        <f t="shared" si="68"/>
        <v>1853.3753084498092</v>
      </c>
      <c r="CH117" s="528">
        <f t="shared" si="69"/>
        <v>816.13223818653591</v>
      </c>
      <c r="CI117" s="528">
        <f t="shared" si="70"/>
        <v>3108.2363928291411</v>
      </c>
      <c r="CJ117" s="528">
        <f t="shared" si="71"/>
        <v>3934.6366026165256</v>
      </c>
      <c r="CK117" s="528">
        <f t="shared" si="72"/>
        <v>47.357166972812244</v>
      </c>
      <c r="CL117" s="528">
        <f t="shared" si="73"/>
        <v>9759.7377090548234</v>
      </c>
      <c r="CM117" s="646">
        <f t="shared" si="74"/>
        <v>0</v>
      </c>
    </row>
    <row r="118" spans="1:91">
      <c r="A118" s="873">
        <f>'Input data'!A138</f>
        <v>2038</v>
      </c>
      <c r="B118" s="1551">
        <f>'Input data'!B138</f>
        <v>70.447562472153166</v>
      </c>
      <c r="C118" s="1550">
        <f>'Input data'!C138</f>
        <v>4436.6736831338776</v>
      </c>
      <c r="D118" s="1550">
        <f>'Input data'!D138</f>
        <v>16174143.168204505</v>
      </c>
      <c r="E118" s="1455">
        <f t="shared" si="89"/>
        <v>1</v>
      </c>
      <c r="F118" s="1449">
        <f t="shared" si="89"/>
        <v>0.37</v>
      </c>
      <c r="G118" s="1554">
        <f>B118*F118*'Input data'!$C$9</f>
        <v>797.79211893142644</v>
      </c>
      <c r="H118" s="1542">
        <f>'Input data'!I138</f>
        <v>424.26313389388866</v>
      </c>
      <c r="I118" s="1509">
        <f>'Input data'!K138</f>
        <v>29888.303629621205</v>
      </c>
      <c r="J118" s="1509">
        <f t="shared" si="91"/>
        <v>2228.8062963921584</v>
      </c>
      <c r="K118" s="1511">
        <f t="shared" si="77"/>
        <v>11660.839783013977</v>
      </c>
      <c r="L118" s="1504">
        <f t="shared" si="90"/>
        <v>0.7</v>
      </c>
      <c r="M118" s="1504">
        <f t="shared" si="88"/>
        <v>0.6</v>
      </c>
      <c r="N118" s="1504">
        <f t="shared" si="88"/>
        <v>0.9</v>
      </c>
      <c r="O118" s="1504">
        <f t="shared" si="88"/>
        <v>0.9</v>
      </c>
      <c r="P118" s="1504">
        <f t="shared" si="88"/>
        <v>0.23600000000000002</v>
      </c>
      <c r="Q118" s="1508">
        <f t="shared" si="33"/>
        <v>320.02521662637878</v>
      </c>
      <c r="R118" s="1509">
        <f t="shared" si="34"/>
        <v>223.32354271575309</v>
      </c>
      <c r="S118" s="1509">
        <f t="shared" si="35"/>
        <v>653.98381779169677</v>
      </c>
      <c r="T118" s="1509">
        <f t="shared" si="36"/>
        <v>440.3517632129433</v>
      </c>
      <c r="U118" s="1511">
        <f t="shared" si="37"/>
        <v>0</v>
      </c>
      <c r="V118" s="1509">
        <f t="shared" si="38"/>
        <v>1637.6843403467719</v>
      </c>
      <c r="W118" s="1454">
        <f t="shared" si="87"/>
        <v>0.5</v>
      </c>
      <c r="X118" s="530">
        <f t="shared" si="39"/>
        <v>3033.4854703020706</v>
      </c>
      <c r="Y118" s="1508">
        <f t="shared" si="78"/>
        <v>4671.169810648842</v>
      </c>
      <c r="Z118" s="1509">
        <f t="shared" si="79"/>
        <v>9218.4762687572929</v>
      </c>
      <c r="AA118" s="1511">
        <f t="shared" si="80"/>
        <v>6989.6699723651345</v>
      </c>
      <c r="AB118" s="1091">
        <f t="shared" si="40"/>
        <v>0.75822400238248755</v>
      </c>
      <c r="AC118" s="135" t="str">
        <f t="shared" si="41"/>
        <v>Yes</v>
      </c>
      <c r="AD118" s="1091">
        <f t="shared" si="42"/>
        <v>0.75822400238248755</v>
      </c>
      <c r="AE118" s="649">
        <f t="shared" si="10"/>
        <v>0.35176202179330474</v>
      </c>
      <c r="AF118" s="530">
        <f t="shared" si="43"/>
        <v>275.02347614301084</v>
      </c>
      <c r="AG118" s="528">
        <f t="shared" si="44"/>
        <v>2228.8062963921584</v>
      </c>
      <c r="AH118" s="528">
        <f t="shared" si="81"/>
        <v>9830.5036232269922</v>
      </c>
      <c r="AI118" s="528">
        <f t="shared" si="82"/>
        <v>6437.6604656145792</v>
      </c>
      <c r="AJ118" s="528">
        <f t="shared" si="11"/>
        <v>877.76313165975205</v>
      </c>
      <c r="AK118" s="528">
        <f t="shared" si="45"/>
        <v>19374.733516893481</v>
      </c>
      <c r="AL118" s="716">
        <f t="shared" si="12"/>
        <v>0</v>
      </c>
      <c r="AM118" s="417">
        <f t="shared" si="46"/>
        <v>0.11503674589633903</v>
      </c>
      <c r="AN118" s="417">
        <f t="shared" si="47"/>
        <v>0.50738781076165229</v>
      </c>
      <c r="AO118" s="417">
        <f t="shared" si="48"/>
        <v>0.33227091665551772</v>
      </c>
      <c r="AP118" s="417">
        <f t="shared" si="49"/>
        <v>4.5304526686490987E-2</v>
      </c>
      <c r="AQ118" s="417">
        <f t="shared" si="50"/>
        <v>1</v>
      </c>
      <c r="AR118" s="1086">
        <f t="shared" si="13"/>
        <v>482.66691642393636</v>
      </c>
      <c r="AS118" s="938">
        <f t="shared" si="14"/>
        <v>612.15222909888519</v>
      </c>
      <c r="AT118" s="938">
        <f t="shared" si="15"/>
        <v>120.75247485201581</v>
      </c>
      <c r="AU118" s="938">
        <f t="shared" si="16"/>
        <v>0</v>
      </c>
      <c r="AV118" s="938">
        <f t="shared" si="17"/>
        <v>0</v>
      </c>
      <c r="AW118" s="938">
        <f t="shared" si="18"/>
        <v>0</v>
      </c>
      <c r="AX118" s="938">
        <f t="shared" si="19"/>
        <v>843.29498400608338</v>
      </c>
      <c r="AY118" s="938">
        <f t="shared" si="20"/>
        <v>67.926955252355754</v>
      </c>
      <c r="AZ118" s="938">
        <f t="shared" si="21"/>
        <v>19.094284967688523</v>
      </c>
      <c r="BA118" s="938">
        <f t="shared" si="22"/>
        <v>49.316818781664416</v>
      </c>
      <c r="BB118" s="938">
        <f t="shared" si="23"/>
        <v>33.601633009528264</v>
      </c>
      <c r="BC118" s="530">
        <f t="shared" si="51"/>
        <v>2228.8062963921575</v>
      </c>
      <c r="BD118" s="724">
        <f t="shared" si="52"/>
        <v>0</v>
      </c>
      <c r="BE118" s="436">
        <f t="shared" si="53"/>
        <v>0.2165584856814364</v>
      </c>
      <c r="BF118" s="624">
        <f t="shared" si="54"/>
        <v>0.27465474684354413</v>
      </c>
      <c r="BG118" s="624">
        <f t="shared" si="55"/>
        <v>5.4178093021130566E-2</v>
      </c>
      <c r="BH118" s="624">
        <f t="shared" si="56"/>
        <v>0</v>
      </c>
      <c r="BI118" s="624">
        <f t="shared" si="57"/>
        <v>0</v>
      </c>
      <c r="BJ118" s="624">
        <f t="shared" si="58"/>
        <v>0</v>
      </c>
      <c r="BK118" s="624">
        <f t="shared" si="59"/>
        <v>0.45460867445388897</v>
      </c>
      <c r="BL118" s="624">
        <f t="shared" si="60"/>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63.033497798769481</v>
      </c>
      <c r="BW118" s="114">
        <f t="shared" si="63"/>
        <v>0.74748747060287746</v>
      </c>
      <c r="BX118" s="1689">
        <f t="shared" si="24"/>
        <v>16.174143168204505</v>
      </c>
      <c r="BY118" s="527">
        <f t="shared" si="64"/>
        <v>63.033497798769481</v>
      </c>
      <c r="BZ118" s="417">
        <f t="shared" si="65"/>
        <v>0.74748747060287746</v>
      </c>
      <c r="CA118" s="544">
        <f t="shared" si="25"/>
        <v>16.174143168204505</v>
      </c>
      <c r="CB118" s="649">
        <f t="shared" si="26"/>
        <v>0.35176202179330474</v>
      </c>
      <c r="CC118" s="525">
        <f t="shared" si="66"/>
        <v>0.37228569708247661</v>
      </c>
      <c r="CD118" s="417">
        <f t="shared" si="27"/>
        <v>0.35176202179330474</v>
      </c>
      <c r="CE118" s="525">
        <f t="shared" si="67"/>
        <v>0.37228569708247661</v>
      </c>
      <c r="CG118" s="527">
        <f t="shared" si="68"/>
        <v>1866.8137636538759</v>
      </c>
      <c r="CH118" s="528">
        <f t="shared" si="69"/>
        <v>822.04985048743458</v>
      </c>
      <c r="CI118" s="528">
        <f t="shared" si="70"/>
        <v>3130.7735958113162</v>
      </c>
      <c r="CJ118" s="528">
        <f t="shared" si="71"/>
        <v>3963.1658689164906</v>
      </c>
      <c r="CK118" s="528">
        <f t="shared" si="72"/>
        <v>47.700544357875145</v>
      </c>
      <c r="CL118" s="528">
        <f t="shared" si="73"/>
        <v>9830.5036232269922</v>
      </c>
      <c r="CM118" s="646">
        <f t="shared" si="74"/>
        <v>0</v>
      </c>
    </row>
    <row r="119" spans="1:91">
      <c r="A119" s="873">
        <f>'Input data'!A139</f>
        <v>2039</v>
      </c>
      <c r="B119" s="1551">
        <f>'Input data'!B139</f>
        <v>70.942722252264574</v>
      </c>
      <c r="C119" s="1550">
        <f>'Input data'!C139</f>
        <v>4572.7379558768307</v>
      </c>
      <c r="D119" s="1550">
        <f>'Input data'!D139</f>
        <v>12411484.037087778</v>
      </c>
      <c r="E119" s="1455">
        <f t="shared" si="89"/>
        <v>1</v>
      </c>
      <c r="F119" s="1449">
        <f t="shared" si="89"/>
        <v>0.37</v>
      </c>
      <c r="G119" s="1554">
        <f>B119*F119*'Input data'!$C$9</f>
        <v>803.3996169955484</v>
      </c>
      <c r="H119" s="1542">
        <f>'Input data'!I139</f>
        <v>424.26313389388866</v>
      </c>
      <c r="I119" s="1509">
        <f>'Input data'!K139</f>
        <v>30098.381669709481</v>
      </c>
      <c r="J119" s="1509">
        <f t="shared" si="91"/>
        <v>2228.8062963921584</v>
      </c>
      <c r="K119" s="1511">
        <f t="shared" si="77"/>
        <v>11758.466923785847</v>
      </c>
      <c r="L119" s="1504">
        <f t="shared" si="90"/>
        <v>0.7</v>
      </c>
      <c r="M119" s="1504">
        <f t="shared" si="88"/>
        <v>0.6</v>
      </c>
      <c r="N119" s="1504">
        <f t="shared" si="88"/>
        <v>0.9</v>
      </c>
      <c r="O119" s="1504">
        <f t="shared" si="88"/>
        <v>0.9</v>
      </c>
      <c r="P119" s="1504">
        <f t="shared" si="88"/>
        <v>0.23600000000000002</v>
      </c>
      <c r="Q119" s="1508">
        <f t="shared" si="33"/>
        <v>322.2746005700385</v>
      </c>
      <c r="R119" s="1509">
        <f t="shared" si="34"/>
        <v>224.89323274368758</v>
      </c>
      <c r="S119" s="1509">
        <f t="shared" si="35"/>
        <v>658.58052024740118</v>
      </c>
      <c r="T119" s="1509">
        <f t="shared" si="36"/>
        <v>443.44689489092525</v>
      </c>
      <c r="U119" s="1511">
        <f t="shared" si="37"/>
        <v>0</v>
      </c>
      <c r="V119" s="1509">
        <f t="shared" si="38"/>
        <v>1649.1952484520525</v>
      </c>
      <c r="W119" s="1454">
        <f t="shared" si="87"/>
        <v>0.5</v>
      </c>
      <c r="X119" s="530">
        <f t="shared" si="39"/>
        <v>3033.4854703020706</v>
      </c>
      <c r="Y119" s="1508">
        <f t="shared" si="78"/>
        <v>4682.6807187541235</v>
      </c>
      <c r="Z119" s="1509">
        <f t="shared" si="79"/>
        <v>9304.5925014238819</v>
      </c>
      <c r="AA119" s="1511">
        <f t="shared" si="80"/>
        <v>7075.7862050317235</v>
      </c>
      <c r="AB119" s="1091">
        <f t="shared" si="40"/>
        <v>0.76046169716179568</v>
      </c>
      <c r="AC119" s="135" t="str">
        <f t="shared" si="41"/>
        <v>Yes</v>
      </c>
      <c r="AD119" s="1091">
        <f t="shared" si="42"/>
        <v>0.76046169716179568</v>
      </c>
      <c r="AE119" s="649">
        <f t="shared" si="10"/>
        <v>0.35405768073166866</v>
      </c>
      <c r="AF119" s="530">
        <f t="shared" si="43"/>
        <v>274.04951268746902</v>
      </c>
      <c r="AG119" s="528">
        <f t="shared" si="44"/>
        <v>2228.8062963921584</v>
      </c>
      <c r="AH119" s="528">
        <f t="shared" si="81"/>
        <v>9899.5999814492607</v>
      </c>
      <c r="AI119" s="528">
        <f t="shared" si="82"/>
        <v>6437.6604656145792</v>
      </c>
      <c r="AJ119" s="528">
        <f t="shared" si="11"/>
        <v>875.75171849957303</v>
      </c>
      <c r="AK119" s="528">
        <f t="shared" si="45"/>
        <v>19441.818461955572</v>
      </c>
      <c r="AL119" s="716">
        <f t="shared" si="12"/>
        <v>0</v>
      </c>
      <c r="AM119" s="417">
        <f t="shared" si="46"/>
        <v>0.11463980598078129</v>
      </c>
      <c r="AN119" s="417">
        <f t="shared" si="47"/>
        <v>0.50919105128057562</v>
      </c>
      <c r="AO119" s="417">
        <f t="shared" si="48"/>
        <v>0.33112439961375101</v>
      </c>
      <c r="AP119" s="417">
        <f t="shared" si="49"/>
        <v>4.5044743124892074E-2</v>
      </c>
      <c r="AQ119" s="417">
        <f t="shared" si="50"/>
        <v>0.99999999999999989</v>
      </c>
      <c r="AR119" s="1086">
        <f t="shared" si="13"/>
        <v>483.81252757926717</v>
      </c>
      <c r="AS119" s="938">
        <f t="shared" si="14"/>
        <v>613.60517397360763</v>
      </c>
      <c r="AT119" s="938">
        <f t="shared" si="15"/>
        <v>120.47576794979919</v>
      </c>
      <c r="AU119" s="938">
        <f t="shared" si="16"/>
        <v>0</v>
      </c>
      <c r="AV119" s="938">
        <f t="shared" si="17"/>
        <v>0</v>
      </c>
      <c r="AW119" s="938">
        <f t="shared" si="18"/>
        <v>0</v>
      </c>
      <c r="AX119" s="938">
        <f t="shared" si="19"/>
        <v>841.36255535014811</v>
      </c>
      <c r="AY119" s="938">
        <f t="shared" si="20"/>
        <v>67.771299168387969</v>
      </c>
      <c r="AZ119" s="938">
        <f t="shared" si="21"/>
        <v>19.050530001590165</v>
      </c>
      <c r="BA119" s="938">
        <f t="shared" si="22"/>
        <v>49.203808227065274</v>
      </c>
      <c r="BB119" s="938">
        <f t="shared" si="23"/>
        <v>33.52463414229279</v>
      </c>
      <c r="BC119" s="530">
        <f t="shared" si="51"/>
        <v>2228.8062963921579</v>
      </c>
      <c r="BD119" s="724">
        <f t="shared" si="52"/>
        <v>0</v>
      </c>
      <c r="BE119" s="436">
        <f t="shared" si="53"/>
        <v>0.21707248779870661</v>
      </c>
      <c r="BF119" s="624">
        <f t="shared" si="54"/>
        <v>0.27530664058463516</v>
      </c>
      <c r="BG119" s="624">
        <f t="shared" si="55"/>
        <v>5.4053942751695054E-2</v>
      </c>
      <c r="BH119" s="624">
        <f t="shared" si="56"/>
        <v>0</v>
      </c>
      <c r="BI119" s="624">
        <f t="shared" si="57"/>
        <v>0</v>
      </c>
      <c r="BJ119" s="624">
        <f t="shared" si="58"/>
        <v>0</v>
      </c>
      <c r="BK119" s="624">
        <f t="shared" si="59"/>
        <v>0.4535669288649633</v>
      </c>
      <c r="BL119" s="624">
        <f t="shared" si="60"/>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62.293194907230429</v>
      </c>
      <c r="BW119" s="114">
        <f t="shared" si="63"/>
        <v>0.74448656888414377</v>
      </c>
      <c r="BX119" s="1689">
        <f t="shared" si="24"/>
        <v>12.411484037087778</v>
      </c>
      <c r="BY119" s="527">
        <f t="shared" si="64"/>
        <v>62.293194907230429</v>
      </c>
      <c r="BZ119" s="417">
        <f t="shared" si="65"/>
        <v>0.74448656888414377</v>
      </c>
      <c r="CA119" s="544">
        <f t="shared" si="25"/>
        <v>12.411484037087778</v>
      </c>
      <c r="CB119" s="649">
        <f t="shared" si="26"/>
        <v>0.35405768073166866</v>
      </c>
      <c r="CC119" s="525">
        <f t="shared" si="66"/>
        <v>0.36447091826744249</v>
      </c>
      <c r="CD119" s="417">
        <f t="shared" si="27"/>
        <v>0.35405768073166866</v>
      </c>
      <c r="CE119" s="525">
        <f t="shared" si="67"/>
        <v>0.36447091826744249</v>
      </c>
      <c r="CG119" s="527">
        <f t="shared" si="68"/>
        <v>1879.9351699918909</v>
      </c>
      <c r="CH119" s="528">
        <f t="shared" si="69"/>
        <v>827.82785059026116</v>
      </c>
      <c r="CI119" s="528">
        <f t="shared" si="70"/>
        <v>3152.7790862907536</v>
      </c>
      <c r="CJ119" s="528">
        <f t="shared" si="71"/>
        <v>3991.0220540183304</v>
      </c>
      <c r="CK119" s="528">
        <f t="shared" si="72"/>
        <v>48.03582055802439</v>
      </c>
      <c r="CL119" s="528">
        <f t="shared" si="73"/>
        <v>9899.5999814492607</v>
      </c>
      <c r="CM119" s="646">
        <f t="shared" si="74"/>
        <v>0</v>
      </c>
    </row>
    <row r="120" spans="1:91">
      <c r="A120" s="873">
        <f>'Input data'!A140</f>
        <v>2040</v>
      </c>
      <c r="B120" s="1551">
        <f>'Input data'!B140</f>
        <v>71.425610993241406</v>
      </c>
      <c r="C120" s="1550">
        <f>'Input data'!C140</f>
        <v>4714.8820680263625</v>
      </c>
      <c r="D120" s="1550">
        <f>'Input data'!D140</f>
        <v>8648824.905971054</v>
      </c>
      <c r="E120" s="1455">
        <f t="shared" si="89"/>
        <v>1</v>
      </c>
      <c r="F120" s="1449">
        <f t="shared" si="89"/>
        <v>0.37</v>
      </c>
      <c r="G120" s="1554">
        <f>B120*F120*'Input data'!$C$9</f>
        <v>808.86815016196294</v>
      </c>
      <c r="H120" s="1542">
        <f>'Input data'!I140</f>
        <v>424.26313389388866</v>
      </c>
      <c r="I120" s="1509">
        <f>'Input data'!K140</f>
        <v>30303.253560278386</v>
      </c>
      <c r="J120" s="1509">
        <f t="shared" si="91"/>
        <v>2228.8062963921584</v>
      </c>
      <c r="K120" s="1511">
        <f t="shared" si="77"/>
        <v>11853.674670832446</v>
      </c>
      <c r="L120" s="1504">
        <f t="shared" si="90"/>
        <v>0.7</v>
      </c>
      <c r="M120" s="1504">
        <f t="shared" si="88"/>
        <v>0.6</v>
      </c>
      <c r="N120" s="1504">
        <f t="shared" si="88"/>
        <v>0.9</v>
      </c>
      <c r="O120" s="1504">
        <f t="shared" si="88"/>
        <v>0.9</v>
      </c>
      <c r="P120" s="1504">
        <f t="shared" si="88"/>
        <v>0.23600000000000002</v>
      </c>
      <c r="Q120" s="1508">
        <f t="shared" si="33"/>
        <v>324.46824032866948</v>
      </c>
      <c r="R120" s="1509">
        <f t="shared" si="34"/>
        <v>226.42402274674998</v>
      </c>
      <c r="S120" s="1509">
        <f t="shared" si="35"/>
        <v>663.06330732065862</v>
      </c>
      <c r="T120" s="1509">
        <f t="shared" si="36"/>
        <v>446.46532308152291</v>
      </c>
      <c r="U120" s="1511">
        <f t="shared" si="37"/>
        <v>0</v>
      </c>
      <c r="V120" s="1509">
        <f t="shared" si="38"/>
        <v>1660.4208934776011</v>
      </c>
      <c r="W120" s="1454">
        <f t="shared" si="87"/>
        <v>0.5</v>
      </c>
      <c r="X120" s="530">
        <f t="shared" si="39"/>
        <v>3033.4854703020706</v>
      </c>
      <c r="Y120" s="1508">
        <f t="shared" si="78"/>
        <v>4693.9063637796717</v>
      </c>
      <c r="Z120" s="1509">
        <f t="shared" si="79"/>
        <v>9388.574603444933</v>
      </c>
      <c r="AA120" s="1511">
        <f t="shared" si="80"/>
        <v>7159.7683070527746</v>
      </c>
      <c r="AB120" s="1091">
        <f t="shared" si="40"/>
        <v>0.76260440050459344</v>
      </c>
      <c r="AC120" s="135" t="str">
        <f t="shared" si="41"/>
        <v>Yes</v>
      </c>
      <c r="AD120" s="1091">
        <f t="shared" si="42"/>
        <v>0.76260440050459344</v>
      </c>
      <c r="AE120" s="649">
        <f t="shared" si="10"/>
        <v>0.35626461992319958</v>
      </c>
      <c r="AF120" s="530">
        <f t="shared" si="43"/>
        <v>273.11318974975688</v>
      </c>
      <c r="AG120" s="528">
        <f t="shared" si="44"/>
        <v>2228.8062963921584</v>
      </c>
      <c r="AH120" s="528">
        <f t="shared" si="81"/>
        <v>9966.983995192315</v>
      </c>
      <c r="AI120" s="528">
        <f t="shared" si="82"/>
        <v>6437.6604656145792</v>
      </c>
      <c r="AJ120" s="528">
        <f t="shared" si="11"/>
        <v>873.82569099040768</v>
      </c>
      <c r="AK120" s="528">
        <f t="shared" si="45"/>
        <v>19507.276448189463</v>
      </c>
      <c r="AL120" s="716">
        <f t="shared" si="12"/>
        <v>0</v>
      </c>
      <c r="AM120" s="417">
        <f t="shared" si="46"/>
        <v>0.11425512435381627</v>
      </c>
      <c r="AN120" s="417">
        <f t="shared" si="47"/>
        <v>0.51093672772127985</v>
      </c>
      <c r="AO120" s="417">
        <f t="shared" si="48"/>
        <v>0.33001328928273227</v>
      </c>
      <c r="AP120" s="417">
        <f t="shared" si="49"/>
        <v>4.4794858642171469E-2</v>
      </c>
      <c r="AQ120" s="417">
        <f t="shared" si="50"/>
        <v>0.99999999999999989</v>
      </c>
      <c r="AR120" s="1086">
        <f t="shared" si="13"/>
        <v>484.90950687902318</v>
      </c>
      <c r="AS120" s="938">
        <f t="shared" si="14"/>
        <v>614.99644049876406</v>
      </c>
      <c r="AT120" s="938">
        <f t="shared" si="15"/>
        <v>120.2108074154862</v>
      </c>
      <c r="AU120" s="938">
        <f t="shared" si="16"/>
        <v>0</v>
      </c>
      <c r="AV120" s="938">
        <f t="shared" si="17"/>
        <v>0</v>
      </c>
      <c r="AW120" s="938">
        <f t="shared" si="18"/>
        <v>0</v>
      </c>
      <c r="AX120" s="938">
        <f t="shared" si="19"/>
        <v>839.51215940737745</v>
      </c>
      <c r="AY120" s="938">
        <f t="shared" si="20"/>
        <v>67.622250775135797</v>
      </c>
      <c r="AZ120" s="938">
        <f t="shared" si="21"/>
        <v>19.00863245908792</v>
      </c>
      <c r="BA120" s="938">
        <f t="shared" si="22"/>
        <v>49.095595035815762</v>
      </c>
      <c r="BB120" s="938">
        <f t="shared" si="23"/>
        <v>33.450903921467891</v>
      </c>
      <c r="BC120" s="530">
        <f t="shared" si="51"/>
        <v>2228.8062963921579</v>
      </c>
      <c r="BD120" s="724">
        <f t="shared" si="52"/>
        <v>0</v>
      </c>
      <c r="BE120" s="436">
        <f t="shared" si="53"/>
        <v>0.21756467022906484</v>
      </c>
      <c r="BF120" s="624">
        <f t="shared" si="54"/>
        <v>0.27593086105969777</v>
      </c>
      <c r="BG120" s="624">
        <f t="shared" si="55"/>
        <v>5.3935062732941567E-2</v>
      </c>
      <c r="BH120" s="624">
        <f t="shared" si="56"/>
        <v>0</v>
      </c>
      <c r="BI120" s="624">
        <f t="shared" si="57"/>
        <v>0</v>
      </c>
      <c r="BJ120" s="624">
        <f t="shared" si="58"/>
        <v>0</v>
      </c>
      <c r="BK120" s="624">
        <f t="shared" si="59"/>
        <v>0.45256940597829598</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61.582439713021515</v>
      </c>
      <c r="BW120" s="114">
        <f t="shared" si="63"/>
        <v>0.74153755453521497</v>
      </c>
      <c r="BX120" s="1689">
        <f t="shared" si="24"/>
        <v>8.648824905971054</v>
      </c>
      <c r="BY120" s="527">
        <f t="shared" si="64"/>
        <v>61.582439713021515</v>
      </c>
      <c r="BZ120" s="417">
        <f t="shared" si="65"/>
        <v>0.74153755453521497</v>
      </c>
      <c r="CA120" s="544">
        <f t="shared" si="25"/>
        <v>8.648824905971054</v>
      </c>
      <c r="CB120" s="649">
        <f t="shared" si="26"/>
        <v>0.35626461992319958</v>
      </c>
      <c r="CC120" s="525">
        <f t="shared" si="66"/>
        <v>0.35639090656888506</v>
      </c>
      <c r="CD120" s="417">
        <f t="shared" si="27"/>
        <v>0.35626461992319958</v>
      </c>
      <c r="CE120" s="525">
        <f t="shared" si="67"/>
        <v>0.35639090656888506</v>
      </c>
      <c r="CG120" s="527">
        <f t="shared" si="68"/>
        <v>1892.7314019172379</v>
      </c>
      <c r="CH120" s="528">
        <f t="shared" si="69"/>
        <v>833.46266041748527</v>
      </c>
      <c r="CI120" s="528">
        <f t="shared" si="70"/>
        <v>3174.2392371733686</v>
      </c>
      <c r="CJ120" s="528">
        <f t="shared" si="71"/>
        <v>4018.187907733708</v>
      </c>
      <c r="CK120" s="528">
        <f t="shared" si="72"/>
        <v>48.362787950515632</v>
      </c>
      <c r="CL120" s="528">
        <f t="shared" si="73"/>
        <v>9966.9839951923132</v>
      </c>
      <c r="CM120" s="646">
        <f t="shared" si="74"/>
        <v>0</v>
      </c>
    </row>
    <row r="121" spans="1:91">
      <c r="A121" s="873">
        <f>'Input data'!A141</f>
        <v>2041</v>
      </c>
      <c r="B121" s="1551">
        <f>'Input data'!B141</f>
        <v>71.895928013305991</v>
      </c>
      <c r="C121" s="1550">
        <f>'Input data'!C141</f>
        <v>4861.7822977789338</v>
      </c>
      <c r="D121" s="1550">
        <f>'Input data'!D141</f>
        <v>7702881.2953237193</v>
      </c>
      <c r="E121" s="1455">
        <f t="shared" si="89"/>
        <v>1</v>
      </c>
      <c r="F121" s="1449">
        <f t="shared" si="89"/>
        <v>0.37</v>
      </c>
      <c r="G121" s="1554">
        <f>B121*F121*'Input data'!$C$9</f>
        <v>814.19431332275587</v>
      </c>
      <c r="H121" s="1542">
        <f>'Input data'!I141</f>
        <v>424.26313389388866</v>
      </c>
      <c r="I121" s="1509">
        <f>'Input data'!K141</f>
        <v>30502.791733134622</v>
      </c>
      <c r="J121" s="1509">
        <f t="shared" si="91"/>
        <v>2228.8062963921584</v>
      </c>
      <c r="K121" s="1511">
        <f t="shared" si="77"/>
        <v>11946.403740860955</v>
      </c>
      <c r="L121" s="1504">
        <f t="shared" si="90"/>
        <v>0.7</v>
      </c>
      <c r="M121" s="1504">
        <f t="shared" si="88"/>
        <v>0.6</v>
      </c>
      <c r="N121" s="1504">
        <f t="shared" si="88"/>
        <v>0.9</v>
      </c>
      <c r="O121" s="1504">
        <f t="shared" si="88"/>
        <v>0.9</v>
      </c>
      <c r="P121" s="1504">
        <f t="shared" si="88"/>
        <v>0.23600000000000002</v>
      </c>
      <c r="Q121" s="1508">
        <f t="shared" si="33"/>
        <v>326.60476998203717</v>
      </c>
      <c r="R121" s="1509">
        <f t="shared" si="34"/>
        <v>227.91495954334766</v>
      </c>
      <c r="S121" s="1509">
        <f t="shared" si="35"/>
        <v>667.42938770102455</v>
      </c>
      <c r="T121" s="1509">
        <f t="shared" si="36"/>
        <v>449.40516829101944</v>
      </c>
      <c r="U121" s="1511">
        <f t="shared" si="37"/>
        <v>0</v>
      </c>
      <c r="V121" s="1509">
        <f t="shared" si="38"/>
        <v>1671.3542855174287</v>
      </c>
      <c r="W121" s="1454">
        <f t="shared" si="87"/>
        <v>0.5</v>
      </c>
      <c r="X121" s="530">
        <f t="shared" si="39"/>
        <v>3033.4854703020706</v>
      </c>
      <c r="Y121" s="1508">
        <f t="shared" si="78"/>
        <v>4704.8397558194993</v>
      </c>
      <c r="Z121" s="1509">
        <f t="shared" si="79"/>
        <v>9470.3702814336139</v>
      </c>
      <c r="AA121" s="1511">
        <f t="shared" si="80"/>
        <v>7241.5639850414555</v>
      </c>
      <c r="AB121" s="1091">
        <f t="shared" si="40"/>
        <v>0.76465478855017222</v>
      </c>
      <c r="AC121" s="135" t="str">
        <f t="shared" si="41"/>
        <v>Yes</v>
      </c>
      <c r="AD121" s="1091">
        <f t="shared" si="42"/>
        <v>0.76465478855017222</v>
      </c>
      <c r="AE121" s="649">
        <f t="shared" si="10"/>
        <v>0.35838452810832588</v>
      </c>
      <c r="AF121" s="530">
        <f t="shared" si="43"/>
        <v>272.21379085956789</v>
      </c>
      <c r="AG121" s="528">
        <f t="shared" si="44"/>
        <v>2228.8062963921584</v>
      </c>
      <c r="AH121" s="528">
        <f t="shared" si="81"/>
        <v>10032.613706250633</v>
      </c>
      <c r="AI121" s="528">
        <f t="shared" si="82"/>
        <v>6437.6604656145792</v>
      </c>
      <c r="AJ121" s="528">
        <f t="shared" si="11"/>
        <v>871.98264361125325</v>
      </c>
      <c r="AK121" s="528">
        <f t="shared" si="45"/>
        <v>19571.063111868625</v>
      </c>
      <c r="AL121" s="716">
        <f t="shared" si="12"/>
        <v>0</v>
      </c>
      <c r="AM121" s="417">
        <f t="shared" si="46"/>
        <v>0.11388274022991254</v>
      </c>
      <c r="AN121" s="417">
        <f t="shared" si="47"/>
        <v>0.51262487116330846</v>
      </c>
      <c r="AO121" s="417">
        <f t="shared" si="48"/>
        <v>0.32893769892911645</v>
      </c>
      <c r="AP121" s="417">
        <f t="shared" si="49"/>
        <v>4.4554689677662442E-2</v>
      </c>
      <c r="AQ121" s="417">
        <f t="shared" si="50"/>
        <v>0.99999999999999989</v>
      </c>
      <c r="AR121" s="1086">
        <f t="shared" si="13"/>
        <v>485.95922440059604</v>
      </c>
      <c r="AS121" s="938">
        <f t="shared" si="14"/>
        <v>616.32776630314243</v>
      </c>
      <c r="AT121" s="938">
        <f t="shared" si="15"/>
        <v>119.95726232538708</v>
      </c>
      <c r="AU121" s="938">
        <f t="shared" si="16"/>
        <v>0</v>
      </c>
      <c r="AV121" s="938">
        <f t="shared" si="17"/>
        <v>0</v>
      </c>
      <c r="AW121" s="938">
        <f t="shared" si="18"/>
        <v>0</v>
      </c>
      <c r="AX121" s="938">
        <f t="shared" si="19"/>
        <v>837.74148511716487</v>
      </c>
      <c r="AY121" s="938">
        <f t="shared" si="20"/>
        <v>67.479623917916271</v>
      </c>
      <c r="AZ121" s="938">
        <f t="shared" si="21"/>
        <v>18.968540012051516</v>
      </c>
      <c r="BA121" s="938">
        <f t="shared" si="22"/>
        <v>48.992044054548408</v>
      </c>
      <c r="BB121" s="938">
        <f t="shared" si="23"/>
        <v>33.380350261351836</v>
      </c>
      <c r="BC121" s="530">
        <f t="shared" si="51"/>
        <v>2228.8062963921584</v>
      </c>
      <c r="BD121" s="724">
        <f t="shared" si="52"/>
        <v>0</v>
      </c>
      <c r="BE121" s="436">
        <f t="shared" si="53"/>
        <v>0.21803564768604347</v>
      </c>
      <c r="BF121" s="624">
        <f t="shared" si="54"/>
        <v>0.27652818789179318</v>
      </c>
      <c r="BG121" s="624">
        <f t="shared" si="55"/>
        <v>5.38213044891186E-2</v>
      </c>
      <c r="BH121" s="624">
        <f t="shared" si="56"/>
        <v>0</v>
      </c>
      <c r="BI121" s="624">
        <f t="shared" si="57"/>
        <v>0</v>
      </c>
      <c r="BJ121" s="624">
        <f t="shared" si="58"/>
        <v>0</v>
      </c>
      <c r="BK121" s="624">
        <f t="shared" si="59"/>
        <v>0.45161485993304479</v>
      </c>
      <c r="BL121" s="624">
        <f t="shared" si="60"/>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62.021086616180682</v>
      </c>
      <c r="BW121" s="114">
        <f t="shared" si="63"/>
        <v>0.74336554171621483</v>
      </c>
      <c r="BX121" s="1689">
        <f t="shared" si="24"/>
        <v>7.7028812953237189</v>
      </c>
      <c r="BY121" s="527">
        <f t="shared" si="64"/>
        <v>62.021086616180682</v>
      </c>
      <c r="BZ121" s="417">
        <f t="shared" si="65"/>
        <v>0.74336554171621483</v>
      </c>
      <c r="CA121" s="544">
        <f t="shared" si="25"/>
        <v>7.7028812953237189</v>
      </c>
      <c r="CB121" s="649">
        <f t="shared" si="26"/>
        <v>0.35838452810832588</v>
      </c>
      <c r="CC121" s="525">
        <f t="shared" si="66"/>
        <v>0.35871453382957752</v>
      </c>
      <c r="CD121" s="417">
        <f t="shared" si="27"/>
        <v>0.35838452810832588</v>
      </c>
      <c r="CE121" s="525">
        <f t="shared" si="67"/>
        <v>0.35871453382957752</v>
      </c>
      <c r="CG121" s="527">
        <f t="shared" si="68"/>
        <v>1905.1944915618835</v>
      </c>
      <c r="CH121" s="528">
        <f t="shared" si="69"/>
        <v>838.95077132520623</v>
      </c>
      <c r="CI121" s="528">
        <f t="shared" si="70"/>
        <v>3195.1406858027785</v>
      </c>
      <c r="CJ121" s="528">
        <f t="shared" si="71"/>
        <v>4044.6465146191808</v>
      </c>
      <c r="CK121" s="528">
        <f t="shared" si="72"/>
        <v>48.68124294158396</v>
      </c>
      <c r="CL121" s="528">
        <f t="shared" si="73"/>
        <v>10032.613706250633</v>
      </c>
      <c r="CM121" s="646">
        <f t="shared" si="74"/>
        <v>0</v>
      </c>
    </row>
    <row r="122" spans="1:91">
      <c r="A122" s="873">
        <f>'Input data'!A142</f>
        <v>2042</v>
      </c>
      <c r="B122" s="1551">
        <f>'Input data'!B142</f>
        <v>72.353378891150228</v>
      </c>
      <c r="C122" s="1550">
        <f>'Input data'!C142</f>
        <v>4999.630924015547</v>
      </c>
      <c r="D122" s="1550">
        <f>'Input data'!D142</f>
        <v>6756937.6846763855</v>
      </c>
      <c r="E122" s="1455">
        <f t="shared" si="89"/>
        <v>1</v>
      </c>
      <c r="F122" s="1449">
        <f t="shared" si="89"/>
        <v>0.37</v>
      </c>
      <c r="G122" s="1554">
        <f>B122*F122*'Input data'!$C$9</f>
        <v>819.37477226747319</v>
      </c>
      <c r="H122" s="1542">
        <f>'Input data'!I142</f>
        <v>424.26313389388866</v>
      </c>
      <c r="I122" s="1509">
        <f>'Input data'!K142</f>
        <v>30696.871276171329</v>
      </c>
      <c r="J122" s="1509">
        <f t="shared" si="91"/>
        <v>2228.8062963921584</v>
      </c>
      <c r="K122" s="1511">
        <f t="shared" si="77"/>
        <v>12036.596084910925</v>
      </c>
      <c r="L122" s="1504">
        <f t="shared" si="90"/>
        <v>0.7</v>
      </c>
      <c r="M122" s="1504">
        <f t="shared" si="88"/>
        <v>0.6</v>
      </c>
      <c r="N122" s="1504">
        <f t="shared" si="88"/>
        <v>0.9</v>
      </c>
      <c r="O122" s="1504">
        <f t="shared" si="88"/>
        <v>0.9</v>
      </c>
      <c r="P122" s="1504">
        <f t="shared" si="88"/>
        <v>0.23600000000000002</v>
      </c>
      <c r="Q122" s="1508">
        <f t="shared" si="33"/>
        <v>328.68285204961626</v>
      </c>
      <c r="R122" s="1509">
        <f t="shared" si="34"/>
        <v>229.36510979799971</v>
      </c>
      <c r="S122" s="1509">
        <f t="shared" si="35"/>
        <v>671.67602819569038</v>
      </c>
      <c r="T122" s="1509">
        <f t="shared" si="36"/>
        <v>452.26459015847831</v>
      </c>
      <c r="U122" s="1511">
        <f t="shared" si="37"/>
        <v>0</v>
      </c>
      <c r="V122" s="1509">
        <f t="shared" si="38"/>
        <v>1681.9885802017848</v>
      </c>
      <c r="W122" s="1454">
        <f t="shared" si="87"/>
        <v>0.5</v>
      </c>
      <c r="X122" s="530">
        <f t="shared" si="39"/>
        <v>3033.4854703020706</v>
      </c>
      <c r="Y122" s="1508">
        <f t="shared" si="78"/>
        <v>4715.4740505038553</v>
      </c>
      <c r="Z122" s="1509">
        <f t="shared" si="79"/>
        <v>9549.9283307992282</v>
      </c>
      <c r="AA122" s="1511">
        <f t="shared" si="80"/>
        <v>7321.1220344070698</v>
      </c>
      <c r="AB122" s="1091">
        <f t="shared" si="40"/>
        <v>0.76661539027428172</v>
      </c>
      <c r="AC122" s="135" t="str">
        <f t="shared" si="41"/>
        <v>Yes</v>
      </c>
      <c r="AD122" s="1091">
        <f t="shared" si="42"/>
        <v>0.76661539027428172</v>
      </c>
      <c r="AE122" s="649">
        <f t="shared" si="10"/>
        <v>0.36041901734796378</v>
      </c>
      <c r="AF122" s="530">
        <f t="shared" si="43"/>
        <v>271.35063207888572</v>
      </c>
      <c r="AG122" s="528">
        <f t="shared" si="44"/>
        <v>2228.8062963921584</v>
      </c>
      <c r="AH122" s="528">
        <f t="shared" si="81"/>
        <v>10096.448030026901</v>
      </c>
      <c r="AI122" s="528">
        <f t="shared" si="82"/>
        <v>6437.6604656145792</v>
      </c>
      <c r="AJ122" s="528">
        <f t="shared" si="11"/>
        <v>870.22030312308186</v>
      </c>
      <c r="AK122" s="528">
        <f t="shared" si="45"/>
        <v>19633.135095156722</v>
      </c>
      <c r="AL122" s="716">
        <f t="shared" si="12"/>
        <v>0</v>
      </c>
      <c r="AM122" s="417">
        <f t="shared" si="46"/>
        <v>0.11352268935092187</v>
      </c>
      <c r="AN122" s="417">
        <f t="shared" si="47"/>
        <v>0.51425551655871726</v>
      </c>
      <c r="AO122" s="417">
        <f t="shared" si="48"/>
        <v>0.32789773178928916</v>
      </c>
      <c r="AP122" s="417">
        <f t="shared" si="49"/>
        <v>4.4324062301071603E-2</v>
      </c>
      <c r="AQ122" s="417">
        <f t="shared" si="50"/>
        <v>0.99999999999999989</v>
      </c>
      <c r="AR122" s="1086">
        <f t="shared" si="13"/>
        <v>486.96297487946799</v>
      </c>
      <c r="AS122" s="938">
        <f t="shared" si="14"/>
        <v>617.60079346160808</v>
      </c>
      <c r="AT122" s="938">
        <f t="shared" si="15"/>
        <v>119.71481995363217</v>
      </c>
      <c r="AU122" s="938">
        <f t="shared" si="16"/>
        <v>0</v>
      </c>
      <c r="AV122" s="938">
        <f t="shared" si="17"/>
        <v>0</v>
      </c>
      <c r="AW122" s="938">
        <f t="shared" si="18"/>
        <v>0</v>
      </c>
      <c r="AX122" s="938">
        <f t="shared" si="19"/>
        <v>836.04834850640793</v>
      </c>
      <c r="AY122" s="938">
        <f t="shared" si="20"/>
        <v>67.343242678876209</v>
      </c>
      <c r="AZ122" s="938">
        <f t="shared" si="21"/>
        <v>18.930203209926265</v>
      </c>
      <c r="BA122" s="938">
        <f t="shared" si="22"/>
        <v>48.893027562112145</v>
      </c>
      <c r="BB122" s="938">
        <f t="shared" si="23"/>
        <v>33.312886140126572</v>
      </c>
      <c r="BC122" s="530">
        <f t="shared" si="51"/>
        <v>2228.8062963921575</v>
      </c>
      <c r="BD122" s="724">
        <f t="shared" si="52"/>
        <v>0</v>
      </c>
      <c r="BE122" s="436">
        <f t="shared" si="53"/>
        <v>0.21848600107947069</v>
      </c>
      <c r="BF122" s="624">
        <f t="shared" si="54"/>
        <v>0.27709935783174111</v>
      </c>
      <c r="BG122" s="624">
        <f t="shared" si="55"/>
        <v>5.3712527709302738E-2</v>
      </c>
      <c r="BH122" s="624">
        <f t="shared" si="56"/>
        <v>0</v>
      </c>
      <c r="BI122" s="624">
        <f t="shared" si="57"/>
        <v>0</v>
      </c>
      <c r="BJ122" s="624">
        <f t="shared" si="58"/>
        <v>0</v>
      </c>
      <c r="BK122" s="624">
        <f t="shared" si="59"/>
        <v>0.4507021133794854</v>
      </c>
      <c r="BL122" s="624">
        <f t="shared" si="60"/>
        <v>0.99999999999999989</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62.411606325653402</v>
      </c>
      <c r="BW122" s="114">
        <f t="shared" si="63"/>
        <v>0.74497134582846192</v>
      </c>
      <c r="BX122" s="1689">
        <f t="shared" si="24"/>
        <v>6.7569376846763856</v>
      </c>
      <c r="BY122" s="527">
        <f t="shared" si="64"/>
        <v>62.411606325653402</v>
      </c>
      <c r="BZ122" s="417">
        <f t="shared" si="65"/>
        <v>0.74497134582846192</v>
      </c>
      <c r="CA122" s="544">
        <f t="shared" si="25"/>
        <v>6.7569376846763856</v>
      </c>
      <c r="CB122" s="649">
        <f t="shared" si="26"/>
        <v>0.36041901734796378</v>
      </c>
      <c r="CC122" s="525">
        <f t="shared" si="66"/>
        <v>0.36063480048691077</v>
      </c>
      <c r="CD122" s="417">
        <f t="shared" si="27"/>
        <v>0.36041901734796378</v>
      </c>
      <c r="CE122" s="525">
        <f t="shared" si="67"/>
        <v>0.36063480048691077</v>
      </c>
      <c r="CG122" s="527">
        <f t="shared" si="68"/>
        <v>1917.3166369560943</v>
      </c>
      <c r="CH122" s="528">
        <f t="shared" si="69"/>
        <v>844.2887477226983</v>
      </c>
      <c r="CI122" s="528">
        <f t="shared" si="70"/>
        <v>3215.4703477453268</v>
      </c>
      <c r="CJ122" s="528">
        <f t="shared" si="71"/>
        <v>4070.3813114263066</v>
      </c>
      <c r="CK122" s="528">
        <f t="shared" si="72"/>
        <v>48.990986176472788</v>
      </c>
      <c r="CL122" s="528">
        <f t="shared" si="73"/>
        <v>10096.448030026901</v>
      </c>
      <c r="CM122" s="646">
        <f t="shared" si="74"/>
        <v>0</v>
      </c>
    </row>
    <row r="123" spans="1:91">
      <c r="A123" s="873">
        <f>'Input data'!A143</f>
        <v>2043</v>
      </c>
      <c r="B123" s="1551">
        <f>'Input data'!B143</f>
        <v>72.797675771420302</v>
      </c>
      <c r="C123" s="1550">
        <f>'Input data'!C143</f>
        <v>5140.3990299017887</v>
      </c>
      <c r="D123" s="1550">
        <f>'Input data'!D143</f>
        <v>5810994.0740290517</v>
      </c>
      <c r="E123" s="1455">
        <f t="shared" si="89"/>
        <v>1</v>
      </c>
      <c r="F123" s="1449">
        <f t="shared" si="89"/>
        <v>0.37</v>
      </c>
      <c r="G123" s="1554">
        <f>B123*F123*'Input data'!$C$9</f>
        <v>824.40626714262089</v>
      </c>
      <c r="H123" s="1542">
        <f>'Input data'!I143</f>
        <v>424.26313389388866</v>
      </c>
      <c r="I123" s="1509">
        <f>'Input data'!K143</f>
        <v>30885.370062973987</v>
      </c>
      <c r="J123" s="1509">
        <f t="shared" si="91"/>
        <v>2228.8062963921584</v>
      </c>
      <c r="K123" s="1511">
        <f t="shared" si="77"/>
        <v>12124.194948584523</v>
      </c>
      <c r="L123" s="1504">
        <f t="shared" si="90"/>
        <v>0.7</v>
      </c>
      <c r="M123" s="1504">
        <f t="shared" si="88"/>
        <v>0.6</v>
      </c>
      <c r="N123" s="1504">
        <f t="shared" si="88"/>
        <v>0.9</v>
      </c>
      <c r="O123" s="1504">
        <f t="shared" si="88"/>
        <v>0.9</v>
      </c>
      <c r="P123" s="1504">
        <f t="shared" si="88"/>
        <v>0.23600000000000002</v>
      </c>
      <c r="Q123" s="1508">
        <f t="shared" si="33"/>
        <v>330.70117887832748</v>
      </c>
      <c r="R123" s="1509">
        <f t="shared" si="34"/>
        <v>230.77356098974508</v>
      </c>
      <c r="S123" s="1509">
        <f t="shared" si="35"/>
        <v>675.8005565653807</v>
      </c>
      <c r="T123" s="1509">
        <f t="shared" si="36"/>
        <v>455.04178936525341</v>
      </c>
      <c r="U123" s="1511">
        <f t="shared" si="37"/>
        <v>0</v>
      </c>
      <c r="V123" s="1509">
        <f t="shared" si="38"/>
        <v>1692.3170857987066</v>
      </c>
      <c r="W123" s="1454">
        <f t="shared" si="87"/>
        <v>0.5</v>
      </c>
      <c r="X123" s="530">
        <f t="shared" si="39"/>
        <v>3033.4854703020706</v>
      </c>
      <c r="Y123" s="1508">
        <f t="shared" si="78"/>
        <v>4725.8025561007771</v>
      </c>
      <c r="Z123" s="1509">
        <f t="shared" si="79"/>
        <v>9627.1986888759056</v>
      </c>
      <c r="AA123" s="1511">
        <f t="shared" si="80"/>
        <v>7398.3923924837472</v>
      </c>
      <c r="AB123" s="1091">
        <f t="shared" si="40"/>
        <v>0.76848859482171972</v>
      </c>
      <c r="AC123" s="135" t="str">
        <f t="shared" si="41"/>
        <v>Yes</v>
      </c>
      <c r="AD123" s="1091">
        <f t="shared" si="42"/>
        <v>0.76848859482171972</v>
      </c>
      <c r="AE123" s="649">
        <f t="shared" si="10"/>
        <v>0.36236962542489271</v>
      </c>
      <c r="AF123" s="530">
        <f t="shared" si="43"/>
        <v>270.5230609831691</v>
      </c>
      <c r="AG123" s="528">
        <f t="shared" si="44"/>
        <v>2228.8062963921584</v>
      </c>
      <c r="AH123" s="528">
        <f t="shared" si="81"/>
        <v>10158.446798160428</v>
      </c>
      <c r="AI123" s="528">
        <f t="shared" si="82"/>
        <v>6437.6604656145792</v>
      </c>
      <c r="AJ123" s="528">
        <f t="shared" si="11"/>
        <v>868.53652197774227</v>
      </c>
      <c r="AK123" s="528">
        <f t="shared" si="45"/>
        <v>19693.450082144907</v>
      </c>
      <c r="AL123" s="716">
        <f t="shared" si="12"/>
        <v>0</v>
      </c>
      <c r="AM123" s="417">
        <f t="shared" si="46"/>
        <v>0.11317500423213851</v>
      </c>
      <c r="AN123" s="417">
        <f t="shared" si="47"/>
        <v>0.51582870222270494</v>
      </c>
      <c r="AO123" s="417">
        <f t="shared" si="48"/>
        <v>0.32689348178008143</v>
      </c>
      <c r="AP123" s="417">
        <f t="shared" si="49"/>
        <v>4.4102811765075238E-2</v>
      </c>
      <c r="AQ123" s="417">
        <f t="shared" si="50"/>
        <v>1.0000000000000002</v>
      </c>
      <c r="AR123" s="1086">
        <f t="shared" si="13"/>
        <v>487.92198146320982</v>
      </c>
      <c r="AS123" s="938">
        <f t="shared" si="14"/>
        <v>618.81707325618675</v>
      </c>
      <c r="AT123" s="938">
        <f t="shared" si="15"/>
        <v>119.48318486544555</v>
      </c>
      <c r="AU123" s="938">
        <f t="shared" si="16"/>
        <v>0</v>
      </c>
      <c r="AV123" s="938">
        <f t="shared" si="17"/>
        <v>0</v>
      </c>
      <c r="AW123" s="938">
        <f t="shared" si="18"/>
        <v>0</v>
      </c>
      <c r="AX123" s="938">
        <f t="shared" si="19"/>
        <v>834.43068635723114</v>
      </c>
      <c r="AY123" s="938">
        <f t="shared" si="20"/>
        <v>67.212940866930694</v>
      </c>
      <c r="AZ123" s="938">
        <f t="shared" si="21"/>
        <v>18.893575336354676</v>
      </c>
      <c r="BA123" s="938">
        <f t="shared" si="22"/>
        <v>48.798424899255266</v>
      </c>
      <c r="BB123" s="938">
        <f t="shared" si="23"/>
        <v>33.24842934754394</v>
      </c>
      <c r="BC123" s="530">
        <f t="shared" si="51"/>
        <v>2228.8062963921579</v>
      </c>
      <c r="BD123" s="724">
        <f t="shared" si="52"/>
        <v>0</v>
      </c>
      <c r="BE123" s="436">
        <f t="shared" si="53"/>
        <v>0.21891627919977846</v>
      </c>
      <c r="BF123" s="624">
        <f t="shared" si="54"/>
        <v>0.27764506689427715</v>
      </c>
      <c r="BG123" s="624">
        <f t="shared" si="55"/>
        <v>5.3608599840576955E-2</v>
      </c>
      <c r="BH123" s="624">
        <f t="shared" si="56"/>
        <v>0</v>
      </c>
      <c r="BI123" s="624">
        <f t="shared" si="57"/>
        <v>0</v>
      </c>
      <c r="BJ123" s="624">
        <f t="shared" si="58"/>
        <v>0</v>
      </c>
      <c r="BK123" s="624">
        <f t="shared" si="59"/>
        <v>0.44983005406536741</v>
      </c>
      <c r="BL123" s="624">
        <f t="shared" si="60"/>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62.815338804991427</v>
      </c>
      <c r="BW123" s="114">
        <f t="shared" si="63"/>
        <v>0.74661048927351392</v>
      </c>
      <c r="BX123" s="1689">
        <f t="shared" si="24"/>
        <v>5.8109940740290513</v>
      </c>
      <c r="BY123" s="527">
        <f t="shared" si="64"/>
        <v>62.815338804991427</v>
      </c>
      <c r="BZ123" s="417">
        <f t="shared" si="65"/>
        <v>0.74661048927351392</v>
      </c>
      <c r="CA123" s="544">
        <f t="shared" si="25"/>
        <v>5.8109940740290513</v>
      </c>
      <c r="CB123" s="649">
        <f t="shared" si="26"/>
        <v>0.36236962542489271</v>
      </c>
      <c r="CC123" s="525">
        <f t="shared" si="66"/>
        <v>0.36262429513389205</v>
      </c>
      <c r="CD123" s="417">
        <f t="shared" si="27"/>
        <v>0.36236962542489271</v>
      </c>
      <c r="CE123" s="525">
        <f t="shared" si="67"/>
        <v>0.36262429513389205</v>
      </c>
      <c r="CG123" s="527">
        <f t="shared" si="68"/>
        <v>1929.0902101235763</v>
      </c>
      <c r="CH123" s="528">
        <f t="shared" si="69"/>
        <v>849.47323063709894</v>
      </c>
      <c r="CI123" s="528">
        <f t="shared" si="70"/>
        <v>3235.2154303661873</v>
      </c>
      <c r="CJ123" s="528">
        <f t="shared" si="71"/>
        <v>4095.3761042872866</v>
      </c>
      <c r="CK123" s="528">
        <f t="shared" si="72"/>
        <v>49.291822746279806</v>
      </c>
      <c r="CL123" s="528">
        <f t="shared" si="73"/>
        <v>10158.446798160428</v>
      </c>
      <c r="CM123" s="646">
        <f t="shared" si="74"/>
        <v>0</v>
      </c>
    </row>
    <row r="124" spans="1:91">
      <c r="A124" s="873">
        <f>'Input data'!A144</f>
        <v>2044</v>
      </c>
      <c r="B124" s="1551">
        <f>'Input data'!B144</f>
        <v>73.228597899236789</v>
      </c>
      <c r="C124" s="1550">
        <f>'Input data'!C144</f>
        <v>5284.2396924773611</v>
      </c>
      <c r="D124" s="1550">
        <f>'Input data'!D144</f>
        <v>4865050.463381717</v>
      </c>
      <c r="E124" s="1455">
        <f t="shared" si="89"/>
        <v>1</v>
      </c>
      <c r="F124" s="1449">
        <f t="shared" si="89"/>
        <v>0.37</v>
      </c>
      <c r="G124" s="1554">
        <f>B124*F124*'Input data'!$C$9</f>
        <v>829.28629798231168</v>
      </c>
      <c r="H124" s="1542">
        <f>'Input data'!I144</f>
        <v>424.26313389388866</v>
      </c>
      <c r="I124" s="1509">
        <f>'Input data'!K144</f>
        <v>31068.194435385631</v>
      </c>
      <c r="J124" s="1509">
        <f t="shared" si="91"/>
        <v>2228.8062963921584</v>
      </c>
      <c r="K124" s="1511">
        <f t="shared" si="77"/>
        <v>12209.156807208397</v>
      </c>
      <c r="L124" s="1504">
        <f t="shared" si="90"/>
        <v>0.7</v>
      </c>
      <c r="M124" s="1504">
        <f t="shared" si="88"/>
        <v>0.6</v>
      </c>
      <c r="N124" s="1504">
        <f t="shared" si="88"/>
        <v>0.9</v>
      </c>
      <c r="O124" s="1504">
        <f t="shared" si="88"/>
        <v>0.9</v>
      </c>
      <c r="P124" s="1504">
        <f t="shared" si="88"/>
        <v>0.23600000000000002</v>
      </c>
      <c r="Q124" s="1508">
        <f t="shared" si="33"/>
        <v>332.65874763534543</v>
      </c>
      <c r="R124" s="1509">
        <f t="shared" si="34"/>
        <v>232.13961331067003</v>
      </c>
      <c r="S124" s="1509">
        <f t="shared" si="35"/>
        <v>679.8009234827141</v>
      </c>
      <c r="T124" s="1509">
        <f t="shared" si="36"/>
        <v>457.73538602257486</v>
      </c>
      <c r="U124" s="1511">
        <f t="shared" si="37"/>
        <v>0</v>
      </c>
      <c r="V124" s="1509">
        <f t="shared" si="38"/>
        <v>1702.3346704513044</v>
      </c>
      <c r="W124" s="1454">
        <f t="shared" si="87"/>
        <v>0.5</v>
      </c>
      <c r="X124" s="530">
        <f t="shared" si="39"/>
        <v>3033.4854703020706</v>
      </c>
      <c r="Y124" s="1508">
        <f t="shared" si="78"/>
        <v>4735.8201407533752</v>
      </c>
      <c r="Z124" s="1509">
        <f t="shared" si="79"/>
        <v>9702.1429628471815</v>
      </c>
      <c r="AA124" s="1511">
        <f t="shared" si="80"/>
        <v>7473.3366664550231</v>
      </c>
      <c r="AB124" s="1091">
        <f t="shared" si="40"/>
        <v>0.7702769063569751</v>
      </c>
      <c r="AC124" s="135" t="str">
        <f t="shared" si="41"/>
        <v>Yes</v>
      </c>
      <c r="AD124" s="1091">
        <f t="shared" si="42"/>
        <v>0.7702769063569751</v>
      </c>
      <c r="AE124" s="649">
        <f t="shared" si="10"/>
        <v>0.36423807768893179</v>
      </c>
      <c r="AF124" s="530">
        <f t="shared" si="43"/>
        <v>269.73034557009674</v>
      </c>
      <c r="AG124" s="528">
        <f t="shared" si="44"/>
        <v>2228.8062963921584</v>
      </c>
      <c r="AH124" s="528">
        <f t="shared" si="81"/>
        <v>10218.579205729577</v>
      </c>
      <c r="AI124" s="528">
        <f t="shared" si="82"/>
        <v>6437.6604656145792</v>
      </c>
      <c r="AJ124" s="528">
        <f t="shared" si="11"/>
        <v>866.9290492384863</v>
      </c>
      <c r="AK124" s="528">
        <f t="shared" si="45"/>
        <v>19751.9750169748</v>
      </c>
      <c r="AL124" s="716">
        <f t="shared" si="12"/>
        <v>0</v>
      </c>
      <c r="AM124" s="417">
        <f t="shared" si="46"/>
        <v>0.11283966765230959</v>
      </c>
      <c r="AN124" s="417">
        <f t="shared" si="47"/>
        <v>0.51734468056727256</v>
      </c>
      <c r="AO124" s="417">
        <f t="shared" si="48"/>
        <v>0.32592489915980905</v>
      </c>
      <c r="AP124" s="417">
        <f t="shared" si="49"/>
        <v>4.3890752620608799E-2</v>
      </c>
      <c r="AQ124" s="417">
        <f t="shared" si="50"/>
        <v>1</v>
      </c>
      <c r="AR124" s="1086">
        <f t="shared" si="13"/>
        <v>488.83752618492031</v>
      </c>
      <c r="AS124" s="938">
        <f t="shared" si="14"/>
        <v>619.97823165168484</v>
      </c>
      <c r="AT124" s="938">
        <f t="shared" si="15"/>
        <v>119.26204740304699</v>
      </c>
      <c r="AU124" s="938">
        <f t="shared" si="16"/>
        <v>0</v>
      </c>
      <c r="AV124" s="938">
        <f t="shared" si="17"/>
        <v>0</v>
      </c>
      <c r="AW124" s="938">
        <f t="shared" si="18"/>
        <v>0</v>
      </c>
      <c r="AX124" s="938">
        <f t="shared" si="19"/>
        <v>832.88633612304227</v>
      </c>
      <c r="AY124" s="938">
        <f t="shared" si="20"/>
        <v>67.088544290120325</v>
      </c>
      <c r="AZ124" s="938">
        <f t="shared" si="21"/>
        <v>18.85860742593081</v>
      </c>
      <c r="BA124" s="938">
        <f t="shared" si="22"/>
        <v>48.708109597872784</v>
      </c>
      <c r="BB124" s="938">
        <f t="shared" si="23"/>
        <v>33.186893715539028</v>
      </c>
      <c r="BC124" s="530">
        <f t="shared" si="51"/>
        <v>2228.8062963921575</v>
      </c>
      <c r="BD124" s="724">
        <f t="shared" si="52"/>
        <v>0</v>
      </c>
      <c r="BE124" s="436">
        <f t="shared" si="53"/>
        <v>0.21932705725760815</v>
      </c>
      <c r="BF124" s="624">
        <f t="shared" si="54"/>
        <v>0.27816604460211014</v>
      </c>
      <c r="BG124" s="624">
        <f t="shared" si="55"/>
        <v>5.3509381948579564E-2</v>
      </c>
      <c r="BH124" s="624">
        <f t="shared" si="56"/>
        <v>0</v>
      </c>
      <c r="BI124" s="624">
        <f t="shared" si="57"/>
        <v>0</v>
      </c>
      <c r="BJ124" s="624">
        <f t="shared" si="58"/>
        <v>0</v>
      </c>
      <c r="BK124" s="624">
        <f t="shared" si="59"/>
        <v>0.44899751619170203</v>
      </c>
      <c r="BL124" s="624">
        <f t="shared" si="60"/>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63.233035907897154</v>
      </c>
      <c r="BW124" s="114">
        <f t="shared" si="63"/>
        <v>0.74828429890510129</v>
      </c>
      <c r="BX124" s="1689">
        <f t="shared" si="24"/>
        <v>4.8650504633817171</v>
      </c>
      <c r="BY124" s="527">
        <f t="shared" si="64"/>
        <v>63.233035907897154</v>
      </c>
      <c r="BZ124" s="417">
        <f t="shared" si="65"/>
        <v>0.74828429890510129</v>
      </c>
      <c r="CA124" s="544">
        <f t="shared" si="25"/>
        <v>4.8650504633817171</v>
      </c>
      <c r="CB124" s="649">
        <f t="shared" si="26"/>
        <v>0.36423807768893179</v>
      </c>
      <c r="CC124" s="525">
        <f t="shared" si="66"/>
        <v>0.36468331329941139</v>
      </c>
      <c r="CD124" s="417">
        <f t="shared" si="27"/>
        <v>0.36423807768893179</v>
      </c>
      <c r="CE124" s="525">
        <f t="shared" si="67"/>
        <v>0.36468331329941139</v>
      </c>
      <c r="CG124" s="527">
        <f t="shared" si="68"/>
        <v>1940.5093612061819</v>
      </c>
      <c r="CH124" s="528">
        <f t="shared" si="69"/>
        <v>854.50164408835633</v>
      </c>
      <c r="CI124" s="528">
        <f t="shared" si="70"/>
        <v>3254.3661230555467</v>
      </c>
      <c r="CJ124" s="528">
        <f t="shared" si="71"/>
        <v>4119.6184742031828</v>
      </c>
      <c r="CK124" s="528">
        <f t="shared" si="72"/>
        <v>49.583603176309943</v>
      </c>
      <c r="CL124" s="528">
        <f t="shared" si="73"/>
        <v>10218.579205729577</v>
      </c>
      <c r="CM124" s="646">
        <f t="shared" si="74"/>
        <v>0</v>
      </c>
    </row>
    <row r="125" spans="1:91">
      <c r="A125" s="873">
        <f>'Input data'!A145</f>
        <v>2045</v>
      </c>
      <c r="B125" s="1551">
        <f>'Input data'!B145</f>
        <v>73.645872502840064</v>
      </c>
      <c r="C125" s="1550">
        <f>'Input data'!C145</f>
        <v>5434.6458323535726</v>
      </c>
      <c r="D125" s="1550">
        <f>'Input data'!D145</f>
        <v>3919106.8527343827</v>
      </c>
      <c r="E125" s="1455">
        <f t="shared" si="89"/>
        <v>1</v>
      </c>
      <c r="F125" s="1449">
        <f t="shared" si="89"/>
        <v>0.37</v>
      </c>
      <c r="G125" s="1554">
        <f>B125*F125*'Input data'!$C$9</f>
        <v>834.01177574907638</v>
      </c>
      <c r="H125" s="1542">
        <f>'Input data'!I145</f>
        <v>424.26313389388866</v>
      </c>
      <c r="I125" s="1509">
        <f>'Input data'!K145</f>
        <v>31245.228666404688</v>
      </c>
      <c r="J125" s="1509">
        <f t="shared" si="91"/>
        <v>2228.8062963921584</v>
      </c>
      <c r="K125" s="1511">
        <f t="shared" si="77"/>
        <v>12291.42788030997</v>
      </c>
      <c r="L125" s="1504">
        <f t="shared" si="90"/>
        <v>0.7</v>
      </c>
      <c r="M125" s="1504">
        <f t="shared" si="88"/>
        <v>0.6</v>
      </c>
      <c r="N125" s="1504">
        <f t="shared" si="88"/>
        <v>0.9</v>
      </c>
      <c r="O125" s="1504">
        <f t="shared" si="88"/>
        <v>0.9</v>
      </c>
      <c r="P125" s="1504">
        <f t="shared" si="88"/>
        <v>0.23600000000000002</v>
      </c>
      <c r="Q125" s="1508">
        <f t="shared" si="33"/>
        <v>334.55431918849331</v>
      </c>
      <c r="R125" s="1509">
        <f t="shared" si="34"/>
        <v>233.46240205582831</v>
      </c>
      <c r="S125" s="1509">
        <f t="shared" si="35"/>
        <v>683.67459673350777</v>
      </c>
      <c r="T125" s="1509">
        <f t="shared" si="36"/>
        <v>460.34367509593176</v>
      </c>
      <c r="U125" s="1511">
        <f t="shared" si="37"/>
        <v>0</v>
      </c>
      <c r="V125" s="1509">
        <f t="shared" si="38"/>
        <v>1712.0349930737611</v>
      </c>
      <c r="W125" s="1454">
        <f t="shared" si="87"/>
        <v>0.5</v>
      </c>
      <c r="X125" s="530">
        <f t="shared" si="39"/>
        <v>3033.4854703020706</v>
      </c>
      <c r="Y125" s="1508">
        <f t="shared" si="78"/>
        <v>4745.5204633758312</v>
      </c>
      <c r="Z125" s="1509">
        <f t="shared" si="79"/>
        <v>9774.7137133262968</v>
      </c>
      <c r="AA125" s="1511">
        <f t="shared" si="80"/>
        <v>7545.9074169341384</v>
      </c>
      <c r="AB125" s="1091">
        <f t="shared" si="40"/>
        <v>0.77198244759296342</v>
      </c>
      <c r="AC125" s="135" t="str">
        <f t="shared" si="41"/>
        <v>Yes</v>
      </c>
      <c r="AD125" s="1091">
        <f t="shared" si="42"/>
        <v>0.77198244759296342</v>
      </c>
      <c r="AE125" s="649">
        <f t="shared" si="10"/>
        <v>0.36602576542049337</v>
      </c>
      <c r="AF125" s="530">
        <f t="shared" si="43"/>
        <v>268.97189557068083</v>
      </c>
      <c r="AG125" s="528">
        <f t="shared" si="44"/>
        <v>2228.8062963921584</v>
      </c>
      <c r="AH125" s="528">
        <f t="shared" si="81"/>
        <v>10276.807189192088</v>
      </c>
      <c r="AI125" s="528">
        <f t="shared" si="82"/>
        <v>6437.6604656145792</v>
      </c>
      <c r="AJ125" s="528">
        <f t="shared" si="11"/>
        <v>865.39597684674754</v>
      </c>
      <c r="AK125" s="528">
        <f t="shared" si="45"/>
        <v>19808.669928045572</v>
      </c>
      <c r="AL125" s="716">
        <f t="shared" si="12"/>
        <v>0</v>
      </c>
      <c r="AM125" s="417">
        <f t="shared" si="46"/>
        <v>0.11251670629518457</v>
      </c>
      <c r="AN125" s="417">
        <f t="shared" si="47"/>
        <v>0.51880349496065592</v>
      </c>
      <c r="AO125" s="417">
        <f t="shared" si="48"/>
        <v>0.324992061001531</v>
      </c>
      <c r="AP125" s="417">
        <f t="shared" si="49"/>
        <v>4.3687737742628539E-2</v>
      </c>
      <c r="AQ125" s="417">
        <f t="shared" si="50"/>
        <v>1</v>
      </c>
      <c r="AR125" s="1086">
        <f t="shared" si="13"/>
        <v>489.71069578959214</v>
      </c>
      <c r="AS125" s="938">
        <f t="shared" si="14"/>
        <v>621.08564693475728</v>
      </c>
      <c r="AT125" s="938">
        <f t="shared" si="15"/>
        <v>119.05114507786082</v>
      </c>
      <c r="AU125" s="938">
        <f t="shared" si="16"/>
        <v>0</v>
      </c>
      <c r="AV125" s="938">
        <f t="shared" si="17"/>
        <v>0</v>
      </c>
      <c r="AW125" s="938">
        <f t="shared" si="18"/>
        <v>0</v>
      </c>
      <c r="AX125" s="938">
        <f t="shared" si="19"/>
        <v>831.41346467123401</v>
      </c>
      <c r="AY125" s="938">
        <f t="shared" si="20"/>
        <v>66.969905290604189</v>
      </c>
      <c r="AZ125" s="938">
        <f t="shared" si="21"/>
        <v>18.825257971997143</v>
      </c>
      <c r="BA125" s="938">
        <f t="shared" si="22"/>
        <v>48.621974454352063</v>
      </c>
      <c r="BB125" s="938">
        <f t="shared" si="23"/>
        <v>33.128206201759724</v>
      </c>
      <c r="BC125" s="530">
        <f t="shared" si="51"/>
        <v>2228.8062963921575</v>
      </c>
      <c r="BD125" s="724">
        <f t="shared" si="52"/>
        <v>0</v>
      </c>
      <c r="BE125" s="436">
        <f t="shared" si="53"/>
        <v>0.21971882284355668</v>
      </c>
      <c r="BF125" s="624">
        <f t="shared" si="54"/>
        <v>0.27866290935202809</v>
      </c>
      <c r="BG125" s="624">
        <f t="shared" si="55"/>
        <v>5.3414756262387113E-2</v>
      </c>
      <c r="BH125" s="624">
        <f t="shared" si="56"/>
        <v>0</v>
      </c>
      <c r="BI125" s="624">
        <f t="shared" si="57"/>
        <v>0</v>
      </c>
      <c r="BJ125" s="624">
        <f t="shared" si="58"/>
        <v>0</v>
      </c>
      <c r="BK125" s="624">
        <f t="shared" si="59"/>
        <v>0.44820351154202809</v>
      </c>
      <c r="BL125" s="624">
        <f t="shared" si="60"/>
        <v>1</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63.682567773837512</v>
      </c>
      <c r="BW125" s="114">
        <f t="shared" si="63"/>
        <v>0.75006114667922896</v>
      </c>
      <c r="BX125" s="1689">
        <f t="shared" si="24"/>
        <v>3.9191068527343829</v>
      </c>
      <c r="BY125" s="527">
        <f t="shared" si="64"/>
        <v>63.682567773837512</v>
      </c>
      <c r="BZ125" s="417">
        <f t="shared" si="65"/>
        <v>0.75006114667922896</v>
      </c>
      <c r="CA125" s="544">
        <f t="shared" si="25"/>
        <v>3.9191068527343829</v>
      </c>
      <c r="CB125" s="649">
        <f t="shared" si="26"/>
        <v>0.36602576542049337</v>
      </c>
      <c r="CC125" s="525">
        <f t="shared" si="66"/>
        <v>0.36693171423237991</v>
      </c>
      <c r="CD125" s="417">
        <f t="shared" si="27"/>
        <v>0.36602576542049337</v>
      </c>
      <c r="CE125" s="525">
        <f t="shared" si="67"/>
        <v>0.36693171423237991</v>
      </c>
      <c r="CG125" s="527">
        <f t="shared" si="68"/>
        <v>1951.5668619328783</v>
      </c>
      <c r="CH125" s="528">
        <f t="shared" si="69"/>
        <v>859.3708051134787</v>
      </c>
      <c r="CI125" s="528">
        <f t="shared" si="70"/>
        <v>3272.9103035114736</v>
      </c>
      <c r="CJ125" s="528">
        <f t="shared" si="71"/>
        <v>4143.0930758633876</v>
      </c>
      <c r="CK125" s="528">
        <f t="shared" si="72"/>
        <v>49.86614277086953</v>
      </c>
      <c r="CL125" s="528">
        <f t="shared" si="73"/>
        <v>10276.807189192088</v>
      </c>
      <c r="CM125" s="646">
        <f t="shared" si="74"/>
        <v>0</v>
      </c>
    </row>
    <row r="126" spans="1:91">
      <c r="A126" s="873">
        <f>'Input data'!A146</f>
        <v>2046</v>
      </c>
      <c r="B126" s="1551">
        <f>'Input data'!B146</f>
        <v>74.049234192071822</v>
      </c>
      <c r="C126" s="1550">
        <f>'Input data'!C146</f>
        <v>5588.9785645796028</v>
      </c>
      <c r="D126" s="1550">
        <f>'Input data'!D146</f>
        <v>3263474.9196310313</v>
      </c>
      <c r="E126" s="1455">
        <f t="shared" si="89"/>
        <v>1</v>
      </c>
      <c r="F126" s="1449">
        <f t="shared" si="89"/>
        <v>0.37</v>
      </c>
      <c r="G126" s="1554">
        <f>B126*F126*'Input data'!$C$9</f>
        <v>838.57969499930118</v>
      </c>
      <c r="H126" s="1542">
        <f>'Input data'!I146</f>
        <v>424.26313389388866</v>
      </c>
      <c r="I126" s="1509">
        <f>'Input data'!K146</f>
        <v>31416.360160770884</v>
      </c>
      <c r="J126" s="1509">
        <f t="shared" si="91"/>
        <v>2228.8062963921584</v>
      </c>
      <c r="K126" s="1511">
        <f t="shared" si="77"/>
        <v>12370.955842794619</v>
      </c>
      <c r="L126" s="1504">
        <f t="shared" si="90"/>
        <v>0.7</v>
      </c>
      <c r="M126" s="1504">
        <f t="shared" si="88"/>
        <v>0.6</v>
      </c>
      <c r="N126" s="1504">
        <f t="shared" si="88"/>
        <v>0.9</v>
      </c>
      <c r="O126" s="1504">
        <f t="shared" si="88"/>
        <v>0.9</v>
      </c>
      <c r="P126" s="1504">
        <f t="shared" si="88"/>
        <v>0.23600000000000002</v>
      </c>
      <c r="Q126" s="1508">
        <f t="shared" si="33"/>
        <v>336.38668793831653</v>
      </c>
      <c r="R126" s="1509">
        <f t="shared" si="34"/>
        <v>234.74108592044956</v>
      </c>
      <c r="S126" s="1509">
        <f t="shared" si="35"/>
        <v>687.41911262898611</v>
      </c>
      <c r="T126" s="1509">
        <f t="shared" si="36"/>
        <v>462.86499769152806</v>
      </c>
      <c r="U126" s="1511">
        <f t="shared" si="37"/>
        <v>0</v>
      </c>
      <c r="V126" s="1509">
        <f t="shared" si="38"/>
        <v>1721.4118841792802</v>
      </c>
      <c r="W126" s="1454">
        <f t="shared" si="87"/>
        <v>0.5</v>
      </c>
      <c r="X126" s="530">
        <f t="shared" si="39"/>
        <v>3033.4854703020706</v>
      </c>
      <c r="Y126" s="1508">
        <f t="shared" si="78"/>
        <v>4754.8973544813507</v>
      </c>
      <c r="Z126" s="1509">
        <f t="shared" si="79"/>
        <v>9844.8647847054272</v>
      </c>
      <c r="AA126" s="1511">
        <f t="shared" si="80"/>
        <v>7616.0584883132688</v>
      </c>
      <c r="AB126" s="1091">
        <f t="shared" si="40"/>
        <v>0.77360722111138192</v>
      </c>
      <c r="AC126" s="135" t="str">
        <f t="shared" si="41"/>
        <v>Yes</v>
      </c>
      <c r="AD126" s="1091">
        <f t="shared" si="42"/>
        <v>0.77360722111138192</v>
      </c>
      <c r="AE126" s="649">
        <f t="shared" si="10"/>
        <v>0.36773401246533388</v>
      </c>
      <c r="AF126" s="530">
        <f t="shared" si="43"/>
        <v>268.2471493259718</v>
      </c>
      <c r="AG126" s="528">
        <f t="shared" si="44"/>
        <v>2228.8062963921584</v>
      </c>
      <c r="AH126" s="528">
        <f t="shared" si="81"/>
        <v>10333.093715060619</v>
      </c>
      <c r="AI126" s="528">
        <f t="shared" si="82"/>
        <v>6437.6604656145792</v>
      </c>
      <c r="AJ126" s="528">
        <f t="shared" si="11"/>
        <v>863.93550472719085</v>
      </c>
      <c r="AK126" s="528">
        <f t="shared" si="45"/>
        <v>19863.495981794546</v>
      </c>
      <c r="AL126" s="716">
        <f t="shared" si="12"/>
        <v>0</v>
      </c>
      <c r="AM126" s="417">
        <f t="shared" si="46"/>
        <v>0.11220614429780751</v>
      </c>
      <c r="AN126" s="417">
        <f t="shared" si="47"/>
        <v>0.52020519069408477</v>
      </c>
      <c r="AO126" s="417">
        <f t="shared" si="48"/>
        <v>0.32409503702242931</v>
      </c>
      <c r="AP126" s="417">
        <f t="shared" si="49"/>
        <v>4.3493627985678456E-2</v>
      </c>
      <c r="AQ126" s="417">
        <f t="shared" si="50"/>
        <v>1</v>
      </c>
      <c r="AR126" s="1086">
        <f t="shared" si="13"/>
        <v>490.54251551978865</v>
      </c>
      <c r="AS126" s="938">
        <f t="shared" si="14"/>
        <v>622.14061939033979</v>
      </c>
      <c r="AT126" s="938">
        <f t="shared" si="15"/>
        <v>118.85023025639249</v>
      </c>
      <c r="AU126" s="938">
        <f t="shared" si="16"/>
        <v>0</v>
      </c>
      <c r="AV126" s="938">
        <f t="shared" si="17"/>
        <v>0</v>
      </c>
      <c r="AW126" s="938">
        <f t="shared" si="18"/>
        <v>0</v>
      </c>
      <c r="AX126" s="938">
        <f t="shared" si="19"/>
        <v>830.01034261212658</v>
      </c>
      <c r="AY126" s="938">
        <f t="shared" si="20"/>
        <v>66.856884566978167</v>
      </c>
      <c r="AZ126" s="938">
        <f t="shared" si="21"/>
        <v>18.793487816892267</v>
      </c>
      <c r="BA126" s="938">
        <f t="shared" si="22"/>
        <v>48.539918332081832</v>
      </c>
      <c r="BB126" s="938">
        <f t="shared" si="23"/>
        <v>33.072297897557888</v>
      </c>
      <c r="BC126" s="530">
        <f t="shared" si="51"/>
        <v>2228.8062963921575</v>
      </c>
      <c r="BD126" s="724">
        <f t="shared" si="52"/>
        <v>0</v>
      </c>
      <c r="BE126" s="436">
        <f t="shared" si="53"/>
        <v>0.2200920359538853</v>
      </c>
      <c r="BF126" s="624">
        <f t="shared" si="54"/>
        <v>0.27913624454373598</v>
      </c>
      <c r="BG126" s="624">
        <f t="shared" si="55"/>
        <v>5.3324611676115276E-2</v>
      </c>
      <c r="BH126" s="624">
        <f t="shared" si="56"/>
        <v>0</v>
      </c>
      <c r="BI126" s="624">
        <f t="shared" si="57"/>
        <v>0</v>
      </c>
      <c r="BJ126" s="624">
        <f t="shared" si="58"/>
        <v>0</v>
      </c>
      <c r="BK126" s="624">
        <f t="shared" si="59"/>
        <v>0.44744710782626346</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64.266489236324432</v>
      </c>
      <c r="BW126" s="114">
        <f t="shared" si="63"/>
        <v>0.75233207609357244</v>
      </c>
      <c r="BX126" s="1689">
        <f t="shared" si="24"/>
        <v>3.2634749196310313</v>
      </c>
      <c r="BY126" s="527">
        <f t="shared" si="64"/>
        <v>64.266489236324432</v>
      </c>
      <c r="BZ126" s="417">
        <f t="shared" si="65"/>
        <v>0.75233207609357244</v>
      </c>
      <c r="CA126" s="544">
        <f t="shared" si="25"/>
        <v>3.2634749196310313</v>
      </c>
      <c r="CB126" s="649">
        <f t="shared" si="26"/>
        <v>0.36773401246533388</v>
      </c>
      <c r="CC126" s="525">
        <f t="shared" si="66"/>
        <v>0.37021257153658016</v>
      </c>
      <c r="CD126" s="417">
        <f t="shared" si="27"/>
        <v>0.36773401246533388</v>
      </c>
      <c r="CE126" s="525">
        <f t="shared" si="67"/>
        <v>0.37021257153658016</v>
      </c>
      <c r="CG126" s="527">
        <f t="shared" si="68"/>
        <v>1962.2556796401789</v>
      </c>
      <c r="CH126" s="528">
        <f t="shared" si="69"/>
        <v>864.07761688509095</v>
      </c>
      <c r="CI126" s="528">
        <f t="shared" si="70"/>
        <v>3290.8361774791897</v>
      </c>
      <c r="CJ126" s="528">
        <f t="shared" si="71"/>
        <v>4165.7849792237585</v>
      </c>
      <c r="CK126" s="528">
        <f t="shared" si="72"/>
        <v>50.139261832399477</v>
      </c>
      <c r="CL126" s="528">
        <f t="shared" si="73"/>
        <v>10333.093715060617</v>
      </c>
      <c r="CM126" s="646">
        <f t="shared" si="74"/>
        <v>0</v>
      </c>
    </row>
    <row r="127" spans="1:91" s="1" customFormat="1">
      <c r="A127" s="873">
        <f>'Input data'!A147</f>
        <v>2047</v>
      </c>
      <c r="B127" s="1551">
        <f>'Input data'!B147</f>
        <v>74.438425238522782</v>
      </c>
      <c r="C127" s="1550">
        <f>'Input data'!C147</f>
        <v>5683.8226319462565</v>
      </c>
      <c r="D127" s="1550">
        <f>'Input data'!D147</f>
        <v>2607842.98652768</v>
      </c>
      <c r="E127" s="1455">
        <f t="shared" si="89"/>
        <v>1</v>
      </c>
      <c r="F127" s="1449">
        <f t="shared" si="89"/>
        <v>0.37</v>
      </c>
      <c r="G127" s="1554">
        <f>B127*F127*'Input data'!$C$9</f>
        <v>842.98713705579519</v>
      </c>
      <c r="H127" s="1542">
        <f>'Input data'!I147</f>
        <v>424.26313389388866</v>
      </c>
      <c r="I127" s="1509">
        <f>'Input data'!K147</f>
        <v>31581.479573821613</v>
      </c>
      <c r="J127" s="1509">
        <f t="shared" si="91"/>
        <v>2228.8062963921584</v>
      </c>
      <c r="K127" s="1511">
        <f t="shared" si="77"/>
        <v>12447.689880180433</v>
      </c>
      <c r="L127" s="1504">
        <f t="shared" si="90"/>
        <v>0.7</v>
      </c>
      <c r="M127" s="1504">
        <f t="shared" si="90"/>
        <v>0.6</v>
      </c>
      <c r="N127" s="1504">
        <f t="shared" si="90"/>
        <v>0.9</v>
      </c>
      <c r="O127" s="1504">
        <f t="shared" si="90"/>
        <v>0.9</v>
      </c>
      <c r="P127" s="1504">
        <f t="shared" si="90"/>
        <v>0.23600000000000002</v>
      </c>
      <c r="Q127" s="1508">
        <f t="shared" si="33"/>
        <v>338.15468309072139</v>
      </c>
      <c r="R127" s="1509">
        <f t="shared" si="34"/>
        <v>235.97484788802706</v>
      </c>
      <c r="S127" s="1509">
        <f t="shared" si="35"/>
        <v>691.03207860646671</v>
      </c>
      <c r="T127" s="1509">
        <f t="shared" si="36"/>
        <v>465.2977428074305</v>
      </c>
      <c r="U127" s="1511">
        <f t="shared" si="37"/>
        <v>0</v>
      </c>
      <c r="V127" s="1509">
        <f t="shared" si="38"/>
        <v>1730.4593523926455</v>
      </c>
      <c r="W127" s="1454">
        <f t="shared" si="87"/>
        <v>0.5</v>
      </c>
      <c r="X127" s="530">
        <f t="shared" si="39"/>
        <v>3033.4854703020706</v>
      </c>
      <c r="Y127" s="1508">
        <f t="shared" si="78"/>
        <v>4763.9448226947161</v>
      </c>
      <c r="Z127" s="1509">
        <f t="shared" si="79"/>
        <v>9912.551353877876</v>
      </c>
      <c r="AA127" s="1511">
        <f t="shared" si="80"/>
        <v>7683.7450574857176</v>
      </c>
      <c r="AB127" s="1091">
        <f t="shared" si="40"/>
        <v>0.77515311479115512</v>
      </c>
      <c r="AC127" s="135" t="str">
        <f t="shared" si="41"/>
        <v>Yes</v>
      </c>
      <c r="AD127" s="1091">
        <f t="shared" si="42"/>
        <v>0.77515311479115512</v>
      </c>
      <c r="AE127" s="649">
        <f t="shared" si="10"/>
        <v>0.36936407712134123</v>
      </c>
      <c r="AF127" s="530">
        <f t="shared" si="43"/>
        <v>267.55557298656447</v>
      </c>
      <c r="AG127" s="528">
        <f t="shared" si="44"/>
        <v>2228.8062963921584</v>
      </c>
      <c r="AH127" s="528">
        <f t="shared" si="81"/>
        <v>10387.402818995562</v>
      </c>
      <c r="AI127" s="528">
        <f t="shared" si="82"/>
        <v>6437.6604656145792</v>
      </c>
      <c r="AJ127" s="528">
        <f t="shared" si="11"/>
        <v>862.54593590820514</v>
      </c>
      <c r="AK127" s="528">
        <f t="shared" si="45"/>
        <v>19916.415516910503</v>
      </c>
      <c r="AL127" s="716">
        <f t="shared" si="12"/>
        <v>0</v>
      </c>
      <c r="AM127" s="417">
        <f t="shared" si="46"/>
        <v>0.11190800345070817</v>
      </c>
      <c r="AN127" s="417">
        <f t="shared" si="47"/>
        <v>0.52154981453243399</v>
      </c>
      <c r="AO127" s="417">
        <f t="shared" si="48"/>
        <v>0.32323389016203902</v>
      </c>
      <c r="AP127" s="417">
        <f t="shared" si="49"/>
        <v>4.3308291854818964E-2</v>
      </c>
      <c r="AQ127" s="417">
        <f t="shared" si="50"/>
        <v>1</v>
      </c>
      <c r="AR127" s="1086">
        <f t="shared" si="13"/>
        <v>491.33395189479364</v>
      </c>
      <c r="AS127" s="938">
        <f t="shared" si="14"/>
        <v>623.14437482636333</v>
      </c>
      <c r="AT127" s="938">
        <f t="shared" si="15"/>
        <v>118.65906948896267</v>
      </c>
      <c r="AU127" s="938">
        <f t="shared" si="16"/>
        <v>0</v>
      </c>
      <c r="AV127" s="938">
        <f t="shared" si="17"/>
        <v>0</v>
      </c>
      <c r="AW127" s="938">
        <f t="shared" si="18"/>
        <v>0</v>
      </c>
      <c r="AX127" s="938">
        <f t="shared" si="19"/>
        <v>828.67533961107085</v>
      </c>
      <c r="AY127" s="938">
        <f t="shared" si="20"/>
        <v>66.749350796667244</v>
      </c>
      <c r="AZ127" s="938">
        <f t="shared" si="21"/>
        <v>18.763260045805907</v>
      </c>
      <c r="BA127" s="938">
        <f t="shared" si="22"/>
        <v>48.461845887297144</v>
      </c>
      <c r="BB127" s="938">
        <f t="shared" si="23"/>
        <v>33.019103841196973</v>
      </c>
      <c r="BC127" s="530">
        <f t="shared" si="51"/>
        <v>2228.8062963921579</v>
      </c>
      <c r="BD127" s="724">
        <f t="shared" si="52"/>
        <v>0</v>
      </c>
      <c r="BE127" s="436">
        <f t="shared" si="53"/>
        <v>0.22044713023744239</v>
      </c>
      <c r="BF127" s="624">
        <f t="shared" si="54"/>
        <v>0.27958660016129155</v>
      </c>
      <c r="BG127" s="624">
        <f t="shared" si="55"/>
        <v>5.3238843447741518E-2</v>
      </c>
      <c r="BH127" s="624">
        <f t="shared" si="56"/>
        <v>0</v>
      </c>
      <c r="BI127" s="624">
        <f t="shared" si="57"/>
        <v>0</v>
      </c>
      <c r="BJ127" s="624">
        <f t="shared" si="58"/>
        <v>0</v>
      </c>
      <c r="BK127" s="624">
        <f t="shared" si="59"/>
        <v>0.44672742615352451</v>
      </c>
      <c r="BL127" s="624">
        <f t="shared" si="60"/>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64.543473315333046</v>
      </c>
      <c r="BW127" s="114">
        <f t="shared" si="63"/>
        <v>0.75339492673174702</v>
      </c>
      <c r="BX127" s="1689">
        <f t="shared" si="24"/>
        <v>2.6078429865276798</v>
      </c>
      <c r="BY127" s="527">
        <f t="shared" si="64"/>
        <v>64.543473315333046</v>
      </c>
      <c r="BZ127" s="417">
        <f t="shared" si="65"/>
        <v>0.75339492673174702</v>
      </c>
      <c r="CA127" s="544">
        <f t="shared" si="25"/>
        <v>2.6078429865276798</v>
      </c>
      <c r="CB127" s="649">
        <f t="shared" si="26"/>
        <v>0.36936407712134123</v>
      </c>
      <c r="CC127" s="525">
        <f t="shared" si="66"/>
        <v>0.37136287621505581</v>
      </c>
      <c r="CD127" s="417">
        <f t="shared" si="27"/>
        <v>0.36936407712134123</v>
      </c>
      <c r="CE127" s="525">
        <f t="shared" si="67"/>
        <v>0.37136287621505581</v>
      </c>
      <c r="CG127" s="527">
        <f t="shared" si="68"/>
        <v>1972.5689846958749</v>
      </c>
      <c r="CH127" s="528">
        <f t="shared" si="69"/>
        <v>868.61907198046822</v>
      </c>
      <c r="CI127" s="528">
        <f t="shared" si="70"/>
        <v>3308.1322912011724</v>
      </c>
      <c r="CJ127" s="528">
        <f t="shared" si="71"/>
        <v>4187.6796852668822</v>
      </c>
      <c r="CK127" s="528">
        <f t="shared" si="72"/>
        <v>50.402785851165355</v>
      </c>
      <c r="CL127" s="528">
        <f t="shared" si="73"/>
        <v>10387.402818995564</v>
      </c>
      <c r="CM127" s="646">
        <f t="shared" si="74"/>
        <v>0</v>
      </c>
    </row>
    <row r="128" spans="1:91">
      <c r="A128" s="873">
        <f>'Input data'!A148</f>
        <v>2048</v>
      </c>
      <c r="B128" s="1551">
        <f>'Input data'!B148</f>
        <v>74.813195848926668</v>
      </c>
      <c r="C128" s="1550">
        <f>'Input data'!C148</f>
        <v>5769.8658364340272</v>
      </c>
      <c r="D128" s="1550">
        <f>'Input data'!D148</f>
        <v>1952211.0534243288</v>
      </c>
      <c r="E128" s="1455">
        <f t="shared" ref="E128:F130" si="93">E127</f>
        <v>1</v>
      </c>
      <c r="F128" s="1449">
        <f t="shared" si="93"/>
        <v>0.37</v>
      </c>
      <c r="G128" s="1554">
        <f>B128*F128*'Input data'!$C$9</f>
        <v>847.23127310387383</v>
      </c>
      <c r="H128" s="1542">
        <f>'Input data'!I148</f>
        <v>424.26313389388866</v>
      </c>
      <c r="I128" s="1509">
        <f>'Input data'!K148</f>
        <v>31740.480927482891</v>
      </c>
      <c r="J128" s="1509">
        <f t="shared" si="91"/>
        <v>2228.8062963921584</v>
      </c>
      <c r="K128" s="1511">
        <f t="shared" si="77"/>
        <v>12521.580742501334</v>
      </c>
      <c r="L128" s="1504">
        <f t="shared" ref="L128:P130" si="94">L127</f>
        <v>0.7</v>
      </c>
      <c r="M128" s="1504">
        <f t="shared" si="94"/>
        <v>0.6</v>
      </c>
      <c r="N128" s="1504">
        <f t="shared" si="94"/>
        <v>0.9</v>
      </c>
      <c r="O128" s="1504">
        <f t="shared" si="94"/>
        <v>0.9</v>
      </c>
      <c r="P128" s="1504">
        <f t="shared" si="94"/>
        <v>0.23600000000000002</v>
      </c>
      <c r="Q128" s="1508">
        <f t="shared" si="33"/>
        <v>339.85716989893581</v>
      </c>
      <c r="R128" s="1509">
        <f t="shared" si="34"/>
        <v>237.16289609699425</v>
      </c>
      <c r="S128" s="1509">
        <f t="shared" si="35"/>
        <v>694.51117576735078</v>
      </c>
      <c r="T128" s="1509">
        <f t="shared" si="36"/>
        <v>467.64034904248638</v>
      </c>
      <c r="U128" s="1511">
        <f t="shared" si="37"/>
        <v>0</v>
      </c>
      <c r="V128" s="1509">
        <f t="shared" si="38"/>
        <v>1739.1715908057672</v>
      </c>
      <c r="W128" s="1454">
        <f t="shared" si="87"/>
        <v>0.5</v>
      </c>
      <c r="X128" s="530">
        <f t="shared" si="39"/>
        <v>3033.4854703020706</v>
      </c>
      <c r="Y128" s="1508">
        <f t="shared" si="78"/>
        <v>4772.6570611078378</v>
      </c>
      <c r="Z128" s="1509">
        <f t="shared" si="79"/>
        <v>9977.7299777856533</v>
      </c>
      <c r="AA128" s="1511">
        <f t="shared" si="80"/>
        <v>7748.9236813934949</v>
      </c>
      <c r="AB128" s="1091">
        <f t="shared" si="40"/>
        <v>0.77662190685112176</v>
      </c>
      <c r="AC128" s="135" t="str">
        <f t="shared" si="41"/>
        <v>Yes</v>
      </c>
      <c r="AD128" s="1091">
        <f t="shared" si="42"/>
        <v>0.77662190685112176</v>
      </c>
      <c r="AE128" s="649">
        <f t="shared" si="10"/>
        <v>0.3709171539155135</v>
      </c>
      <c r="AF128" s="530">
        <f t="shared" si="43"/>
        <v>266.89665975869104</v>
      </c>
      <c r="AG128" s="528">
        <f t="shared" si="44"/>
        <v>2228.8062963921584</v>
      </c>
      <c r="AH128" s="528">
        <f t="shared" si="81"/>
        <v>10439.699643955413</v>
      </c>
      <c r="AI128" s="528">
        <f t="shared" si="82"/>
        <v>6437.6604656145792</v>
      </c>
      <c r="AJ128" s="528">
        <f t="shared" si="11"/>
        <v>861.22567198914794</v>
      </c>
      <c r="AK128" s="528">
        <f t="shared" si="45"/>
        <v>19967.392077951299</v>
      </c>
      <c r="AL128" s="716">
        <f t="shared" si="12"/>
        <v>0</v>
      </c>
      <c r="AM128" s="417">
        <f t="shared" si="46"/>
        <v>0.11162230338799653</v>
      </c>
      <c r="AN128" s="417">
        <f t="shared" si="47"/>
        <v>0.52283741428022035</v>
      </c>
      <c r="AO128" s="417">
        <f t="shared" si="48"/>
        <v>0.3224086771313151</v>
      </c>
      <c r="AP128" s="417">
        <f t="shared" si="49"/>
        <v>4.3131605200468007E-2</v>
      </c>
      <c r="AQ128" s="417">
        <f t="shared" si="50"/>
        <v>1</v>
      </c>
      <c r="AR128" s="1086">
        <f t="shared" si="13"/>
        <v>492.08591529226806</v>
      </c>
      <c r="AS128" s="938">
        <f t="shared" si="14"/>
        <v>624.09806784799241</v>
      </c>
      <c r="AT128" s="938">
        <f t="shared" si="15"/>
        <v>118.4774428861427</v>
      </c>
      <c r="AU128" s="938">
        <f t="shared" si="16"/>
        <v>0</v>
      </c>
      <c r="AV128" s="938">
        <f t="shared" si="17"/>
        <v>0</v>
      </c>
      <c r="AW128" s="938">
        <f t="shared" si="18"/>
        <v>0</v>
      </c>
      <c r="AX128" s="938">
        <f t="shared" si="19"/>
        <v>827.40692003368451</v>
      </c>
      <c r="AY128" s="938">
        <f t="shared" si="20"/>
        <v>66.64718028515172</v>
      </c>
      <c r="AZ128" s="938">
        <f t="shared" si="21"/>
        <v>18.73453988817591</v>
      </c>
      <c r="BA128" s="938">
        <f t="shared" si="22"/>
        <v>48.387667314409235</v>
      </c>
      <c r="BB128" s="938">
        <f t="shared" si="23"/>
        <v>32.968562844333732</v>
      </c>
      <c r="BC128" s="530">
        <f t="shared" si="51"/>
        <v>2228.8062963921575</v>
      </c>
      <c r="BD128" s="724">
        <f t="shared" si="52"/>
        <v>0</v>
      </c>
      <c r="BE128" s="436">
        <f t="shared" si="53"/>
        <v>0.22078451415397732</v>
      </c>
      <c r="BF128" s="624">
        <f t="shared" si="54"/>
        <v>0.28001449424216029</v>
      </c>
      <c r="BG128" s="624">
        <f t="shared" si="55"/>
        <v>5.3157352919329978E-2</v>
      </c>
      <c r="BH128" s="624">
        <f t="shared" si="56"/>
        <v>0</v>
      </c>
      <c r="BI128" s="624">
        <f t="shared" si="57"/>
        <v>0</v>
      </c>
      <c r="BJ128" s="624">
        <f t="shared" si="58"/>
        <v>0</v>
      </c>
      <c r="BK128" s="624">
        <f t="shared" si="59"/>
        <v>0.44604363868453278</v>
      </c>
      <c r="BL128" s="624">
        <f t="shared" si="60"/>
        <v>1.0000000000000004</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64.773387591118848</v>
      </c>
      <c r="BW128" s="114">
        <f t="shared" si="63"/>
        <v>0.75427025576631102</v>
      </c>
      <c r="BX128" s="1689">
        <f t="shared" si="24"/>
        <v>1.9522110534243289</v>
      </c>
      <c r="BY128" s="527">
        <f t="shared" si="64"/>
        <v>64.773387591118848</v>
      </c>
      <c r="BZ128" s="417">
        <f t="shared" si="65"/>
        <v>0.75427025576631102</v>
      </c>
      <c r="CA128" s="544">
        <f t="shared" si="25"/>
        <v>1.9522110534243289</v>
      </c>
      <c r="CB128" s="649">
        <f t="shared" si="26"/>
        <v>0.3709171539155135</v>
      </c>
      <c r="CC128" s="525">
        <f t="shared" si="66"/>
        <v>0.37219889450984733</v>
      </c>
      <c r="CD128" s="417">
        <f t="shared" si="27"/>
        <v>0.3709171539155135</v>
      </c>
      <c r="CE128" s="525">
        <f t="shared" si="67"/>
        <v>0.37219889450984733</v>
      </c>
      <c r="CG128" s="527">
        <f t="shared" si="68"/>
        <v>1982.5001577437924</v>
      </c>
      <c r="CH128" s="528">
        <f t="shared" si="69"/>
        <v>872.99225557175816</v>
      </c>
      <c r="CI128" s="528">
        <f t="shared" si="70"/>
        <v>3324.7875435671062</v>
      </c>
      <c r="CJ128" s="528">
        <f t="shared" si="71"/>
        <v>4208.7631413823829</v>
      </c>
      <c r="CK128" s="528">
        <f t="shared" si="72"/>
        <v>50.656545690374344</v>
      </c>
      <c r="CL128" s="528">
        <f t="shared" si="73"/>
        <v>10439.699643955413</v>
      </c>
      <c r="CM128" s="646">
        <f t="shared" si="74"/>
        <v>0</v>
      </c>
    </row>
    <row r="129" spans="1:91">
      <c r="A129" s="127">
        <f>'Input data'!A149</f>
        <v>2049</v>
      </c>
      <c r="B129" s="662">
        <f>'Input data'!B149</f>
        <v>75.173102421925719</v>
      </c>
      <c r="C129" s="236">
        <f>'Input data'!C149</f>
        <v>5861.5540552090788</v>
      </c>
      <c r="D129" s="1550">
        <f>'Input data'!D149</f>
        <v>1296579.1203209779</v>
      </c>
      <c r="E129" s="1455">
        <f t="shared" si="93"/>
        <v>1</v>
      </c>
      <c r="F129" s="1449">
        <f t="shared" si="93"/>
        <v>0.37</v>
      </c>
      <c r="G129" s="1554">
        <f>B129*F129*'Input data'!$C$9</f>
        <v>851.30707952519265</v>
      </c>
      <c r="H129" s="1542">
        <f>'Input data'!I149</f>
        <v>424.26313389388866</v>
      </c>
      <c r="I129" s="1509">
        <f>'Input data'!K149</f>
        <v>31893.176018052476</v>
      </c>
      <c r="J129" s="1509">
        <f t="shared" si="91"/>
        <v>2228.8062963921584</v>
      </c>
      <c r="K129" s="1511">
        <f t="shared" si="77"/>
        <v>12592.540968024889</v>
      </c>
      <c r="L129" s="1504">
        <f t="shared" si="94"/>
        <v>0.7</v>
      </c>
      <c r="M129" s="1504">
        <f t="shared" si="94"/>
        <v>0.6</v>
      </c>
      <c r="N129" s="1504">
        <f t="shared" si="94"/>
        <v>0.9</v>
      </c>
      <c r="O129" s="1504">
        <f t="shared" si="94"/>
        <v>0.9</v>
      </c>
      <c r="P129" s="1504">
        <f t="shared" si="94"/>
        <v>0.23600000000000002</v>
      </c>
      <c r="Q129" s="1508">
        <f t="shared" si="33"/>
        <v>341.49213319571163</v>
      </c>
      <c r="R129" s="1509">
        <f t="shared" si="34"/>
        <v>238.3038243010127</v>
      </c>
      <c r="S129" s="1509">
        <f t="shared" si="35"/>
        <v>697.85228603999212</v>
      </c>
      <c r="T129" s="1509">
        <f t="shared" si="36"/>
        <v>469.89004354504232</v>
      </c>
      <c r="U129" s="1511">
        <f t="shared" si="37"/>
        <v>0</v>
      </c>
      <c r="V129" s="1509">
        <f t="shared" si="38"/>
        <v>1747.5382870817589</v>
      </c>
      <c r="W129" s="1454">
        <f t="shared" si="87"/>
        <v>0.5</v>
      </c>
      <c r="X129" s="530">
        <f t="shared" si="39"/>
        <v>3033.4854703020706</v>
      </c>
      <c r="Y129" s="1508">
        <f t="shared" si="78"/>
        <v>4781.0237573838294</v>
      </c>
      <c r="Z129" s="1509">
        <f t="shared" si="79"/>
        <v>10040.323507033218</v>
      </c>
      <c r="AA129" s="1511">
        <f t="shared" si="80"/>
        <v>7811.5172106410591</v>
      </c>
      <c r="AB129" s="1091">
        <f t="shared" si="40"/>
        <v>0.77801449377294607</v>
      </c>
      <c r="AC129" s="135" t="str">
        <f t="shared" si="41"/>
        <v>Yes</v>
      </c>
      <c r="AD129" s="1091">
        <f t="shared" si="42"/>
        <v>0.77801449377294607</v>
      </c>
      <c r="AE129" s="649">
        <f t="shared" si="10"/>
        <v>0.37239355070665991</v>
      </c>
      <c r="AF129" s="530">
        <f t="shared" si="43"/>
        <v>266.27027902920838</v>
      </c>
      <c r="AG129" s="528">
        <f t="shared" si="44"/>
        <v>2228.8062963921584</v>
      </c>
      <c r="AH129" s="528">
        <f t="shared" si="81"/>
        <v>10489.922288227726</v>
      </c>
      <c r="AI129" s="528">
        <f t="shared" si="82"/>
        <v>6437.6604656145792</v>
      </c>
      <c r="AJ129" s="528">
        <f t="shared" si="11"/>
        <v>859.97390714295341</v>
      </c>
      <c r="AK129" s="528">
        <f t="shared" si="45"/>
        <v>20016.36295737742</v>
      </c>
      <c r="AL129" s="716">
        <f t="shared" si="12"/>
        <v>0</v>
      </c>
      <c r="AM129" s="417">
        <f t="shared" si="46"/>
        <v>0.11134921469690319</v>
      </c>
      <c r="AN129" s="417">
        <f t="shared" si="47"/>
        <v>0.52406734982598135</v>
      </c>
      <c r="AO129" s="417">
        <f t="shared" si="48"/>
        <v>0.32161989065260499</v>
      </c>
      <c r="AP129" s="417">
        <f t="shared" si="49"/>
        <v>4.2963544824510355E-2</v>
      </c>
      <c r="AQ129" s="417">
        <f t="shared" si="50"/>
        <v>0.99999999999999989</v>
      </c>
      <c r="AR129" s="1086">
        <f t="shared" si="13"/>
        <v>492.79886467533919</v>
      </c>
      <c r="AS129" s="938">
        <f t="shared" si="14"/>
        <v>625.00228054463878</v>
      </c>
      <c r="AT129" s="938">
        <f t="shared" si="15"/>
        <v>118.30523959158762</v>
      </c>
      <c r="AU129" s="938">
        <f t="shared" si="16"/>
        <v>0</v>
      </c>
      <c r="AV129" s="938">
        <f t="shared" si="17"/>
        <v>0</v>
      </c>
      <c r="AW129" s="938">
        <f t="shared" si="18"/>
        <v>0</v>
      </c>
      <c r="AX129" s="938">
        <f t="shared" si="19"/>
        <v>826.20430969625215</v>
      </c>
      <c r="AY129" s="938">
        <f t="shared" si="20"/>
        <v>66.550310672351813</v>
      </c>
      <c r="AZ129" s="938">
        <f t="shared" si="21"/>
        <v>18.707309814567544</v>
      </c>
      <c r="BA129" s="938">
        <f t="shared" si="22"/>
        <v>48.317337338302423</v>
      </c>
      <c r="BB129" s="938">
        <f t="shared" si="23"/>
        <v>32.920644059118267</v>
      </c>
      <c r="BC129" s="530">
        <f t="shared" si="51"/>
        <v>2228.8062963921579</v>
      </c>
      <c r="BD129" s="724">
        <f t="shared" si="52"/>
        <v>0</v>
      </c>
      <c r="BE129" s="436">
        <f t="shared" si="53"/>
        <v>0.2211043936267808</v>
      </c>
      <c r="BF129" s="624">
        <f t="shared" si="54"/>
        <v>0.28042018795278467</v>
      </c>
      <c r="BG129" s="624">
        <f t="shared" si="55"/>
        <v>5.3080090352890782E-2</v>
      </c>
      <c r="BH129" s="624">
        <f t="shared" si="56"/>
        <v>0</v>
      </c>
      <c r="BI129" s="624">
        <f t="shared" si="57"/>
        <v>0</v>
      </c>
      <c r="BJ129" s="624">
        <f t="shared" si="58"/>
        <v>0</v>
      </c>
      <c r="BK129" s="624">
        <f t="shared" si="59"/>
        <v>0.44539532806754367</v>
      </c>
      <c r="BL129" s="624">
        <f t="shared" si="60"/>
        <v>0.99999999999999989</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65.030241255652285</v>
      </c>
      <c r="BW129" s="114">
        <f t="shared" si="63"/>
        <v>0.75524082859631403</v>
      </c>
      <c r="BX129" s="1689">
        <f t="shared" si="24"/>
        <v>1.2965791203209778</v>
      </c>
      <c r="BY129" s="527">
        <f t="shared" si="64"/>
        <v>65.030241255652285</v>
      </c>
      <c r="BZ129" s="417">
        <f t="shared" si="65"/>
        <v>0.75524082859631403</v>
      </c>
      <c r="CA129" s="544">
        <f t="shared" si="25"/>
        <v>1.2965791203209778</v>
      </c>
      <c r="CB129" s="649">
        <f t="shared" si="26"/>
        <v>0.37239355070665991</v>
      </c>
      <c r="CC129" s="525">
        <f t="shared" si="66"/>
        <v>0.37321594039316452</v>
      </c>
      <c r="CD129" s="417">
        <f t="shared" si="27"/>
        <v>0.37239355070665991</v>
      </c>
      <c r="CE129" s="525">
        <f t="shared" si="67"/>
        <v>0.37321594039316452</v>
      </c>
      <c r="CG129" s="527">
        <f t="shared" si="68"/>
        <v>1992.03744364165</v>
      </c>
      <c r="CH129" s="528">
        <f t="shared" si="69"/>
        <v>877.19199129207152</v>
      </c>
      <c r="CI129" s="528">
        <f t="shared" si="70"/>
        <v>3340.7822204042182</v>
      </c>
      <c r="CJ129" s="528">
        <f t="shared" si="71"/>
        <v>4229.0103919053854</v>
      </c>
      <c r="CK129" s="528">
        <f t="shared" si="72"/>
        <v>50.900240984399851</v>
      </c>
      <c r="CL129" s="528">
        <f t="shared" si="73"/>
        <v>10489.922288227724</v>
      </c>
      <c r="CM129" s="646">
        <f t="shared" si="74"/>
        <v>0</v>
      </c>
    </row>
    <row r="130" spans="1:91" ht="15.75" thickBot="1">
      <c r="A130" s="172">
        <f>'Input data'!A150</f>
        <v>2050</v>
      </c>
      <c r="B130" s="664">
        <f>'Input data'!B150</f>
        <v>75.517908954390194</v>
      </c>
      <c r="C130" s="239">
        <f>'Input data'!C150</f>
        <v>5947.0928685667695</v>
      </c>
      <c r="D130" s="239">
        <f>'Input data'!D150</f>
        <v>640947.1872176266</v>
      </c>
      <c r="E130" s="1006">
        <f t="shared" si="93"/>
        <v>1</v>
      </c>
      <c r="F130" s="797">
        <f t="shared" si="93"/>
        <v>0.37</v>
      </c>
      <c r="G130" s="1007">
        <f>B130*F130*'Input data'!$C$9</f>
        <v>855.21188367317097</v>
      </c>
      <c r="H130" s="654">
        <f>'Input data'!I150</f>
        <v>424.26313389388866</v>
      </c>
      <c r="I130" s="667">
        <f>'Input data'!K150</f>
        <v>32039.46471810294</v>
      </c>
      <c r="J130" s="667">
        <f t="shared" si="91"/>
        <v>2228.8062963921584</v>
      </c>
      <c r="K130" s="659">
        <f t="shared" si="77"/>
        <v>12660.52402568841</v>
      </c>
      <c r="L130" s="651">
        <f t="shared" si="94"/>
        <v>0.7</v>
      </c>
      <c r="M130" s="651">
        <f t="shared" si="94"/>
        <v>0.6</v>
      </c>
      <c r="N130" s="651">
        <f t="shared" si="94"/>
        <v>0.9</v>
      </c>
      <c r="O130" s="651">
        <f t="shared" si="94"/>
        <v>0.9</v>
      </c>
      <c r="P130" s="651">
        <f t="shared" si="94"/>
        <v>0.23600000000000002</v>
      </c>
      <c r="Q130" s="670">
        <f t="shared" si="33"/>
        <v>343.05850087933072</v>
      </c>
      <c r="R130" s="667">
        <f t="shared" si="34"/>
        <v>239.39688435418259</v>
      </c>
      <c r="S130" s="667">
        <f t="shared" si="35"/>
        <v>701.05321854336626</v>
      </c>
      <c r="T130" s="667">
        <f t="shared" si="36"/>
        <v>472.04535111296673</v>
      </c>
      <c r="U130" s="659">
        <f t="shared" si="37"/>
        <v>0</v>
      </c>
      <c r="V130" s="667">
        <f t="shared" si="38"/>
        <v>1755.5539548898464</v>
      </c>
      <c r="W130" s="650">
        <f t="shared" si="87"/>
        <v>0.5</v>
      </c>
      <c r="X130" s="659">
        <f t="shared" si="39"/>
        <v>3033.4854703020706</v>
      </c>
      <c r="Y130" s="670">
        <f t="shared" si="78"/>
        <v>4789.039425191917</v>
      </c>
      <c r="Z130" s="667">
        <f t="shared" si="79"/>
        <v>10100.290896888651</v>
      </c>
      <c r="AA130" s="659">
        <f t="shared" si="80"/>
        <v>7871.4846004964929</v>
      </c>
      <c r="AB130" s="1094">
        <f t="shared" si="40"/>
        <v>0.77933246486210295</v>
      </c>
      <c r="AC130" s="1105" t="str">
        <f t="shared" si="41"/>
        <v>Yes</v>
      </c>
      <c r="AD130" s="1094">
        <f t="shared" si="42"/>
        <v>0.77933246486210295</v>
      </c>
      <c r="AE130" s="650">
        <f t="shared" si="10"/>
        <v>0.37379435111020376</v>
      </c>
      <c r="AF130" s="659">
        <f t="shared" si="43"/>
        <v>265.67597106004104</v>
      </c>
      <c r="AG130" s="667">
        <f t="shared" si="44"/>
        <v>2228.8062963921584</v>
      </c>
      <c r="AH130" s="667">
        <f t="shared" si="81"/>
        <v>10538.037819095725</v>
      </c>
      <c r="AI130" s="667">
        <f t="shared" si="82"/>
        <v>6437.6604656145792</v>
      </c>
      <c r="AJ130" s="667">
        <f t="shared" si="11"/>
        <v>858.78921277892312</v>
      </c>
      <c r="AK130" s="667">
        <f t="shared" si="45"/>
        <v>20063.293793881385</v>
      </c>
      <c r="AL130" s="717">
        <f t="shared" si="12"/>
        <v>0</v>
      </c>
      <c r="AM130" s="651">
        <f t="shared" si="46"/>
        <v>0.11108875338663823</v>
      </c>
      <c r="AN130" s="651">
        <f t="shared" si="47"/>
        <v>0.52523967038300878</v>
      </c>
      <c r="AO130" s="651">
        <f t="shared" si="48"/>
        <v>0.32086757696674134</v>
      </c>
      <c r="AP130" s="651">
        <f t="shared" si="49"/>
        <v>4.2803999263611656E-2</v>
      </c>
      <c r="AQ130" s="651">
        <f t="shared" si="50"/>
        <v>1</v>
      </c>
      <c r="AR130" s="1474">
        <f t="shared" si="13"/>
        <v>493.47361370550311</v>
      </c>
      <c r="AS130" s="1475">
        <f t="shared" si="14"/>
        <v>625.8580448592046</v>
      </c>
      <c r="AT130" s="1475">
        <f t="shared" si="15"/>
        <v>118.14226307635244</v>
      </c>
      <c r="AU130" s="1475">
        <f t="shared" si="16"/>
        <v>0</v>
      </c>
      <c r="AV130" s="1475">
        <f t="shared" si="17"/>
        <v>0</v>
      </c>
      <c r="AW130" s="1475">
        <f t="shared" si="18"/>
        <v>0</v>
      </c>
      <c r="AX130" s="1475">
        <f t="shared" si="19"/>
        <v>825.06613610621093</v>
      </c>
      <c r="AY130" s="1475">
        <f t="shared" si="20"/>
        <v>66.458631404733197</v>
      </c>
      <c r="AZ130" s="1475">
        <f t="shared" si="21"/>
        <v>18.681538748353425</v>
      </c>
      <c r="BA130" s="1475">
        <f t="shared" si="22"/>
        <v>48.250775694101193</v>
      </c>
      <c r="BB130" s="1475">
        <f t="shared" si="23"/>
        <v>32.875292797698428</v>
      </c>
      <c r="BC130" s="659">
        <f t="shared" si="51"/>
        <v>2228.8062963921575</v>
      </c>
      <c r="BD130" s="725">
        <f t="shared" si="52"/>
        <v>0</v>
      </c>
      <c r="BE130" s="683">
        <f t="shared" si="53"/>
        <v>0.22140713372189641</v>
      </c>
      <c r="BF130" s="683">
        <f>AS130/BC130</f>
        <v>0.28080414429567152</v>
      </c>
      <c r="BG130" s="683">
        <f t="shared" si="55"/>
        <v>5.3006967571651797E-2</v>
      </c>
      <c r="BH130" s="683">
        <f t="shared" si="56"/>
        <v>0</v>
      </c>
      <c r="BI130" s="683">
        <f t="shared" si="57"/>
        <v>0</v>
      </c>
      <c r="BJ130" s="683">
        <f t="shared" si="58"/>
        <v>0</v>
      </c>
      <c r="BK130" s="683">
        <f t="shared" si="59"/>
        <v>0.44478175441078022</v>
      </c>
      <c r="BL130" s="683">
        <f t="shared" si="60"/>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65.253523518185702</v>
      </c>
      <c r="BW130" s="651">
        <f t="shared" si="63"/>
        <v>0.75607833711110872</v>
      </c>
      <c r="BX130" s="1690">
        <f t="shared" si="24"/>
        <v>0.64094718721762656</v>
      </c>
      <c r="BY130" s="670">
        <f t="shared" si="64"/>
        <v>65.253523518185702</v>
      </c>
      <c r="BZ130" s="651">
        <f t="shared" si="65"/>
        <v>0.75607833711110872</v>
      </c>
      <c r="CA130" s="675">
        <f t="shared" si="25"/>
        <v>0.64094718721762656</v>
      </c>
      <c r="CB130" s="650">
        <f t="shared" si="26"/>
        <v>0.37379435111020376</v>
      </c>
      <c r="CC130" s="652">
        <f t="shared" si="66"/>
        <v>0.37401584679252353</v>
      </c>
      <c r="CD130" s="651">
        <f t="shared" si="27"/>
        <v>0.37379435111020376</v>
      </c>
      <c r="CE130" s="652">
        <f t="shared" si="67"/>
        <v>0.37401584679252353</v>
      </c>
      <c r="CG130" s="670">
        <f t="shared" si="68"/>
        <v>2001.174588462763</v>
      </c>
      <c r="CH130" s="667">
        <f t="shared" si="69"/>
        <v>881.21552523012031</v>
      </c>
      <c r="CI130" s="667">
        <f t="shared" si="70"/>
        <v>3356.1058334522886</v>
      </c>
      <c r="CJ130" s="667">
        <f t="shared" si="71"/>
        <v>4248.4081600167065</v>
      </c>
      <c r="CK130" s="667">
        <f t="shared" si="72"/>
        <v>51.13371193384836</v>
      </c>
      <c r="CL130" s="667">
        <f t="shared" si="73"/>
        <v>10538.037819095725</v>
      </c>
      <c r="CM130" s="653">
        <f t="shared" si="74"/>
        <v>0</v>
      </c>
    </row>
    <row r="131" spans="1:91">
      <c r="AM131" s="528"/>
      <c r="AN131" s="623"/>
      <c r="AO131" s="623"/>
      <c r="AP131" s="623"/>
      <c r="AS131" s="114"/>
    </row>
    <row r="132" spans="1:91" ht="23.25">
      <c r="A132" s="686" t="s">
        <v>663</v>
      </c>
      <c r="AM132" s="528"/>
      <c r="AO132" s="623"/>
      <c r="AS132" s="114"/>
    </row>
    <row r="133" spans="1:91" ht="15.75" thickBot="1">
      <c r="AM133" s="528"/>
    </row>
    <row r="134" spans="1:91" ht="21.6" customHeight="1" thickBot="1">
      <c r="A134" s="1819" t="s">
        <v>602</v>
      </c>
      <c r="B134" s="1820"/>
      <c r="C134" s="1820"/>
      <c r="D134" s="1821"/>
      <c r="E134" s="1822" t="s">
        <v>603</v>
      </c>
      <c r="F134" s="1823"/>
      <c r="G134" s="1823"/>
      <c r="H134" s="1823"/>
      <c r="I134" s="1824"/>
      <c r="J134" s="1825" t="s">
        <v>604</v>
      </c>
      <c r="K134" s="1826"/>
      <c r="L134" s="1827"/>
      <c r="M134" s="1828" t="s">
        <v>764</v>
      </c>
      <c r="N134" s="1830" t="s">
        <v>607</v>
      </c>
      <c r="O134" s="1831"/>
      <c r="P134" s="1809" t="s">
        <v>594</v>
      </c>
      <c r="Q134" s="1811" t="s">
        <v>772</v>
      </c>
      <c r="R134" s="1811" t="s">
        <v>775</v>
      </c>
      <c r="S134" s="1811" t="s">
        <v>774</v>
      </c>
      <c r="T134" s="1843" t="s">
        <v>776</v>
      </c>
      <c r="U134" s="1876" t="s">
        <v>777</v>
      </c>
      <c r="V134" s="1813" t="s">
        <v>767</v>
      </c>
      <c r="W134" s="1815" t="s">
        <v>768</v>
      </c>
      <c r="X134" s="1878" t="s">
        <v>592</v>
      </c>
      <c r="Y134" s="1879"/>
      <c r="Z134" s="1879"/>
      <c r="AA134" s="1879"/>
      <c r="AB134" s="1879"/>
      <c r="AC134" s="1879"/>
      <c r="AD134" s="1879"/>
      <c r="AE134" s="1880"/>
      <c r="AF134" s="1880"/>
      <c r="AG134" s="1880"/>
      <c r="AH134" s="1880"/>
      <c r="AI134" s="1880"/>
      <c r="AJ134" s="1881"/>
      <c r="AK134" s="1921" t="s">
        <v>735</v>
      </c>
      <c r="AL134" s="1922"/>
      <c r="AM134" s="1922"/>
      <c r="AN134" s="1922"/>
      <c r="AO134" s="1923"/>
    </row>
    <row r="135" spans="1:91" ht="43.15" customHeight="1">
      <c r="A135" s="1817" t="s">
        <v>217</v>
      </c>
      <c r="B135" s="703" t="s">
        <v>218</v>
      </c>
      <c r="C135" s="703" t="s">
        <v>390</v>
      </c>
      <c r="D135" s="513" t="s">
        <v>629</v>
      </c>
      <c r="E135" s="704" t="s">
        <v>786</v>
      </c>
      <c r="F135" s="704" t="s">
        <v>787</v>
      </c>
      <c r="G135" s="704" t="s">
        <v>771</v>
      </c>
      <c r="H135" s="705" t="s">
        <v>597</v>
      </c>
      <c r="I135" s="705" t="s">
        <v>626</v>
      </c>
      <c r="J135" s="1461" t="s">
        <v>326</v>
      </c>
      <c r="K135" s="1461" t="s">
        <v>765</v>
      </c>
      <c r="L135" s="706" t="s">
        <v>766</v>
      </c>
      <c r="M135" s="1829"/>
      <c r="N135" s="508" t="s">
        <v>605</v>
      </c>
      <c r="O135" s="559" t="s">
        <v>606</v>
      </c>
      <c r="P135" s="1810"/>
      <c r="Q135" s="1812"/>
      <c r="R135" s="1812"/>
      <c r="S135" s="1812"/>
      <c r="T135" s="1844"/>
      <c r="U135" s="1877"/>
      <c r="V135" s="1814"/>
      <c r="W135" s="1816"/>
      <c r="X135" s="1464" t="s">
        <v>473</v>
      </c>
      <c r="Y135" s="1465" t="s">
        <v>489</v>
      </c>
      <c r="Z135" s="1636" t="s">
        <v>814</v>
      </c>
      <c r="AA135" s="1465" t="s">
        <v>377</v>
      </c>
      <c r="AB135" s="1465" t="s">
        <v>477</v>
      </c>
      <c r="AC135" s="1465" t="s">
        <v>225</v>
      </c>
      <c r="AD135" s="713" t="s">
        <v>617</v>
      </c>
      <c r="AE135" s="1092" t="s">
        <v>473</v>
      </c>
      <c r="AF135" s="1465" t="s">
        <v>489</v>
      </c>
      <c r="AG135" s="1636" t="s">
        <v>814</v>
      </c>
      <c r="AH135" s="1465" t="s">
        <v>377</v>
      </c>
      <c r="AI135" s="1465" t="s">
        <v>477</v>
      </c>
      <c r="AJ135" s="1466" t="s">
        <v>225</v>
      </c>
      <c r="AK135" s="189" t="s">
        <v>731</v>
      </c>
      <c r="AL135" s="712" t="s">
        <v>493</v>
      </c>
      <c r="AM135" s="712" t="s">
        <v>732</v>
      </c>
      <c r="AN135" s="712" t="s">
        <v>225</v>
      </c>
      <c r="AO135" s="1183" t="s">
        <v>617</v>
      </c>
    </row>
    <row r="136" spans="1:91" ht="45" customHeight="1" thickBot="1">
      <c r="A136" s="1852"/>
      <c r="B136" s="458" t="s">
        <v>232</v>
      </c>
      <c r="C136" s="459" t="s">
        <v>482</v>
      </c>
      <c r="D136" s="477" t="s">
        <v>480</v>
      </c>
      <c r="E136" s="1127" t="s">
        <v>228</v>
      </c>
      <c r="F136" s="1127" t="s">
        <v>228</v>
      </c>
      <c r="G136" s="1127" t="s">
        <v>228</v>
      </c>
      <c r="H136" s="1479" t="str">
        <f>G136</f>
        <v>Gg</v>
      </c>
      <c r="I136" s="1127" t="s">
        <v>228</v>
      </c>
      <c r="J136" s="707" t="s">
        <v>229</v>
      </c>
      <c r="K136" s="1114" t="s">
        <v>228</v>
      </c>
      <c r="L136" s="1114" t="s">
        <v>228</v>
      </c>
      <c r="M136" s="1114" t="s">
        <v>228</v>
      </c>
      <c r="N136" s="688" t="s">
        <v>229</v>
      </c>
      <c r="O136" s="690" t="s">
        <v>228</v>
      </c>
      <c r="P136" s="1115" t="s">
        <v>228</v>
      </c>
      <c r="Q136" s="1116" t="s">
        <v>228</v>
      </c>
      <c r="R136" s="1116" t="s">
        <v>228</v>
      </c>
      <c r="S136" s="1117" t="s">
        <v>28</v>
      </c>
      <c r="T136" s="1844"/>
      <c r="U136" s="1117" t="s">
        <v>28</v>
      </c>
      <c r="V136" s="1116" t="s">
        <v>228</v>
      </c>
      <c r="W136" s="1496"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56.521948041648095</v>
      </c>
      <c r="C137" s="236">
        <f>'Input data'!C117</f>
        <v>3117.5115237718705</v>
      </c>
      <c r="D137" s="1503">
        <f>'Input data'!D117</f>
        <v>49995051</v>
      </c>
      <c r="E137" s="956">
        <f>'Input data'!J117*C137</f>
        <v>37506.923384615395</v>
      </c>
      <c r="F137" s="957">
        <f>'Input data'!L117</f>
        <v>87501.974384615402</v>
      </c>
      <c r="G137" s="957">
        <f>F137*B11</f>
        <v>68439.708347615408</v>
      </c>
      <c r="H137" s="677">
        <f t="shared" ref="H137:H170" si="95">E137*$B$12+I137*$E$80-G137</f>
        <v>0</v>
      </c>
      <c r="I137" s="1467">
        <f>D137/1000</f>
        <v>49995.050999999999</v>
      </c>
      <c r="J137" s="649">
        <f>H17</f>
        <v>6.154773859516615E-2</v>
      </c>
      <c r="K137" s="957">
        <f>(I137)*J137-(I137)*$J$137</f>
        <v>0</v>
      </c>
      <c r="L137" s="957">
        <f>(E137)*$C$12*$G$12-(E137)*$C$12*$G$12</f>
        <v>0</v>
      </c>
      <c r="M137" s="1467">
        <f>L137+K137</f>
        <v>0</v>
      </c>
      <c r="N137" s="708">
        <v>0</v>
      </c>
      <c r="O137" s="1467">
        <f>N137*$E$137*($C$85)*$B$12</f>
        <v>0</v>
      </c>
      <c r="P137" s="1694">
        <f>O137+M137</f>
        <v>0</v>
      </c>
      <c r="Q137" s="1484">
        <f>E137*$B$12+(1-$J$137)*I137-P137</f>
        <v>68439.708347615408</v>
      </c>
      <c r="R137" s="1484">
        <f>Q137-G137</f>
        <v>0</v>
      </c>
      <c r="S137" s="1505">
        <f>R137/(Q137-I137*(1-J137))</f>
        <v>0</v>
      </c>
      <c r="T137" s="1489" t="str">
        <f>IF(AND(S137&gt;=0,S137&lt;=1),"Yes","No")</f>
        <v>Yes</v>
      </c>
      <c r="U137" s="1505">
        <f>IF(S137&lt;=0,0,IF(S137&gt;=1,1,S137))</f>
        <v>0</v>
      </c>
      <c r="V137" s="1533">
        <f t="shared" ref="V137:V170" si="96">AC137</f>
        <v>87501.974384615402</v>
      </c>
      <c r="W137" s="1534">
        <f t="shared" ref="W137:W170" si="97">(1-V137/F137)</f>
        <v>0</v>
      </c>
      <c r="X137" s="956">
        <f>(E137*$B$12-O137-L137)*(1-U137)+I137*(1-J137)</f>
        <v>68439.708347615408</v>
      </c>
      <c r="Y137" s="1501">
        <f>I137*J137+E137*$G$12*$C$12</f>
        <v>6080.5670370000007</v>
      </c>
      <c r="Z137" s="1501">
        <f>($C$12*$H$12*E137+O137)</f>
        <v>1694.9190000000001</v>
      </c>
      <c r="AA137" s="1501">
        <f>$F$137*$D$11</f>
        <v>0</v>
      </c>
      <c r="AB137" s="1501">
        <f>E137*$E$12</f>
        <v>11286.78</v>
      </c>
      <c r="AC137" s="1501">
        <f>SUM(X137:AB137)</f>
        <v>87501.974384615402</v>
      </c>
      <c r="AD137" s="1553">
        <f>X137-G137</f>
        <v>0</v>
      </c>
      <c r="AE137" s="1536">
        <f>X137/AC137</f>
        <v>0.7821504466492184</v>
      </c>
      <c r="AF137" s="1536">
        <f>Y137/AC137</f>
        <v>6.9490626694579893E-2</v>
      </c>
      <c r="AG137" s="1536">
        <f>Z137/AC137</f>
        <v>1.9370065783315637E-2</v>
      </c>
      <c r="AH137" s="1536">
        <f>AA137/AC137</f>
        <v>0</v>
      </c>
      <c r="AI137" s="1536">
        <f>AB137/AC137</f>
        <v>0.12898886087288611</v>
      </c>
      <c r="AJ137" s="1537">
        <f>SUM(AE137:AI137)</f>
        <v>1</v>
      </c>
      <c r="AK137" s="1637">
        <f>I137*(1-$J$137)-K137</f>
        <v>46917.968670000002</v>
      </c>
      <c r="AL137" s="1638">
        <f>(E137*$C$86*$B$12-L137)*(1-U137)</f>
        <v>20017.905677615392</v>
      </c>
      <c r="AM137" s="1638">
        <f>(E137*($C$85)*$B$12-O137)*(1-U137)</f>
        <v>1503.8340000000005</v>
      </c>
      <c r="AN137" s="1638">
        <f>SUM(AK137:AM137)</f>
        <v>68439.708347615393</v>
      </c>
      <c r="AO137" s="1538">
        <f>AN137-X137</f>
        <v>0</v>
      </c>
      <c r="AV137" s="561"/>
      <c r="AW137" s="561"/>
    </row>
    <row r="138" spans="1:91">
      <c r="A138" s="127">
        <f>'Input data'!A118</f>
        <v>2018</v>
      </c>
      <c r="B138" s="662">
        <f>'Input data'!B118</f>
        <v>57.436000617299655</v>
      </c>
      <c r="C138" s="236">
        <f>'Input data'!C118</f>
        <v>3154.0370052724184</v>
      </c>
      <c r="D138" s="1511">
        <f>'Input data'!D118</f>
        <v>50359792.847133137</v>
      </c>
      <c r="E138" s="527">
        <f>'Input data'!J118*C138</f>
        <v>37946.363119089809</v>
      </c>
      <c r="F138" s="528">
        <f>'Input data'!L118</f>
        <v>88306.155966222956</v>
      </c>
      <c r="G138" s="528">
        <f>G137*0.94</f>
        <v>64333.325846758482</v>
      </c>
      <c r="H138" s="528">
        <f>E138*$B$12+I138*$E$80-G138</f>
        <v>4700.8289604658348</v>
      </c>
      <c r="I138" s="530">
        <f t="shared" ref="I138:I170" si="98">D138/1000</f>
        <v>50359.79284713314</v>
      </c>
      <c r="J138" s="649">
        <f>($J$150-$J$137)/($A$150-$A$137)+J137</f>
        <v>8.7582527933999524E-2</v>
      </c>
      <c r="K138" s="775">
        <f>(I138)*J138-(I138)*$J$137</f>
        <v>1311.106597922399</v>
      </c>
      <c r="L138" s="775">
        <f t="shared" ref="L138:L170" si="99">(E138)*$C$12*$G$12-(E138)*$C$12*$G$12</f>
        <v>0</v>
      </c>
      <c r="M138" s="530">
        <f>L138+K138</f>
        <v>1311.106597922399</v>
      </c>
      <c r="N138" s="649">
        <v>0.05</v>
      </c>
      <c r="O138" s="530">
        <f t="shared" ref="O138:O170" si="100">N138*$E$137*($C$85)*$B$12</f>
        <v>75.191700000000026</v>
      </c>
      <c r="P138" s="1210">
        <f>O138+M138</f>
        <v>1386.2982979223991</v>
      </c>
      <c r="Q138" s="1364">
        <f t="shared" ref="Q138:Q170" si="101">E138*$B$12+(1-$J$137)*I138-P138</f>
        <v>67647.856509301913</v>
      </c>
      <c r="R138" s="1364">
        <f>Q138-G138</f>
        <v>3314.5306625434314</v>
      </c>
      <c r="S138" s="1514">
        <f t="shared" ref="S138:S170" si="102">R138/(Q138-I138*(1-J138))</f>
        <v>0.15275248812947445</v>
      </c>
      <c r="T138" s="135" t="str">
        <f t="shared" ref="T138:T170" si="103">IF(AND(S138&gt;=0,S138&lt;=1),"Yes","No")</f>
        <v>Yes</v>
      </c>
      <c r="U138" s="1514">
        <f t="shared" ref="U138:U170" si="104">IF(S138&lt;=0,0,IF(S138&gt;=1,1,S138))</f>
        <v>0.15275248812947445</v>
      </c>
      <c r="V138" s="1539">
        <f t="shared" si="96"/>
        <v>84991.625303679524</v>
      </c>
      <c r="W138" s="1540">
        <f t="shared" si="97"/>
        <v>3.7534536819961217E-2</v>
      </c>
      <c r="X138" s="527">
        <f t="shared" ref="X138:X170" si="105">(E138*$B$12-O138-L138)*(1-U138)+I138*(1-J138)</f>
        <v>64333.325846758482</v>
      </c>
      <c r="Y138" s="1509">
        <f t="shared" ref="Y138:Y170" si="106">I138*J138+E138*$G$12*$C$12</f>
        <v>7449.3121878932852</v>
      </c>
      <c r="Z138" s="1509">
        <f t="shared" ref="Z138:Z170" si="107">($C$12*$H$12*E138+O138)</f>
        <v>1789.9687605419947</v>
      </c>
      <c r="AA138" s="1509">
        <f t="shared" ref="AA138:AA170" si="108">$F$137*$D$11</f>
        <v>0</v>
      </c>
      <c r="AB138" s="1509">
        <f t="shared" ref="AB138:AB170" si="109">E138*$E$12</f>
        <v>11419.018508485759</v>
      </c>
      <c r="AC138" s="1509">
        <f t="shared" ref="AC138:AC170" si="110">SUM(X138:AB138)</f>
        <v>84991.625303679524</v>
      </c>
      <c r="AD138" s="1535">
        <f t="shared" ref="AD138:AD170" si="111">X138-G138</f>
        <v>0</v>
      </c>
      <c r="AE138" s="1504">
        <f t="shared" ref="AE138:AE170" si="112">X138/AC138</f>
        <v>0.75693723489687537</v>
      </c>
      <c r="AF138" s="1504">
        <f t="shared" ref="AF138:AF170" si="113">Y138/AC138</f>
        <v>8.7647602469966931E-2</v>
      </c>
      <c r="AG138" s="1504">
        <f t="shared" ref="AG138:AG170" si="114">Z138/AC138</f>
        <v>2.1060531012865594E-2</v>
      </c>
      <c r="AH138" s="1504">
        <f>AA138/AC138</f>
        <v>0</v>
      </c>
      <c r="AI138" s="1504">
        <f t="shared" ref="AI138:AI169" si="115">AB138/AC138</f>
        <v>0.1343546316202921</v>
      </c>
      <c r="AJ138" s="1541">
        <f t="shared" ref="AJ138:AJ170" si="116">SUM(AE138:AI138)</f>
        <v>1</v>
      </c>
      <c r="AK138" s="1555">
        <f t="shared" ref="AK138:AK170" si="117">I138*(1-$J$137)-K138</f>
        <v>45949.154883348674</v>
      </c>
      <c r="AL138" s="1556">
        <f t="shared" ref="AL138:AL170" si="118">(E138*$C$86*$B$12-L138)*(1-U138)</f>
        <v>17158.829451148249</v>
      </c>
      <c r="AM138" s="1556">
        <f t="shared" ref="AM138:AM170" si="119">(E138*($C$85)*$B$12-O138)*(1-U138)</f>
        <v>1225.3415122615597</v>
      </c>
      <c r="AN138" s="1556">
        <f t="shared" ref="AN138:AN170" si="120">SUM(AK138:AM138)</f>
        <v>64333.325846758489</v>
      </c>
      <c r="AO138" s="1543">
        <f t="shared" ref="AO138:AO170" si="121">AN138-X138</f>
        <v>0</v>
      </c>
      <c r="AV138" s="561"/>
      <c r="AW138" s="561"/>
    </row>
    <row r="139" spans="1:91">
      <c r="A139" s="127">
        <f>'Input data'!A119</f>
        <v>2019</v>
      </c>
      <c r="B139" s="662">
        <f>'Input data'!B119</f>
        <v>58.364834921819444</v>
      </c>
      <c r="C139" s="236">
        <f>'Input data'!C119</f>
        <v>3164.1559328574817</v>
      </c>
      <c r="D139" s="1511">
        <f>'Input data'!D119</f>
        <v>53404857.831011549</v>
      </c>
      <c r="E139" s="527">
        <f>'Input data'!J119*C139</f>
        <v>38068.104398560121</v>
      </c>
      <c r="F139" s="528">
        <f>'Input data'!L119</f>
        <v>91472.962229571669</v>
      </c>
      <c r="G139" s="528">
        <f>G137*0.89</f>
        <v>60911.340429377713</v>
      </c>
      <c r="H139" s="528">
        <f t="shared" si="95"/>
        <v>11050.318511018224</v>
      </c>
      <c r="I139" s="530">
        <f t="shared" si="98"/>
        <v>53404.857831011548</v>
      </c>
      <c r="J139" s="649">
        <f t="shared" ref="J139:J149" si="122">($J$150-$J$137)/($A$150-$A$137)+J138</f>
        <v>0.11361731727283289</v>
      </c>
      <c r="K139" s="775">
        <f t="shared" ref="K139:K170" si="123">(I139)*J139-(I139)*$J$137</f>
        <v>2780.7684466014621</v>
      </c>
      <c r="L139" s="775">
        <f t="shared" si="99"/>
        <v>0</v>
      </c>
      <c r="M139" s="530">
        <f t="shared" ref="M139:M170" si="124">L139+K139</f>
        <v>2780.7684466014621</v>
      </c>
      <c r="N139" s="1454">
        <v>0.1</v>
      </c>
      <c r="O139" s="530">
        <f t="shared" si="100"/>
        <v>150.38340000000005</v>
      </c>
      <c r="P139" s="1210">
        <f>O139+M139</f>
        <v>2931.1518466014622</v>
      </c>
      <c r="Q139" s="1364">
        <f t="shared" si="101"/>
        <v>69030.507093794469</v>
      </c>
      <c r="R139" s="1364">
        <f t="shared" ref="R139:R170" si="125">Q139-G139</f>
        <v>8119.1666644167562</v>
      </c>
      <c r="S139" s="1514">
        <f t="shared" si="102"/>
        <v>0.37426956643299625</v>
      </c>
      <c r="T139" s="135" t="str">
        <f t="shared" si="103"/>
        <v>Yes</v>
      </c>
      <c r="U139" s="1514">
        <f t="shared" si="104"/>
        <v>0.37426956643299625</v>
      </c>
      <c r="V139" s="1539">
        <f t="shared" si="96"/>
        <v>83353.795565154913</v>
      </c>
      <c r="W139" s="1540">
        <f t="shared" si="97"/>
        <v>8.8760290106708384E-2</v>
      </c>
      <c r="X139" s="527">
        <f t="shared" si="105"/>
        <v>60911.34042937772</v>
      </c>
      <c r="Y139" s="1509">
        <f t="shared" si="106"/>
        <v>9116.1397155734267</v>
      </c>
      <c r="Z139" s="1509">
        <f t="shared" si="107"/>
        <v>1870.6618877196547</v>
      </c>
      <c r="AA139" s="1509">
        <f t="shared" si="108"/>
        <v>0</v>
      </c>
      <c r="AB139" s="1509">
        <f t="shared" si="109"/>
        <v>11455.653532484115</v>
      </c>
      <c r="AC139" s="1509">
        <f t="shared" si="110"/>
        <v>83353.795565154913</v>
      </c>
      <c r="AD139" s="1535">
        <f t="shared" si="111"/>
        <v>0</v>
      </c>
      <c r="AE139" s="1504">
        <f t="shared" si="112"/>
        <v>0.7307566502087518</v>
      </c>
      <c r="AF139" s="1504">
        <f t="shared" si="113"/>
        <v>0.10936682191571757</v>
      </c>
      <c r="AG139" s="1504">
        <f t="shared" si="114"/>
        <v>2.2442431985684682E-2</v>
      </c>
      <c r="AH139" s="1504">
        <f t="shared" ref="AH139:AH170" si="126">AA139/AC139</f>
        <v>0</v>
      </c>
      <c r="AI139" s="1504">
        <f t="shared" si="115"/>
        <v>0.13743409588984593</v>
      </c>
      <c r="AJ139" s="1541">
        <f t="shared" si="116"/>
        <v>0.99999999999999989</v>
      </c>
      <c r="AK139" s="1555">
        <f t="shared" si="117"/>
        <v>47337.141154914978</v>
      </c>
      <c r="AL139" s="1556">
        <f t="shared" si="118"/>
        <v>12713.224820127884</v>
      </c>
      <c r="AM139" s="1556">
        <f t="shared" si="119"/>
        <v>860.97445433485484</v>
      </c>
      <c r="AN139" s="1556">
        <f t="shared" si="120"/>
        <v>60911.34042937772</v>
      </c>
      <c r="AO139" s="1543">
        <f t="shared" si="121"/>
        <v>0</v>
      </c>
      <c r="AV139" s="561"/>
      <c r="AW139" s="561"/>
    </row>
    <row r="140" spans="1:91">
      <c r="A140" s="127">
        <f>'Input data'!A120</f>
        <v>2020</v>
      </c>
      <c r="B140" s="662">
        <f>'Input data'!B120</f>
        <v>59.308690000000006</v>
      </c>
      <c r="C140" s="236">
        <f>'Input data'!C120</f>
        <v>2966.4312031486884</v>
      </c>
      <c r="D140" s="1511">
        <f>'Input data'!D120</f>
        <v>50522212.337504238</v>
      </c>
      <c r="E140" s="527">
        <f>'Input data'!J120*C140</f>
        <v>35689.269153884321</v>
      </c>
      <c r="F140" s="528">
        <f>'Input data'!L120</f>
        <v>86211.481491388549</v>
      </c>
      <c r="G140" s="528">
        <f>G137*0.81</f>
        <v>55436.163761568481</v>
      </c>
      <c r="H140" s="528">
        <f t="shared" si="95"/>
        <v>12455.277396534897</v>
      </c>
      <c r="I140" s="530">
        <f t="shared" si="98"/>
        <v>50522.212337504236</v>
      </c>
      <c r="J140" s="649">
        <f t="shared" si="122"/>
        <v>0.13965210661166627</v>
      </c>
      <c r="K140" s="775">
        <f t="shared" si="123"/>
        <v>3946.0054654161941</v>
      </c>
      <c r="L140" s="775">
        <f t="shared" si="99"/>
        <v>0</v>
      </c>
      <c r="M140" s="530">
        <f t="shared" si="124"/>
        <v>3946.0054654161941</v>
      </c>
      <c r="N140" s="1454">
        <f>($N$142-$N$137)/($A$102-$A$97)+N139</f>
        <v>0.2</v>
      </c>
      <c r="O140" s="530">
        <f t="shared" si="100"/>
        <v>300.7668000000001</v>
      </c>
      <c r="P140" s="1210">
        <f t="shared" ref="P140:P170" si="127">O140+M140</f>
        <v>4246.7722654161944</v>
      </c>
      <c r="Q140" s="1364">
        <f t="shared" si="101"/>
        <v>63644.668892687187</v>
      </c>
      <c r="R140" s="1364">
        <f t="shared" si="125"/>
        <v>8208.5051311187053</v>
      </c>
      <c r="S140" s="1514">
        <f t="shared" si="102"/>
        <v>0.40680489761449229</v>
      </c>
      <c r="T140" s="135" t="str">
        <f t="shared" si="103"/>
        <v>Yes</v>
      </c>
      <c r="U140" s="1514">
        <f t="shared" si="104"/>
        <v>0.40680489761449229</v>
      </c>
      <c r="V140" s="1539">
        <f t="shared" si="96"/>
        <v>78002.976360269866</v>
      </c>
      <c r="W140" s="1540">
        <f t="shared" si="97"/>
        <v>9.5213595557322783E-2</v>
      </c>
      <c r="X140" s="527">
        <f t="shared" si="105"/>
        <v>55436.163761568474</v>
      </c>
      <c r="Y140" s="1509">
        <f t="shared" si="106"/>
        <v>9913.4637184620151</v>
      </c>
      <c r="Z140" s="1509">
        <f t="shared" si="107"/>
        <v>1913.5469196790364</v>
      </c>
      <c r="AA140" s="1509">
        <f t="shared" si="108"/>
        <v>0</v>
      </c>
      <c r="AB140" s="1509">
        <f t="shared" si="109"/>
        <v>10739.801960560329</v>
      </c>
      <c r="AC140" s="1509">
        <f t="shared" si="110"/>
        <v>78002.976360269866</v>
      </c>
      <c r="AD140" s="1535">
        <f t="shared" si="111"/>
        <v>0</v>
      </c>
      <c r="AE140" s="1504">
        <f t="shared" si="112"/>
        <v>0.71069292927397065</v>
      </c>
      <c r="AF140" s="1504">
        <f t="shared" si="113"/>
        <v>0.12709083910689531</v>
      </c>
      <c r="AG140" s="1504">
        <f t="shared" si="114"/>
        <v>2.4531716723743952E-2</v>
      </c>
      <c r="AH140" s="1504">
        <f t="shared" si="126"/>
        <v>0</v>
      </c>
      <c r="AI140" s="1504">
        <f t="shared" si="115"/>
        <v>0.13768451489538999</v>
      </c>
      <c r="AJ140" s="1541">
        <f t="shared" si="116"/>
        <v>1</v>
      </c>
      <c r="AK140" s="1555">
        <f t="shared" si="117"/>
        <v>43466.678953889852</v>
      </c>
      <c r="AL140" s="1556">
        <f t="shared" si="118"/>
        <v>11299.062436378306</v>
      </c>
      <c r="AM140" s="1556">
        <f t="shared" si="119"/>
        <v>670.42237130031697</v>
      </c>
      <c r="AN140" s="1556">
        <f t="shared" si="120"/>
        <v>55436.163761568474</v>
      </c>
      <c r="AO140" s="1543">
        <f t="shared" si="121"/>
        <v>0</v>
      </c>
      <c r="AV140" s="561"/>
      <c r="AW140" s="561"/>
    </row>
    <row r="141" spans="1:91">
      <c r="A141" s="127">
        <f>'Input data'!A121</f>
        <v>2021</v>
      </c>
      <c r="B141" s="1551">
        <f>'Input data'!B121</f>
        <v>60.097873988486953</v>
      </c>
      <c r="C141" s="1550">
        <f>'Input data'!C121</f>
        <v>3038.4599250524875</v>
      </c>
      <c r="D141" s="1511">
        <f>'Input data'!D121</f>
        <v>50478759.434739612</v>
      </c>
      <c r="E141" s="527">
        <f>'Input data'!J121*C141</f>
        <v>36555.849993549964</v>
      </c>
      <c r="F141" s="528">
        <f>'Input data'!L121</f>
        <v>87034.609428289579</v>
      </c>
      <c r="G141" s="528">
        <f>G137*0.65</f>
        <v>44485.810425950018</v>
      </c>
      <c r="H141" s="528">
        <f t="shared" si="95"/>
        <v>23862.102512919249</v>
      </c>
      <c r="I141" s="530">
        <f t="shared" si="98"/>
        <v>50478.759434739615</v>
      </c>
      <c r="J141" s="649">
        <f t="shared" si="122"/>
        <v>0.16568689595049965</v>
      </c>
      <c r="K141" s="775">
        <f t="shared" si="123"/>
        <v>5256.8154718763753</v>
      </c>
      <c r="L141" s="775">
        <f t="shared" si="99"/>
        <v>0</v>
      </c>
      <c r="M141" s="530">
        <f t="shared" si="124"/>
        <v>5256.8154718763753</v>
      </c>
      <c r="N141" s="1454">
        <v>0.4</v>
      </c>
      <c r="O141" s="530">
        <f t="shared" si="100"/>
        <v>601.53360000000021</v>
      </c>
      <c r="P141" s="1210">
        <f t="shared" si="127"/>
        <v>5858.3490718763751</v>
      </c>
      <c r="Q141" s="1364">
        <f t="shared" si="101"/>
        <v>62489.563866992889</v>
      </c>
      <c r="R141" s="1364">
        <f t="shared" si="125"/>
        <v>18003.753441042871</v>
      </c>
      <c r="S141" s="1514">
        <f t="shared" si="102"/>
        <v>0.88364263912544427</v>
      </c>
      <c r="T141" s="135" t="str">
        <f t="shared" si="103"/>
        <v>Yes</v>
      </c>
      <c r="U141" s="1514">
        <f t="shared" si="104"/>
        <v>0.88364263912544427</v>
      </c>
      <c r="V141" s="1539">
        <f t="shared" si="96"/>
        <v>69030.855987246701</v>
      </c>
      <c r="W141" s="1540">
        <f t="shared" si="97"/>
        <v>0.20685740487956927</v>
      </c>
      <c r="X141" s="527">
        <f t="shared" si="105"/>
        <v>44485.810425950018</v>
      </c>
      <c r="Y141" s="1509">
        <f t="shared" si="106"/>
        <v>11290.993479866895</v>
      </c>
      <c r="Z141" s="1509">
        <f t="shared" si="107"/>
        <v>2253.4740718925086</v>
      </c>
      <c r="AA141" s="1509">
        <f t="shared" si="108"/>
        <v>0</v>
      </c>
      <c r="AB141" s="1509">
        <f t="shared" si="109"/>
        <v>11000.578009537285</v>
      </c>
      <c r="AC141" s="1509">
        <f t="shared" si="110"/>
        <v>69030.855987246701</v>
      </c>
      <c r="AD141" s="1535">
        <f t="shared" si="111"/>
        <v>0</v>
      </c>
      <c r="AE141" s="1504">
        <f t="shared" si="112"/>
        <v>0.64443370706816494</v>
      </c>
      <c r="AF141" s="1504">
        <f t="shared" si="113"/>
        <v>0.16356444257265013</v>
      </c>
      <c r="AG141" s="1504">
        <f t="shared" si="114"/>
        <v>3.264444630831223E-2</v>
      </c>
      <c r="AH141" s="1504">
        <f t="shared" si="126"/>
        <v>0</v>
      </c>
      <c r="AI141" s="1504">
        <f t="shared" si="115"/>
        <v>0.15935740405087281</v>
      </c>
      <c r="AJ141" s="1541">
        <f t="shared" si="116"/>
        <v>1</v>
      </c>
      <c r="AK141" s="1555">
        <f t="shared" si="117"/>
        <v>42115.090472565607</v>
      </c>
      <c r="AL141" s="1556">
        <f t="shared" si="118"/>
        <v>2270.1677308549342</v>
      </c>
      <c r="AM141" s="1556">
        <f t="shared" si="119"/>
        <v>100.55222252947536</v>
      </c>
      <c r="AN141" s="1556">
        <f t="shared" si="120"/>
        <v>44485.810425950018</v>
      </c>
      <c r="AO141" s="1543">
        <f t="shared" si="121"/>
        <v>0</v>
      </c>
      <c r="AV141" s="561"/>
      <c r="AW141" s="561"/>
    </row>
    <row r="142" spans="1:91">
      <c r="A142" s="127">
        <f>'Input data'!A122</f>
        <v>2022</v>
      </c>
      <c r="B142" s="1551">
        <f>'Input data'!B122</f>
        <v>60.841582286809363</v>
      </c>
      <c r="C142" s="1550">
        <f>'Input data'!C122</f>
        <v>3105.6495314991057</v>
      </c>
      <c r="D142" s="1511">
        <f>'Input data'!D122</f>
        <v>50359792.847133152</v>
      </c>
      <c r="E142" s="527">
        <f>'Input data'!J122*C142</f>
        <v>37364.211214356852</v>
      </c>
      <c r="F142" s="528">
        <f>'Input data'!L122</f>
        <v>87724.004061490006</v>
      </c>
      <c r="G142" s="938">
        <f>G137*(1-E4)</f>
        <v>34219.854173807704</v>
      </c>
      <c r="H142" s="528">
        <f t="shared" si="95"/>
        <v>34480.257725710951</v>
      </c>
      <c r="I142" s="530">
        <f t="shared" si="98"/>
        <v>50359.792847133154</v>
      </c>
      <c r="J142" s="649">
        <f t="shared" si="122"/>
        <v>0.19172168528933303</v>
      </c>
      <c r="K142" s="775">
        <f t="shared" si="123"/>
        <v>6555.5329896119983</v>
      </c>
      <c r="L142" s="775">
        <f t="shared" si="99"/>
        <v>0</v>
      </c>
      <c r="M142" s="530">
        <f t="shared" si="124"/>
        <v>6555.5329896119983</v>
      </c>
      <c r="N142" s="1454">
        <f>$E$26</f>
        <v>0.5</v>
      </c>
      <c r="O142" s="530">
        <f t="shared" si="100"/>
        <v>751.91700000000026</v>
      </c>
      <c r="P142" s="1210">
        <f t="shared" si="127"/>
        <v>7307.4499896119987</v>
      </c>
      <c r="Q142" s="1364">
        <f t="shared" si="101"/>
        <v>61392.661909906659</v>
      </c>
      <c r="R142" s="1364">
        <f t="shared" si="125"/>
        <v>27172.807736098956</v>
      </c>
      <c r="S142" s="1514">
        <f t="shared" si="102"/>
        <v>1.3134616777203791</v>
      </c>
      <c r="T142" s="135" t="str">
        <f t="shared" si="103"/>
        <v>No</v>
      </c>
      <c r="U142" s="1514">
        <f t="shared" si="104"/>
        <v>1</v>
      </c>
      <c r="V142" s="1539">
        <f t="shared" si="96"/>
        <v>67036.070643242434</v>
      </c>
      <c r="W142" s="1540">
        <f t="shared" si="97"/>
        <v>0.23582978957214951</v>
      </c>
      <c r="X142" s="527">
        <f t="shared" si="105"/>
        <v>40704.728491659087</v>
      </c>
      <c r="Y142" s="1509">
        <f t="shared" si="106"/>
        <v>12647.120937152275</v>
      </c>
      <c r="Z142" s="1509">
        <f t="shared" si="107"/>
        <v>2440.3869088169668</v>
      </c>
      <c r="AA142" s="1509">
        <f t="shared" si="108"/>
        <v>0</v>
      </c>
      <c r="AB142" s="1509">
        <f t="shared" si="109"/>
        <v>11243.834305614109</v>
      </c>
      <c r="AC142" s="1509">
        <f t="shared" si="110"/>
        <v>67036.070643242434</v>
      </c>
      <c r="AD142" s="1554">
        <f t="shared" si="111"/>
        <v>6484.8743178513832</v>
      </c>
      <c r="AE142" s="1504">
        <f t="shared" si="112"/>
        <v>0.6072063607111543</v>
      </c>
      <c r="AF142" s="1504">
        <f t="shared" si="113"/>
        <v>0.18866142982124753</v>
      </c>
      <c r="AG142" s="1504">
        <f t="shared" si="114"/>
        <v>3.6404086417958476E-2</v>
      </c>
      <c r="AH142" s="1504">
        <f t="shared" si="126"/>
        <v>0</v>
      </c>
      <c r="AI142" s="1504">
        <f t="shared" si="115"/>
        <v>0.16772812304963974</v>
      </c>
      <c r="AJ142" s="1541">
        <f t="shared" si="116"/>
        <v>1</v>
      </c>
      <c r="AK142" s="1555">
        <f t="shared" si="117"/>
        <v>40704.728491659087</v>
      </c>
      <c r="AL142" s="1556">
        <f t="shared" si="118"/>
        <v>0</v>
      </c>
      <c r="AM142" s="1556">
        <f t="shared" si="119"/>
        <v>0</v>
      </c>
      <c r="AN142" s="1556">
        <f t="shared" si="120"/>
        <v>40704.728491659087</v>
      </c>
      <c r="AO142" s="1543">
        <f t="shared" si="121"/>
        <v>0</v>
      </c>
      <c r="AV142" s="561"/>
      <c r="AW142" s="561"/>
    </row>
    <row r="143" spans="1:91">
      <c r="A143" s="127">
        <f>'Input data'!A123</f>
        <v>2023</v>
      </c>
      <c r="B143" s="1551">
        <f>'Input data'!B123</f>
        <v>61.537824355929828</v>
      </c>
      <c r="C143" s="1550">
        <f>'Input data'!C123</f>
        <v>3166.2503551240475</v>
      </c>
      <c r="D143" s="1511">
        <f>'Input data'!D123</f>
        <v>49907933.066043317</v>
      </c>
      <c r="E143" s="527">
        <f>'Input data'!J123*C143</f>
        <v>38093.302488410991</v>
      </c>
      <c r="F143" s="528">
        <f>'Input data'!L123</f>
        <v>88001.23555445431</v>
      </c>
      <c r="G143" s="938">
        <f>($G$147-$G$142)/($A$147-$A$142)+G142</f>
        <v>32166.662923379241</v>
      </c>
      <c r="H143" s="528">
        <f t="shared" si="95"/>
        <v>36527.757906729959</v>
      </c>
      <c r="I143" s="530">
        <f t="shared" si="98"/>
        <v>49907.933066043319</v>
      </c>
      <c r="J143" s="649">
        <f t="shared" si="122"/>
        <v>0.21775647462816641</v>
      </c>
      <c r="K143" s="775">
        <f t="shared" si="123"/>
        <v>7796.0551422662065</v>
      </c>
      <c r="L143" s="775">
        <f t="shared" si="99"/>
        <v>0</v>
      </c>
      <c r="M143" s="530">
        <f t="shared" si="124"/>
        <v>7796.0551422662065</v>
      </c>
      <c r="N143" s="1454">
        <f>($N$147-$N$142)/($A$107-$A$102)+N142</f>
        <v>0.5</v>
      </c>
      <c r="O143" s="530">
        <f t="shared" si="100"/>
        <v>751.91700000000026</v>
      </c>
      <c r="P143" s="1210">
        <f t="shared" si="127"/>
        <v>8547.972142266206</v>
      </c>
      <c r="Q143" s="1364">
        <f t="shared" si="101"/>
        <v>60146.448687842996</v>
      </c>
      <c r="R143" s="1364">
        <f t="shared" si="125"/>
        <v>27979.785764463755</v>
      </c>
      <c r="S143" s="1514">
        <f t="shared" si="102"/>
        <v>1.3256609379106741</v>
      </c>
      <c r="T143" s="135" t="str">
        <f t="shared" si="103"/>
        <v>No</v>
      </c>
      <c r="U143" s="1514">
        <f t="shared" si="104"/>
        <v>1</v>
      </c>
      <c r="V143" s="1539">
        <f t="shared" si="96"/>
        <v>66894.944372214552</v>
      </c>
      <c r="W143" s="1540">
        <f t="shared" si="97"/>
        <v>0.23984085052055193</v>
      </c>
      <c r="X143" s="527">
        <f t="shared" si="105"/>
        <v>39040.157505603231</v>
      </c>
      <c r="Y143" s="1509">
        <f t="shared" si="106"/>
        <v>13918.216416114146</v>
      </c>
      <c r="Z143" s="1509">
        <f t="shared" si="107"/>
        <v>2473.3341767241886</v>
      </c>
      <c r="AA143" s="1509">
        <f t="shared" si="108"/>
        <v>0</v>
      </c>
      <c r="AB143" s="1509">
        <f t="shared" si="109"/>
        <v>11463.236273772985</v>
      </c>
      <c r="AC143" s="1509">
        <f t="shared" si="110"/>
        <v>66894.944372214552</v>
      </c>
      <c r="AD143" s="1554">
        <f t="shared" si="111"/>
        <v>6873.4945822239897</v>
      </c>
      <c r="AE143" s="1504">
        <f t="shared" si="112"/>
        <v>0.58360400583304661</v>
      </c>
      <c r="AF143" s="1504">
        <f t="shared" si="113"/>
        <v>0.20806081157151257</v>
      </c>
      <c r="AG143" s="1504">
        <f t="shared" si="114"/>
        <v>3.6973409574304263E-2</v>
      </c>
      <c r="AH143" s="1504">
        <f t="shared" si="126"/>
        <v>0</v>
      </c>
      <c r="AI143" s="1504">
        <f t="shared" si="115"/>
        <v>0.17136177302113653</v>
      </c>
      <c r="AJ143" s="1541">
        <f t="shared" si="116"/>
        <v>1</v>
      </c>
      <c r="AK143" s="1555">
        <f t="shared" si="117"/>
        <v>39040.157505603231</v>
      </c>
      <c r="AL143" s="1556">
        <f t="shared" si="118"/>
        <v>0</v>
      </c>
      <c r="AM143" s="1556">
        <f t="shared" si="119"/>
        <v>0</v>
      </c>
      <c r="AN143" s="1556">
        <f>SUM(AK143:AM143)</f>
        <v>39040.157505603231</v>
      </c>
      <c r="AO143" s="1543">
        <f t="shared" si="121"/>
        <v>0</v>
      </c>
      <c r="AV143" s="561"/>
      <c r="AW143" s="561"/>
    </row>
    <row r="144" spans="1:91">
      <c r="A144" s="127">
        <f>'Input data'!A124</f>
        <v>2024</v>
      </c>
      <c r="B144" s="1551">
        <f>'Input data'!B124</f>
        <v>62.221509701386374</v>
      </c>
      <c r="C144" s="1550">
        <f>'Input data'!C124</f>
        <v>3234.5964359714103</v>
      </c>
      <c r="D144" s="1511">
        <f>'Input data'!D124</f>
        <v>50177221.869345397</v>
      </c>
      <c r="E144" s="527">
        <f>'Input data'!J124*C144</f>
        <v>38915.577305499479</v>
      </c>
      <c r="F144" s="1509">
        <f>'Input data'!L124</f>
        <v>89092.799174844869</v>
      </c>
      <c r="G144" s="1557">
        <f t="shared" ref="G144:G146" si="128">($G$147-$G$142)/($A$147-$A$142)+G143</f>
        <v>30113.471672950778</v>
      </c>
      <c r="H144" s="1509">
        <f t="shared" si="95"/>
        <v>39305.490988016114</v>
      </c>
      <c r="I144" s="1511">
        <f t="shared" si="98"/>
        <v>50177.221869345398</v>
      </c>
      <c r="J144" s="1454">
        <f t="shared" si="122"/>
        <v>0.24379126396699979</v>
      </c>
      <c r="K144" s="1512">
        <f t="shared" si="123"/>
        <v>9144.473806834174</v>
      </c>
      <c r="L144" s="1512">
        <f t="shared" si="99"/>
        <v>0</v>
      </c>
      <c r="M144" s="1511">
        <f t="shared" si="124"/>
        <v>9144.473806834174</v>
      </c>
      <c r="N144" s="1454">
        <f>($N$147-$N$142)/($A$107-$A$102)+N143</f>
        <v>0.5</v>
      </c>
      <c r="O144" s="530">
        <f t="shared" si="100"/>
        <v>751.91700000000026</v>
      </c>
      <c r="P144" s="1210">
        <f t="shared" si="127"/>
        <v>9896.3908068341734</v>
      </c>
      <c r="Q144" s="1364">
        <f t="shared" si="101"/>
        <v>59522.571854132722</v>
      </c>
      <c r="R144" s="1364">
        <f t="shared" si="125"/>
        <v>29409.100181181944</v>
      </c>
      <c r="S144" s="1514">
        <f t="shared" si="102"/>
        <v>1.3629131018730345</v>
      </c>
      <c r="T144" s="135" t="str">
        <f t="shared" si="103"/>
        <v>No</v>
      </c>
      <c r="U144" s="1514">
        <f t="shared" si="104"/>
        <v>1</v>
      </c>
      <c r="V144" s="1539">
        <f t="shared" si="96"/>
        <v>67514.68084817726</v>
      </c>
      <c r="W144" s="1540">
        <f t="shared" si="97"/>
        <v>0.24219823068215074</v>
      </c>
      <c r="X144" s="527">
        <f t="shared" si="105"/>
        <v>37944.453527465099</v>
      </c>
      <c r="Y144" s="1509">
        <f t="shared" si="106"/>
        <v>15349.055436467395</v>
      </c>
      <c r="Z144" s="1509">
        <f t="shared" si="107"/>
        <v>2510.4923620654172</v>
      </c>
      <c r="AA144" s="1509">
        <f t="shared" si="108"/>
        <v>0</v>
      </c>
      <c r="AB144" s="1509">
        <f t="shared" si="109"/>
        <v>11710.679522179353</v>
      </c>
      <c r="AC144" s="1509">
        <f t="shared" si="110"/>
        <v>67514.68084817726</v>
      </c>
      <c r="AD144" s="1554">
        <f t="shared" si="111"/>
        <v>7830.9818545143207</v>
      </c>
      <c r="AE144" s="1504">
        <f t="shared" si="112"/>
        <v>0.56201781672925599</v>
      </c>
      <c r="AF144" s="1504">
        <f t="shared" si="113"/>
        <v>0.22734396791393238</v>
      </c>
      <c r="AG144" s="1504">
        <f t="shared" si="114"/>
        <v>3.7184392054090479E-2</v>
      </c>
      <c r="AH144" s="1504">
        <f t="shared" si="126"/>
        <v>0</v>
      </c>
      <c r="AI144" s="1504">
        <f t="shared" si="115"/>
        <v>0.17345382330272119</v>
      </c>
      <c r="AJ144" s="1541">
        <f t="shared" si="116"/>
        <v>1</v>
      </c>
      <c r="AK144" s="1555">
        <f t="shared" si="117"/>
        <v>37944.453527465099</v>
      </c>
      <c r="AL144" s="1556">
        <f t="shared" si="118"/>
        <v>0</v>
      </c>
      <c r="AM144" s="1556">
        <f t="shared" si="119"/>
        <v>0</v>
      </c>
      <c r="AN144" s="1556">
        <f t="shared" si="120"/>
        <v>37944.453527465099</v>
      </c>
      <c r="AO144" s="1543">
        <f t="shared" si="121"/>
        <v>0</v>
      </c>
      <c r="AV144" s="561"/>
      <c r="AW144" s="561"/>
    </row>
    <row r="145" spans="1:49">
      <c r="A145" s="127">
        <f>'Input data'!A125</f>
        <v>2025</v>
      </c>
      <c r="B145" s="1551">
        <f>'Input data'!B125</f>
        <v>62.892038582526091</v>
      </c>
      <c r="C145" s="1550">
        <f>'Input data'!C125</f>
        <v>3296.2240257379749</v>
      </c>
      <c r="D145" s="1511">
        <f>'Input data'!D125</f>
        <v>50605741.387768611</v>
      </c>
      <c r="E145" s="527">
        <f>'Input data'!J125*C145</f>
        <v>39657.021649851544</v>
      </c>
      <c r="F145" s="1509">
        <f>'Input data'!L125</f>
        <v>90262.763037620156</v>
      </c>
      <c r="G145" s="1557">
        <f t="shared" si="128"/>
        <v>28060.280422522315</v>
      </c>
      <c r="H145" s="1509">
        <f t="shared" si="95"/>
        <v>42186.273393244737</v>
      </c>
      <c r="I145" s="1511">
        <f t="shared" si="98"/>
        <v>50605.741387768612</v>
      </c>
      <c r="J145" s="1454">
        <f t="shared" si="122"/>
        <v>0.26982605330583315</v>
      </c>
      <c r="K145" s="1512">
        <f t="shared" si="123"/>
        <v>10540.078530928298</v>
      </c>
      <c r="L145" s="1512">
        <f t="shared" si="99"/>
        <v>0</v>
      </c>
      <c r="M145" s="1511">
        <f t="shared" si="124"/>
        <v>10540.078530928298</v>
      </c>
      <c r="N145" s="1454">
        <f>($N$147-$N$142)/($A$107-$A$102)+N144</f>
        <v>0.5</v>
      </c>
      <c r="O145" s="530">
        <f t="shared" si="100"/>
        <v>751.91700000000026</v>
      </c>
      <c r="P145" s="1210">
        <f t="shared" si="127"/>
        <v>11291.995530928298</v>
      </c>
      <c r="Q145" s="1364">
        <f t="shared" si="101"/>
        <v>58954.558284838757</v>
      </c>
      <c r="R145" s="1364">
        <f t="shared" si="125"/>
        <v>30894.277862316441</v>
      </c>
      <c r="S145" s="1514">
        <f t="shared" si="102"/>
        <v>1.4040578763661764</v>
      </c>
      <c r="T145" s="135" t="str">
        <f t="shared" si="103"/>
        <v>No</v>
      </c>
      <c r="U145" s="1514">
        <f t="shared" si="104"/>
        <v>1</v>
      </c>
      <c r="V145" s="1539">
        <f t="shared" si="96"/>
        <v>68259.198667272765</v>
      </c>
      <c r="W145" s="1540">
        <f t="shared" si="97"/>
        <v>0.24377233346132599</v>
      </c>
      <c r="X145" s="527">
        <f t="shared" si="105"/>
        <v>36950.993914491351</v>
      </c>
      <c r="Y145" s="1509">
        <f t="shared" si="106"/>
        <v>16830.408052767856</v>
      </c>
      <c r="Z145" s="1509">
        <f t="shared" si="107"/>
        <v>2543.9978590052256</v>
      </c>
      <c r="AA145" s="1509">
        <f t="shared" si="108"/>
        <v>0</v>
      </c>
      <c r="AB145" s="1509">
        <f t="shared" si="109"/>
        <v>11933.798841008331</v>
      </c>
      <c r="AC145" s="1509">
        <f t="shared" si="110"/>
        <v>68259.198667272765</v>
      </c>
      <c r="AD145" s="1554">
        <f t="shared" si="111"/>
        <v>8890.7134919690361</v>
      </c>
      <c r="AE145" s="1504">
        <f t="shared" si="112"/>
        <v>0.54133354384377941</v>
      </c>
      <c r="AF145" s="1504">
        <f t="shared" si="113"/>
        <v>0.24656615344705599</v>
      </c>
      <c r="AG145" s="1504">
        <f t="shared" si="114"/>
        <v>3.7269670735600925E-2</v>
      </c>
      <c r="AH145" s="1504">
        <f t="shared" si="126"/>
        <v>0</v>
      </c>
      <c r="AI145" s="1504">
        <f t="shared" si="115"/>
        <v>0.17483063197356363</v>
      </c>
      <c r="AJ145" s="1541">
        <f t="shared" si="116"/>
        <v>1</v>
      </c>
      <c r="AK145" s="1555">
        <f t="shared" si="117"/>
        <v>36950.993914491351</v>
      </c>
      <c r="AL145" s="1556">
        <f t="shared" si="118"/>
        <v>0</v>
      </c>
      <c r="AM145" s="1556">
        <f t="shared" si="119"/>
        <v>0</v>
      </c>
      <c r="AN145" s="1556">
        <f t="shared" si="120"/>
        <v>36950.993914491351</v>
      </c>
      <c r="AO145" s="1543">
        <f t="shared" si="121"/>
        <v>0</v>
      </c>
      <c r="AV145" s="561"/>
      <c r="AW145" s="561"/>
    </row>
    <row r="146" spans="1:49">
      <c r="A146" s="127">
        <f>'Input data'!A126</f>
        <v>2026</v>
      </c>
      <c r="B146" s="1551">
        <f>'Input data'!B126</f>
        <v>63.548817559440096</v>
      </c>
      <c r="C146" s="1550">
        <f>'Input data'!C126</f>
        <v>3366.4633271478065</v>
      </c>
      <c r="D146" s="1511">
        <f>'Input data'!D126</f>
        <v>48876629.54391963</v>
      </c>
      <c r="E146" s="527">
        <f>'Input data'!J126*C146</f>
        <v>40502.073889908716</v>
      </c>
      <c r="F146" s="1509">
        <f>'Input data'!L126</f>
        <v>89378.703433828341</v>
      </c>
      <c r="G146" s="1557">
        <f t="shared" si="128"/>
        <v>26007.089172093853</v>
      </c>
      <c r="H146" s="1509">
        <f t="shared" si="95"/>
        <v>43101.672715487832</v>
      </c>
      <c r="I146" s="1511">
        <f t="shared" si="98"/>
        <v>48876.629543919633</v>
      </c>
      <c r="J146" s="1454">
        <f t="shared" si="122"/>
        <v>0.2958608426446665</v>
      </c>
      <c r="K146" s="1512">
        <f t="shared" si="123"/>
        <v>11452.434783913324</v>
      </c>
      <c r="L146" s="1512">
        <f t="shared" si="99"/>
        <v>0</v>
      </c>
      <c r="M146" s="1511">
        <f t="shared" si="124"/>
        <v>11452.434783913324</v>
      </c>
      <c r="N146" s="1454">
        <f>($N$147-$N$142)/($A$107-$A$102)+N145</f>
        <v>0.5</v>
      </c>
      <c r="O146" s="530">
        <f t="shared" si="100"/>
        <v>751.91700000000026</v>
      </c>
      <c r="P146" s="1210">
        <f t="shared" si="127"/>
        <v>12204.351783913324</v>
      </c>
      <c r="Q146" s="1364">
        <f t="shared" si="101"/>
        <v>56904.410103668357</v>
      </c>
      <c r="R146" s="1364">
        <f t="shared" si="125"/>
        <v>30897.320931574504</v>
      </c>
      <c r="S146" s="1514">
        <f t="shared" si="102"/>
        <v>1.3739188481542006</v>
      </c>
      <c r="T146" s="135" t="str">
        <f t="shared" si="103"/>
        <v>No</v>
      </c>
      <c r="U146" s="1514">
        <f t="shared" si="104"/>
        <v>1</v>
      </c>
      <c r="V146" s="1539">
        <f t="shared" si="96"/>
        <v>66890.242071584362</v>
      </c>
      <c r="W146" s="1540">
        <f t="shared" si="97"/>
        <v>0.25160872219290298</v>
      </c>
      <c r="X146" s="527">
        <f t="shared" si="105"/>
        <v>34415.94874142437</v>
      </c>
      <c r="Y146" s="1509">
        <f t="shared" si="106"/>
        <v>17704.011594591699</v>
      </c>
      <c r="Z146" s="1509">
        <f t="shared" si="107"/>
        <v>2582.1853446322916</v>
      </c>
      <c r="AA146" s="1509">
        <f t="shared" si="108"/>
        <v>0</v>
      </c>
      <c r="AB146" s="1509">
        <f t="shared" si="109"/>
        <v>12188.096390936</v>
      </c>
      <c r="AC146" s="1509">
        <f t="shared" si="110"/>
        <v>66890.242071584362</v>
      </c>
      <c r="AD146" s="1554">
        <f t="shared" si="111"/>
        <v>8408.8595693305178</v>
      </c>
      <c r="AE146" s="1504">
        <f t="shared" si="112"/>
        <v>0.51451374184882204</v>
      </c>
      <c r="AF146" s="1504">
        <f t="shared" si="113"/>
        <v>0.264672559797964</v>
      </c>
      <c r="AG146" s="1504">
        <f t="shared" si="114"/>
        <v>3.8603318879738807E-2</v>
      </c>
      <c r="AH146" s="1504">
        <f t="shared" si="126"/>
        <v>0</v>
      </c>
      <c r="AI146" s="1504">
        <f t="shared" si="115"/>
        <v>0.18221037947347515</v>
      </c>
      <c r="AJ146" s="1541">
        <f t="shared" si="116"/>
        <v>1</v>
      </c>
      <c r="AK146" s="1555">
        <f t="shared" si="117"/>
        <v>34415.948741424363</v>
      </c>
      <c r="AL146" s="1556">
        <f t="shared" si="118"/>
        <v>0</v>
      </c>
      <c r="AM146" s="1556">
        <f t="shared" si="119"/>
        <v>0</v>
      </c>
      <c r="AN146" s="1556">
        <f t="shared" si="120"/>
        <v>34415.948741424363</v>
      </c>
      <c r="AO146" s="1543">
        <f t="shared" si="121"/>
        <v>0</v>
      </c>
      <c r="AV146" s="561"/>
      <c r="AW146" s="561"/>
    </row>
    <row r="147" spans="1:49">
      <c r="A147" s="127">
        <f>'Input data'!A127</f>
        <v>2027</v>
      </c>
      <c r="B147" s="1551">
        <f>'Input data'!B127</f>
        <v>64.191260356766122</v>
      </c>
      <c r="C147" s="1550">
        <f>'Input data'!C127</f>
        <v>3436.4344789089987</v>
      </c>
      <c r="D147" s="1511">
        <f>'Input data'!D127</f>
        <v>48564316.261510797</v>
      </c>
      <c r="E147" s="527">
        <f>'Input data'!J127*C147</f>
        <v>41343.900009308287</v>
      </c>
      <c r="F147" s="1509">
        <f>'Input data'!L127</f>
        <v>89908.216270819074</v>
      </c>
      <c r="G147" s="1557">
        <f>G137*(1-E5)</f>
        <v>23953.89792166539</v>
      </c>
      <c r="H147" s="1509">
        <f t="shared" si="95"/>
        <v>45344.818680667093</v>
      </c>
      <c r="I147" s="1511">
        <f t="shared" si="98"/>
        <v>48564.316261510794</v>
      </c>
      <c r="J147" s="1454">
        <f t="shared" si="122"/>
        <v>0.32189563198349985</v>
      </c>
      <c r="K147" s="1512">
        <f t="shared" si="123"/>
        <v>12643.617432529132</v>
      </c>
      <c r="L147" s="1512">
        <f t="shared" si="99"/>
        <v>0</v>
      </c>
      <c r="M147" s="1511">
        <f t="shared" si="124"/>
        <v>12643.617432529132</v>
      </c>
      <c r="N147" s="1454">
        <f>$C$27</f>
        <v>0.5</v>
      </c>
      <c r="O147" s="530">
        <f t="shared" si="100"/>
        <v>751.91700000000026</v>
      </c>
      <c r="P147" s="1210">
        <f t="shared" si="127"/>
        <v>13395.534432529132</v>
      </c>
      <c r="Q147" s="1364">
        <f t="shared" si="101"/>
        <v>55903.182169803353</v>
      </c>
      <c r="R147" s="1364">
        <f t="shared" si="125"/>
        <v>31949.284248137963</v>
      </c>
      <c r="S147" s="1514">
        <f t="shared" si="102"/>
        <v>1.3908222909983816</v>
      </c>
      <c r="T147" s="135" t="str">
        <f t="shared" si="103"/>
        <v>No</v>
      </c>
      <c r="U147" s="1514">
        <f t="shared" si="104"/>
        <v>1</v>
      </c>
      <c r="V147" s="1539">
        <f t="shared" si="96"/>
        <v>66936.709087680953</v>
      </c>
      <c r="W147" s="1540">
        <f t="shared" si="97"/>
        <v>0.25549953203324571</v>
      </c>
      <c r="X147" s="527">
        <f t="shared" si="105"/>
        <v>32931.674986665217</v>
      </c>
      <c r="Y147" s="1509">
        <f t="shared" si="106"/>
        <v>18943.383937802279</v>
      </c>
      <c r="Z147" s="1509">
        <f t="shared" si="107"/>
        <v>2620.2270434897314</v>
      </c>
      <c r="AA147" s="1509">
        <f t="shared" si="108"/>
        <v>0</v>
      </c>
      <c r="AB147" s="1509">
        <f t="shared" si="109"/>
        <v>12441.423119723731</v>
      </c>
      <c r="AC147" s="1509">
        <f t="shared" si="110"/>
        <v>66936.709087680953</v>
      </c>
      <c r="AD147" s="1554">
        <f t="shared" si="111"/>
        <v>8977.7770649998274</v>
      </c>
      <c r="AE147" s="1504">
        <f t="shared" si="112"/>
        <v>0.49198228349600726</v>
      </c>
      <c r="AF147" s="1504">
        <f t="shared" si="113"/>
        <v>0.28300441112197766</v>
      </c>
      <c r="AG147" s="1504">
        <f t="shared" si="114"/>
        <v>3.9144844125179115E-2</v>
      </c>
      <c r="AH147" s="1504">
        <f t="shared" si="126"/>
        <v>0</v>
      </c>
      <c r="AI147" s="1504">
        <f t="shared" si="115"/>
        <v>0.18586846125683604</v>
      </c>
      <c r="AJ147" s="1541">
        <f t="shared" si="116"/>
        <v>1</v>
      </c>
      <c r="AK147" s="1555">
        <f t="shared" si="117"/>
        <v>32931.674986665224</v>
      </c>
      <c r="AL147" s="1556">
        <f t="shared" si="118"/>
        <v>0</v>
      </c>
      <c r="AM147" s="1556">
        <f t="shared" si="119"/>
        <v>0</v>
      </c>
      <c r="AN147" s="1556">
        <f t="shared" si="120"/>
        <v>32931.674986665224</v>
      </c>
      <c r="AO147" s="1543">
        <f t="shared" si="121"/>
        <v>0</v>
      </c>
      <c r="AV147" s="561"/>
      <c r="AW147" s="561"/>
    </row>
    <row r="148" spans="1:49">
      <c r="A148" s="127">
        <f>'Input data'!A128</f>
        <v>2028</v>
      </c>
      <c r="B148" s="1551">
        <f>'Input data'!B128</f>
        <v>64.818788725428234</v>
      </c>
      <c r="C148" s="1550">
        <f>'Input data'!C128</f>
        <v>3485.2345926420976</v>
      </c>
      <c r="D148" s="1511">
        <f>'Input data'!D128</f>
        <v>48196370.991930716</v>
      </c>
      <c r="E148" s="527">
        <f>'Input data'!J128*C148</f>
        <v>41931.01640422488</v>
      </c>
      <c r="F148" s="1509">
        <f>'Input data'!L128</f>
        <v>90127.387396155595</v>
      </c>
      <c r="G148" s="1557">
        <f>($G$152-$G$147)/($A$152-$A$147)+G147</f>
        <v>21900.706671236927</v>
      </c>
      <c r="H148" s="1509">
        <f t="shared" si="95"/>
        <v>47389.602428303828</v>
      </c>
      <c r="I148" s="1511">
        <f t="shared" si="98"/>
        <v>48196.370991930715</v>
      </c>
      <c r="J148" s="1454">
        <f t="shared" si="122"/>
        <v>0.34793042132233321</v>
      </c>
      <c r="K148" s="1512">
        <f t="shared" si="123"/>
        <v>13802.606022382932</v>
      </c>
      <c r="L148" s="1512">
        <f t="shared" si="99"/>
        <v>0</v>
      </c>
      <c r="M148" s="1511">
        <f t="shared" si="124"/>
        <v>13802.606022382932</v>
      </c>
      <c r="N148" s="1454">
        <f>N147</f>
        <v>0.5</v>
      </c>
      <c r="O148" s="530">
        <f t="shared" si="100"/>
        <v>751.91700000000026</v>
      </c>
      <c r="P148" s="1210">
        <f t="shared" si="127"/>
        <v>14554.523022382931</v>
      </c>
      <c r="Q148" s="1364">
        <f t="shared" si="101"/>
        <v>54735.786077157827</v>
      </c>
      <c r="R148" s="1364">
        <f t="shared" si="125"/>
        <v>32835.0794059209</v>
      </c>
      <c r="S148" s="1514">
        <f t="shared" si="102"/>
        <v>1.4087230854927477</v>
      </c>
      <c r="T148" s="135" t="str">
        <f t="shared" si="103"/>
        <v>No</v>
      </c>
      <c r="U148" s="1514">
        <f t="shared" si="104"/>
        <v>1</v>
      </c>
      <c r="V148" s="1539">
        <f t="shared" si="96"/>
        <v>66818.988645498554</v>
      </c>
      <c r="W148" s="1540">
        <f t="shared" si="97"/>
        <v>0.25861615901728963</v>
      </c>
      <c r="X148" s="527">
        <f t="shared" si="105"/>
        <v>31427.387326500782</v>
      </c>
      <c r="Y148" s="1509">
        <f t="shared" si="106"/>
        <v>20126.74151796319</v>
      </c>
      <c r="Z148" s="1509">
        <f t="shared" si="107"/>
        <v>2646.7585380287851</v>
      </c>
      <c r="AA148" s="1509">
        <f t="shared" si="108"/>
        <v>0</v>
      </c>
      <c r="AB148" s="1509">
        <f t="shared" si="109"/>
        <v>12618.101263005801</v>
      </c>
      <c r="AC148" s="1509">
        <f t="shared" si="110"/>
        <v>66818.988645498554</v>
      </c>
      <c r="AD148" s="1554">
        <f t="shared" si="111"/>
        <v>9526.6806552638554</v>
      </c>
      <c r="AE148" s="1504">
        <f t="shared" si="112"/>
        <v>0.47033617185132259</v>
      </c>
      <c r="AF148" s="1504">
        <f t="shared" si="113"/>
        <v>0.30121290258886735</v>
      </c>
      <c r="AG148" s="1504">
        <f t="shared" si="114"/>
        <v>3.9610873969836584E-2</v>
      </c>
      <c r="AH148" s="1504">
        <f t="shared" si="126"/>
        <v>0</v>
      </c>
      <c r="AI148" s="1504">
        <f t="shared" si="115"/>
        <v>0.18884005158997352</v>
      </c>
      <c r="AJ148" s="1541">
        <f t="shared" si="116"/>
        <v>1</v>
      </c>
      <c r="AK148" s="1555">
        <f t="shared" si="117"/>
        <v>31427.387326500779</v>
      </c>
      <c r="AL148" s="1556">
        <f t="shared" si="118"/>
        <v>0</v>
      </c>
      <c r="AM148" s="1556">
        <f t="shared" si="119"/>
        <v>0</v>
      </c>
      <c r="AN148" s="1556">
        <f t="shared" si="120"/>
        <v>31427.387326500779</v>
      </c>
      <c r="AO148" s="1543">
        <f t="shared" si="121"/>
        <v>0</v>
      </c>
      <c r="AV148" s="561"/>
      <c r="AW148" s="561"/>
    </row>
    <row r="149" spans="1:49">
      <c r="A149" s="127">
        <f>'Input data'!A129</f>
        <v>2029</v>
      </c>
      <c r="B149" s="1551">
        <f>'Input data'!B129</f>
        <v>65.435442210930105</v>
      </c>
      <c r="C149" s="1550">
        <f>'Input data'!C129</f>
        <v>3537.8042151577115</v>
      </c>
      <c r="D149" s="1511">
        <f>'Input data'!D129</f>
        <v>46504880.945737489</v>
      </c>
      <c r="E149" s="527">
        <f>'Input data'!J129*C149</f>
        <v>42563.483931294577</v>
      </c>
      <c r="F149" s="1509">
        <f>'Input data'!L129</f>
        <v>89068.364877032058</v>
      </c>
      <c r="G149" s="1557">
        <f t="shared" ref="G149:G151" si="129">($G$152-$G$147)/($A$152-$A$147)+G148</f>
        <v>19847.515420808464</v>
      </c>
      <c r="H149" s="1509">
        <f t="shared" si="95"/>
        <v>48218.325389775106</v>
      </c>
      <c r="I149" s="1511">
        <f t="shared" si="98"/>
        <v>46504.880945737488</v>
      </c>
      <c r="J149" s="1454">
        <f t="shared" si="122"/>
        <v>0.37396521066116656</v>
      </c>
      <c r="K149" s="1512">
        <f t="shared" si="123"/>
        <v>14528.937343797616</v>
      </c>
      <c r="L149" s="1512">
        <f t="shared" si="99"/>
        <v>0</v>
      </c>
      <c r="M149" s="1511">
        <f t="shared" si="124"/>
        <v>14528.937343797616</v>
      </c>
      <c r="N149" s="1454">
        <f t="shared" ref="N149:N170" si="130">N148</f>
        <v>0.5</v>
      </c>
      <c r="O149" s="530">
        <f t="shared" si="100"/>
        <v>751.91700000000026</v>
      </c>
      <c r="P149" s="1210">
        <f t="shared" si="127"/>
        <v>15280.854343797615</v>
      </c>
      <c r="Q149" s="1364">
        <f t="shared" si="101"/>
        <v>52784.986466785951</v>
      </c>
      <c r="R149" s="1364">
        <f t="shared" si="125"/>
        <v>32937.471045977487</v>
      </c>
      <c r="S149" s="1514">
        <f t="shared" si="102"/>
        <v>1.391450946470024</v>
      </c>
      <c r="T149" s="135" t="str">
        <f t="shared" si="103"/>
        <v>No</v>
      </c>
      <c r="U149" s="1514">
        <f t="shared" si="104"/>
        <v>1</v>
      </c>
      <c r="V149" s="1539">
        <f t="shared" si="96"/>
        <v>65397.05175633842</v>
      </c>
      <c r="W149" s="1540">
        <f t="shared" si="97"/>
        <v>0.26576566386252065</v>
      </c>
      <c r="X149" s="527">
        <f t="shared" si="105"/>
        <v>29113.673346092295</v>
      </c>
      <c r="Y149" s="1509">
        <f t="shared" si="106"/>
        <v>20799.612276119413</v>
      </c>
      <c r="Z149" s="1509">
        <f t="shared" si="107"/>
        <v>2675.3394274160801</v>
      </c>
      <c r="AA149" s="1509">
        <f t="shared" si="108"/>
        <v>0</v>
      </c>
      <c r="AB149" s="1509">
        <f t="shared" si="109"/>
        <v>12808.426706710623</v>
      </c>
      <c r="AC149" s="1509">
        <f t="shared" si="110"/>
        <v>65397.05175633842</v>
      </c>
      <c r="AD149" s="1554">
        <f t="shared" si="111"/>
        <v>9266.157925283831</v>
      </c>
      <c r="AE149" s="1504">
        <f t="shared" si="112"/>
        <v>0.44518326995177632</v>
      </c>
      <c r="AF149" s="1504">
        <f t="shared" si="113"/>
        <v>0.31805122276178865</v>
      </c>
      <c r="AG149" s="1504">
        <f t="shared" si="114"/>
        <v>4.0909174887333977E-2</v>
      </c>
      <c r="AH149" s="1504">
        <f t="shared" si="126"/>
        <v>0</v>
      </c>
      <c r="AI149" s="1504">
        <f t="shared" si="115"/>
        <v>0.19585633239910091</v>
      </c>
      <c r="AJ149" s="1541">
        <f t="shared" si="116"/>
        <v>1</v>
      </c>
      <c r="AK149" s="1555">
        <f t="shared" si="117"/>
        <v>29113.673346092299</v>
      </c>
      <c r="AL149" s="1556">
        <f t="shared" si="118"/>
        <v>0</v>
      </c>
      <c r="AM149" s="1556">
        <f t="shared" si="119"/>
        <v>0</v>
      </c>
      <c r="AN149" s="1556">
        <f t="shared" si="120"/>
        <v>29113.673346092299</v>
      </c>
      <c r="AO149" s="1543">
        <f t="shared" si="121"/>
        <v>0</v>
      </c>
      <c r="AV149" s="561"/>
      <c r="AW149" s="561"/>
    </row>
    <row r="150" spans="1:49">
      <c r="A150" s="127">
        <f>'Input data'!A130</f>
        <v>2030</v>
      </c>
      <c r="B150" s="1551">
        <f>'Input data'!B130</f>
        <v>66.040790860694059</v>
      </c>
      <c r="C150" s="1550">
        <f>'Input data'!C130</f>
        <v>3601.1809165553482</v>
      </c>
      <c r="D150" s="1511">
        <f>'Input data'!D130</f>
        <v>44627656.242225982</v>
      </c>
      <c r="E150" s="527">
        <f>'Input data'!J130*C150</f>
        <v>43325.971917486459</v>
      </c>
      <c r="F150" s="1509">
        <f>'Input data'!L130</f>
        <v>87953.628159712447</v>
      </c>
      <c r="G150" s="1557">
        <f t="shared" si="129"/>
        <v>17794.324170380001</v>
      </c>
      <c r="H150" s="1509">
        <f t="shared" si="95"/>
        <v>48947.351907220887</v>
      </c>
      <c r="I150" s="1511">
        <f t="shared" si="98"/>
        <v>44627.656242225981</v>
      </c>
      <c r="J150" s="1454">
        <f>$H$19</f>
        <v>0.4</v>
      </c>
      <c r="K150" s="1512">
        <f t="shared" si="123"/>
        <v>15104.331176378935</v>
      </c>
      <c r="L150" s="1512">
        <f t="shared" si="99"/>
        <v>0</v>
      </c>
      <c r="M150" s="1511">
        <f t="shared" si="124"/>
        <v>15104.331176378935</v>
      </c>
      <c r="N150" s="1454">
        <f t="shared" si="130"/>
        <v>0.5</v>
      </c>
      <c r="O150" s="530">
        <f t="shared" si="100"/>
        <v>751.91700000000026</v>
      </c>
      <c r="P150" s="1210">
        <f t="shared" si="127"/>
        <v>15856.248176378935</v>
      </c>
      <c r="Q150" s="1364">
        <f t="shared" si="101"/>
        <v>50885.427901221956</v>
      </c>
      <c r="R150" s="1364">
        <f t="shared" si="125"/>
        <v>33091.103730841955</v>
      </c>
      <c r="S150" s="1514">
        <f t="shared" si="102"/>
        <v>1.3725717103065513</v>
      </c>
      <c r="T150" s="135" t="str">
        <f t="shared" si="103"/>
        <v>No</v>
      </c>
      <c r="U150" s="1514">
        <f t="shared" si="104"/>
        <v>1</v>
      </c>
      <c r="V150" s="1539">
        <f t="shared" si="96"/>
        <v>63844.794003826071</v>
      </c>
      <c r="W150" s="1540">
        <f t="shared" si="97"/>
        <v>0.27410846670370259</v>
      </c>
      <c r="X150" s="527">
        <f t="shared" si="105"/>
        <v>26776.593745335587</v>
      </c>
      <c r="Y150" s="1509">
        <f t="shared" si="106"/>
        <v>21320.525793990855</v>
      </c>
      <c r="Z150" s="1509">
        <f t="shared" si="107"/>
        <v>2709.795875944686</v>
      </c>
      <c r="AA150" s="1509">
        <f t="shared" si="108"/>
        <v>0</v>
      </c>
      <c r="AB150" s="1509">
        <f t="shared" si="109"/>
        <v>13037.878588554946</v>
      </c>
      <c r="AC150" s="1509">
        <f t="shared" si="110"/>
        <v>63844.794003826071</v>
      </c>
      <c r="AD150" s="1554">
        <f t="shared" si="111"/>
        <v>8982.269574955586</v>
      </c>
      <c r="AE150" s="1504">
        <f t="shared" si="112"/>
        <v>0.41940136487449436</v>
      </c>
      <c r="AF150" s="1504">
        <f t="shared" si="113"/>
        <v>0.33394305873573915</v>
      </c>
      <c r="AG150" s="1504">
        <f t="shared" si="114"/>
        <v>4.2443490001429003E-2</v>
      </c>
      <c r="AH150" s="1504">
        <f t="shared" si="126"/>
        <v>0</v>
      </c>
      <c r="AI150" s="1504">
        <f t="shared" si="115"/>
        <v>0.20421208638833757</v>
      </c>
      <c r="AJ150" s="1541">
        <f t="shared" si="116"/>
        <v>1.0000000000000002</v>
      </c>
      <c r="AK150" s="1555">
        <f t="shared" si="117"/>
        <v>26776.593745335584</v>
      </c>
      <c r="AL150" s="1556">
        <f t="shared" si="118"/>
        <v>0</v>
      </c>
      <c r="AM150" s="1556">
        <f t="shared" si="119"/>
        <v>0</v>
      </c>
      <c r="AN150" s="1556">
        <f t="shared" si="120"/>
        <v>26776.593745335584</v>
      </c>
      <c r="AO150" s="1543">
        <f t="shared" si="121"/>
        <v>0</v>
      </c>
      <c r="AV150" s="561"/>
      <c r="AW150" s="561"/>
    </row>
    <row r="151" spans="1:49">
      <c r="A151" s="127">
        <f>'Input data'!A131</f>
        <v>2031</v>
      </c>
      <c r="B151" s="1551">
        <f>'Input data'!B131</f>
        <v>66.6344094187031</v>
      </c>
      <c r="C151" s="1550">
        <f>'Input data'!C131</f>
        <v>3689.3743282354972</v>
      </c>
      <c r="D151" s="1511">
        <f>'Input data'!D131</f>
        <v>43830165.240535274</v>
      </c>
      <c r="E151" s="527">
        <f>'Input data'!J131*C151</f>
        <v>44387.030877394653</v>
      </c>
      <c r="F151" s="1509">
        <f>'Input data'!L131</f>
        <v>88217.196117929925</v>
      </c>
      <c r="G151" s="1557">
        <f t="shared" si="129"/>
        <v>15741.132919951538</v>
      </c>
      <c r="H151" s="1509">
        <f t="shared" si="95"/>
        <v>50860.979109321393</v>
      </c>
      <c r="I151" s="1511">
        <f t="shared" si="98"/>
        <v>43830.165240535272</v>
      </c>
      <c r="J151" s="1454">
        <f>J150</f>
        <v>0.4</v>
      </c>
      <c r="K151" s="1512">
        <f t="shared" si="123"/>
        <v>14834.418543406706</v>
      </c>
      <c r="L151" s="1512">
        <f t="shared" si="99"/>
        <v>0</v>
      </c>
      <c r="M151" s="1511">
        <f t="shared" si="124"/>
        <v>14834.418543406706</v>
      </c>
      <c r="N151" s="1454">
        <f t="shared" si="130"/>
        <v>0.5</v>
      </c>
      <c r="O151" s="530">
        <f t="shared" si="100"/>
        <v>751.91700000000026</v>
      </c>
      <c r="P151" s="1210">
        <f t="shared" si="127"/>
        <v>15586.335543406705</v>
      </c>
      <c r="Q151" s="1364">
        <f t="shared" si="101"/>
        <v>51015.776485866227</v>
      </c>
      <c r="R151" s="1364">
        <f t="shared" si="125"/>
        <v>35274.643565914688</v>
      </c>
      <c r="S151" s="1514">
        <f t="shared" si="102"/>
        <v>1.4271018703940135</v>
      </c>
      <c r="T151" s="135" t="str">
        <f t="shared" si="103"/>
        <v>No</v>
      </c>
      <c r="U151" s="1514">
        <f t="shared" si="104"/>
        <v>1</v>
      </c>
      <c r="V151" s="1539">
        <f t="shared" si="96"/>
        <v>63499.518776384873</v>
      </c>
      <c r="W151" s="1540">
        <f t="shared" si="97"/>
        <v>0.28019114672951217</v>
      </c>
      <c r="X151" s="527">
        <f t="shared" si="105"/>
        <v>26298.099144321164</v>
      </c>
      <c r="Y151" s="1509">
        <f t="shared" si="106"/>
        <v>21086.497022534106</v>
      </c>
      <c r="Z151" s="1509">
        <f t="shared" si="107"/>
        <v>2757.7445965802553</v>
      </c>
      <c r="AA151" s="1509">
        <f t="shared" si="108"/>
        <v>0</v>
      </c>
      <c r="AB151" s="1509">
        <f t="shared" si="109"/>
        <v>13357.178012949347</v>
      </c>
      <c r="AC151" s="1509">
        <f t="shared" si="110"/>
        <v>63499.518776384873</v>
      </c>
      <c r="AD151" s="1554">
        <f t="shared" si="111"/>
        <v>10556.966224369626</v>
      </c>
      <c r="AE151" s="1504">
        <f t="shared" si="112"/>
        <v>0.41414643214747138</v>
      </c>
      <c r="AF151" s="1504">
        <f t="shared" si="113"/>
        <v>0.33207333581205123</v>
      </c>
      <c r="AG151" s="1504">
        <f t="shared" si="114"/>
        <v>4.3429377886968268E-2</v>
      </c>
      <c r="AH151" s="1504">
        <f t="shared" si="126"/>
        <v>0</v>
      </c>
      <c r="AI151" s="1504">
        <f t="shared" si="115"/>
        <v>0.2103508541535091</v>
      </c>
      <c r="AJ151" s="1541">
        <f t="shared" si="116"/>
        <v>1</v>
      </c>
      <c r="AK151" s="1555">
        <f t="shared" si="117"/>
        <v>26298.099144321168</v>
      </c>
      <c r="AL151" s="1556">
        <f t="shared" si="118"/>
        <v>0</v>
      </c>
      <c r="AM151" s="1556">
        <f t="shared" si="119"/>
        <v>0</v>
      </c>
      <c r="AN151" s="1556">
        <f t="shared" si="120"/>
        <v>26298.099144321168</v>
      </c>
      <c r="AO151" s="1543">
        <f t="shared" si="121"/>
        <v>0</v>
      </c>
      <c r="AV151" s="561"/>
      <c r="AW151" s="561"/>
    </row>
    <row r="152" spans="1:49">
      <c r="A152" s="127">
        <f>'Input data'!A132</f>
        <v>2032</v>
      </c>
      <c r="B152" s="1551">
        <f>'Input data'!B132</f>
        <v>67.215877817791679</v>
      </c>
      <c r="C152" s="1550">
        <f>'Input data'!C132</f>
        <v>3770.9504220066083</v>
      </c>
      <c r="D152" s="1511">
        <f>'Input data'!D132</f>
        <v>42600148.259036541</v>
      </c>
      <c r="E152" s="527">
        <f>'Input data'!J132*C152</f>
        <v>45368.476583612086</v>
      </c>
      <c r="F152" s="1509">
        <f>'Input data'!L132</f>
        <v>87968.624842648627</v>
      </c>
      <c r="G152" s="1557">
        <f>G137*(1-E6)</f>
        <v>13687.941669523079</v>
      </c>
      <c r="H152" s="1509">
        <f t="shared" si="95"/>
        <v>52323.018675761326</v>
      </c>
      <c r="I152" s="1511">
        <f t="shared" si="98"/>
        <v>42600.148259036541</v>
      </c>
      <c r="J152" s="1454">
        <f t="shared" ref="J152:J170" si="131">J151</f>
        <v>0.4</v>
      </c>
      <c r="K152" s="1512">
        <f t="shared" si="123"/>
        <v>14418.116514452113</v>
      </c>
      <c r="L152" s="1512">
        <f t="shared" si="99"/>
        <v>0</v>
      </c>
      <c r="M152" s="1511">
        <f t="shared" si="124"/>
        <v>14418.116514452113</v>
      </c>
      <c r="N152" s="1454">
        <f t="shared" si="130"/>
        <v>0.5</v>
      </c>
      <c r="O152" s="530">
        <f t="shared" si="100"/>
        <v>751.91700000000026</v>
      </c>
      <c r="P152" s="1210">
        <f t="shared" si="127"/>
        <v>15170.033514452112</v>
      </c>
      <c r="Q152" s="1364">
        <f t="shared" si="101"/>
        <v>50840.926830832293</v>
      </c>
      <c r="R152" s="1364">
        <f t="shared" si="125"/>
        <v>37152.985161309218</v>
      </c>
      <c r="S152" s="1514">
        <f t="shared" si="102"/>
        <v>1.4696105146675695</v>
      </c>
      <c r="T152" s="135" t="str">
        <f t="shared" si="103"/>
        <v>No</v>
      </c>
      <c r="U152" s="1514">
        <f t="shared" si="104"/>
        <v>1</v>
      </c>
      <c r="V152" s="1539">
        <f t="shared" si="96"/>
        <v>62687.78696723828</v>
      </c>
      <c r="W152" s="1540">
        <f t="shared" si="97"/>
        <v>0.28738471154494827</v>
      </c>
      <c r="X152" s="527">
        <f t="shared" si="105"/>
        <v>25560.088955421925</v>
      </c>
      <c r="Y152" s="1509">
        <f t="shared" si="106"/>
        <v>20673.082577783225</v>
      </c>
      <c r="Z152" s="1509">
        <f t="shared" si="107"/>
        <v>2802.0956343307598</v>
      </c>
      <c r="AA152" s="1509">
        <f t="shared" si="108"/>
        <v>0</v>
      </c>
      <c r="AB152" s="1509">
        <f t="shared" si="109"/>
        <v>13652.519799702362</v>
      </c>
      <c r="AC152" s="1509">
        <f t="shared" si="110"/>
        <v>62687.78696723828</v>
      </c>
      <c r="AD152" s="1554">
        <f t="shared" si="111"/>
        <v>11872.147285898845</v>
      </c>
      <c r="AE152" s="1504">
        <f t="shared" si="112"/>
        <v>0.40773634214875171</v>
      </c>
      <c r="AF152" s="1504">
        <f t="shared" si="113"/>
        <v>0.32977847165967644</v>
      </c>
      <c r="AG152" s="1504">
        <f t="shared" si="114"/>
        <v>4.4699227232174961E-2</v>
      </c>
      <c r="AH152" s="1504">
        <f t="shared" si="126"/>
        <v>0</v>
      </c>
      <c r="AI152" s="1504">
        <f t="shared" si="115"/>
        <v>0.21778595895939676</v>
      </c>
      <c r="AJ152" s="1541">
        <f t="shared" si="116"/>
        <v>1</v>
      </c>
      <c r="AK152" s="1555">
        <f t="shared" si="117"/>
        <v>25560.088955421925</v>
      </c>
      <c r="AL152" s="1556">
        <f t="shared" si="118"/>
        <v>0</v>
      </c>
      <c r="AM152" s="1556">
        <f t="shared" si="119"/>
        <v>0</v>
      </c>
      <c r="AN152" s="1556">
        <f t="shared" si="120"/>
        <v>25560.088955421925</v>
      </c>
      <c r="AO152" s="1543">
        <f t="shared" si="121"/>
        <v>0</v>
      </c>
      <c r="AV152" s="561"/>
      <c r="AW152" s="561"/>
    </row>
    <row r="153" spans="1:49">
      <c r="A153" s="127">
        <f>'Input data'!A133</f>
        <v>2033</v>
      </c>
      <c r="B153" s="1551">
        <f>'Input data'!B133</f>
        <v>67.784781669940756</v>
      </c>
      <c r="C153" s="1550">
        <f>'Input data'!C133</f>
        <v>3867.5085984126213</v>
      </c>
      <c r="D153" s="1511">
        <f>'Input data'!D133</f>
        <v>41720520.537816472</v>
      </c>
      <c r="E153" s="527">
        <f>'Input data'!J133*C153</f>
        <v>46530.172409594707</v>
      </c>
      <c r="F153" s="1509">
        <f>'Input data'!L133</f>
        <v>88250.692947411182</v>
      </c>
      <c r="G153" s="1557">
        <f>G152</f>
        <v>13687.941669523079</v>
      </c>
      <c r="H153" s="1509">
        <f t="shared" si="95"/>
        <v>52164.119387508428</v>
      </c>
      <c r="I153" s="1511">
        <f t="shared" si="98"/>
        <v>41720.520537816476</v>
      </c>
      <c r="J153" s="1454">
        <f t="shared" si="131"/>
        <v>0.4</v>
      </c>
      <c r="K153" s="1512">
        <f t="shared" si="123"/>
        <v>14120.4045230108</v>
      </c>
      <c r="L153" s="1512">
        <f t="shared" si="99"/>
        <v>0</v>
      </c>
      <c r="M153" s="1511">
        <f t="shared" si="124"/>
        <v>14120.4045230108</v>
      </c>
      <c r="N153" s="1454">
        <f t="shared" si="130"/>
        <v>0.5</v>
      </c>
      <c r="O153" s="530">
        <f t="shared" si="100"/>
        <v>751.91700000000026</v>
      </c>
      <c r="P153" s="1210">
        <f t="shared" si="127"/>
        <v>14872.3215230108</v>
      </c>
      <c r="Q153" s="1364">
        <f t="shared" si="101"/>
        <v>50979.7395340207</v>
      </c>
      <c r="R153" s="1364">
        <f t="shared" si="125"/>
        <v>37291.797864497625</v>
      </c>
      <c r="S153" s="1514">
        <f t="shared" si="102"/>
        <v>1.4372059919764573</v>
      </c>
      <c r="T153" s="135" t="str">
        <f t="shared" si="103"/>
        <v>No</v>
      </c>
      <c r="U153" s="1514">
        <f t="shared" si="104"/>
        <v>1</v>
      </c>
      <c r="V153" s="1539">
        <f t="shared" si="96"/>
        <v>62303.265736080364</v>
      </c>
      <c r="W153" s="1540">
        <f t="shared" si="97"/>
        <v>0.29401952941936627</v>
      </c>
      <c r="X153" s="527">
        <f t="shared" si="105"/>
        <v>25032.312322689886</v>
      </c>
      <c r="Y153" s="1509">
        <f t="shared" si="106"/>
        <v>20414.257931686781</v>
      </c>
      <c r="Z153" s="1509">
        <f t="shared" si="107"/>
        <v>2854.5920843191443</v>
      </c>
      <c r="AA153" s="1509">
        <f t="shared" si="108"/>
        <v>0</v>
      </c>
      <c r="AB153" s="1509">
        <f t="shared" si="109"/>
        <v>14002.103397384553</v>
      </c>
      <c r="AC153" s="1509">
        <f t="shared" si="110"/>
        <v>62303.265736080364</v>
      </c>
      <c r="AD153" s="1554">
        <f t="shared" si="111"/>
        <v>11344.370653166807</v>
      </c>
      <c r="AE153" s="1504">
        <f t="shared" si="112"/>
        <v>0.40178170481027381</v>
      </c>
      <c r="AF153" s="1504">
        <f t="shared" si="113"/>
        <v>0.32765951656792058</v>
      </c>
      <c r="AG153" s="1504">
        <f t="shared" si="114"/>
        <v>4.5817695920007367E-2</v>
      </c>
      <c r="AH153" s="1504">
        <f t="shared" si="126"/>
        <v>0</v>
      </c>
      <c r="AI153" s="1504">
        <f t="shared" si="115"/>
        <v>0.22474108270179829</v>
      </c>
      <c r="AJ153" s="1541">
        <f t="shared" si="116"/>
        <v>1.0000000000000002</v>
      </c>
      <c r="AK153" s="1555">
        <f t="shared" si="117"/>
        <v>25032.312322689882</v>
      </c>
      <c r="AL153" s="1556">
        <f t="shared" si="118"/>
        <v>0</v>
      </c>
      <c r="AM153" s="1556">
        <f t="shared" si="119"/>
        <v>0</v>
      </c>
      <c r="AN153" s="1556">
        <f t="shared" si="120"/>
        <v>25032.312322689882</v>
      </c>
      <c r="AO153" s="1543">
        <f t="shared" si="121"/>
        <v>0</v>
      </c>
      <c r="AV153" s="561"/>
      <c r="AW153" s="561"/>
    </row>
    <row r="154" spans="1:49">
      <c r="A154" s="127">
        <f>'Input data'!A134</f>
        <v>2034</v>
      </c>
      <c r="B154" s="1551">
        <f>'Input data'!B134</f>
        <v>68.342055626742408</v>
      </c>
      <c r="C154" s="1550">
        <f>'Input data'!C134</f>
        <v>3988.7128287659275</v>
      </c>
      <c r="D154" s="1511">
        <f>'Input data'!D134</f>
        <v>41169489.630995624</v>
      </c>
      <c r="E154" s="527">
        <f>'Input data'!J134*C154</f>
        <v>47988.386035138115</v>
      </c>
      <c r="F154" s="1509">
        <f>'Input data'!L134</f>
        <v>89157.875666133739</v>
      </c>
      <c r="G154" s="1557">
        <f t="shared" ref="G154:G170" si="132">G153</f>
        <v>13687.941669523079</v>
      </c>
      <c r="H154" s="1509">
        <f t="shared" si="95"/>
        <v>52483.736547336375</v>
      </c>
      <c r="I154" s="1511">
        <f t="shared" si="98"/>
        <v>41169.489630995624</v>
      </c>
      <c r="J154" s="1454">
        <f t="shared" si="131"/>
        <v>0.4</v>
      </c>
      <c r="K154" s="1512">
        <f t="shared" si="123"/>
        <v>13933.906866493327</v>
      </c>
      <c r="L154" s="1512">
        <f t="shared" si="99"/>
        <v>0</v>
      </c>
      <c r="M154" s="1511">
        <f t="shared" si="124"/>
        <v>13933.906866493327</v>
      </c>
      <c r="N154" s="1454">
        <f t="shared" si="130"/>
        <v>0.5</v>
      </c>
      <c r="O154" s="530">
        <f t="shared" si="100"/>
        <v>751.91700000000026</v>
      </c>
      <c r="P154" s="1210">
        <f t="shared" si="127"/>
        <v>14685.823866493327</v>
      </c>
      <c r="Q154" s="1364">
        <f t="shared" si="101"/>
        <v>51485.85435036612</v>
      </c>
      <c r="R154" s="1364">
        <f t="shared" si="125"/>
        <v>37797.912680843045</v>
      </c>
      <c r="S154" s="1514">
        <f t="shared" si="102"/>
        <v>1.4112039307546229</v>
      </c>
      <c r="T154" s="135" t="str">
        <f t="shared" si="103"/>
        <v>No</v>
      </c>
      <c r="U154" s="1514">
        <f t="shared" si="104"/>
        <v>1</v>
      </c>
      <c r="V154" s="1539">
        <f t="shared" si="96"/>
        <v>62373.715094365005</v>
      </c>
      <c r="W154" s="1540">
        <f t="shared" si="97"/>
        <v>0.3004127271051904</v>
      </c>
      <c r="X154" s="527">
        <f t="shared" si="105"/>
        <v>24701.693778597375</v>
      </c>
      <c r="Y154" s="1509">
        <f t="shared" si="106"/>
        <v>20310.616605573381</v>
      </c>
      <c r="Z154" s="1509">
        <f t="shared" si="107"/>
        <v>2920.4880245072482</v>
      </c>
      <c r="AA154" s="1509">
        <f t="shared" si="108"/>
        <v>0</v>
      </c>
      <c r="AB154" s="1509">
        <f t="shared" si="109"/>
        <v>14440.916685686996</v>
      </c>
      <c r="AC154" s="1509">
        <f t="shared" si="110"/>
        <v>62373.715094365005</v>
      </c>
      <c r="AD154" s="1554">
        <f t="shared" si="111"/>
        <v>11013.752109074296</v>
      </c>
      <c r="AE154" s="1504">
        <f t="shared" si="112"/>
        <v>0.39602729677439058</v>
      </c>
      <c r="AF154" s="1504">
        <f t="shared" si="113"/>
        <v>0.32562781573689353</v>
      </c>
      <c r="AG154" s="1504">
        <f t="shared" si="114"/>
        <v>4.6822415821934776E-2</v>
      </c>
      <c r="AH154" s="1504">
        <f t="shared" si="126"/>
        <v>0</v>
      </c>
      <c r="AI154" s="1504">
        <f t="shared" si="115"/>
        <v>0.23152247166678105</v>
      </c>
      <c r="AJ154" s="1541">
        <f t="shared" si="116"/>
        <v>1</v>
      </c>
      <c r="AK154" s="1555">
        <f t="shared" si="117"/>
        <v>24701.693778597371</v>
      </c>
      <c r="AL154" s="1556">
        <f t="shared" si="118"/>
        <v>0</v>
      </c>
      <c r="AM154" s="1556">
        <f t="shared" si="119"/>
        <v>0</v>
      </c>
      <c r="AN154" s="1556">
        <f t="shared" si="120"/>
        <v>24701.693778597371</v>
      </c>
      <c r="AO154" s="1543">
        <f t="shared" si="121"/>
        <v>0</v>
      </c>
      <c r="AV154" s="561"/>
      <c r="AW154" s="561"/>
    </row>
    <row r="155" spans="1:49">
      <c r="A155" s="127">
        <f>'Input data'!A135</f>
        <v>2035</v>
      </c>
      <c r="B155" s="1551">
        <f>'Input data'!B135</f>
        <v>68.88733085860035</v>
      </c>
      <c r="C155" s="1550">
        <f>'Input data'!C135</f>
        <v>4088.0370257470286</v>
      </c>
      <c r="D155" s="1511">
        <f>'Input data'!D135</f>
        <v>33008995.481321324</v>
      </c>
      <c r="E155" s="527">
        <f>'Input data'!J135*C155</f>
        <v>49183.359980864327</v>
      </c>
      <c r="F155" s="1509">
        <f>'Input data'!L135</f>
        <v>82192.35546218566</v>
      </c>
      <c r="G155" s="1557">
        <f t="shared" si="132"/>
        <v>13687.941669523079</v>
      </c>
      <c r="H155" s="1509">
        <f t="shared" si="95"/>
        <v>45511.186916354491</v>
      </c>
      <c r="I155" s="1511">
        <f t="shared" si="98"/>
        <v>33008.995481321326</v>
      </c>
      <c r="J155" s="1454">
        <f t="shared" si="131"/>
        <v>0.4</v>
      </c>
      <c r="K155" s="1512">
        <f t="shared" si="123"/>
        <v>11171.969167355144</v>
      </c>
      <c r="L155" s="1512">
        <f t="shared" si="99"/>
        <v>0</v>
      </c>
      <c r="M155" s="1511">
        <f t="shared" si="124"/>
        <v>11171.969167355144</v>
      </c>
      <c r="N155" s="1454">
        <f t="shared" si="130"/>
        <v>0.5</v>
      </c>
      <c r="O155" s="530">
        <f t="shared" si="100"/>
        <v>751.91700000000026</v>
      </c>
      <c r="P155" s="1210">
        <f t="shared" si="127"/>
        <v>11923.886167355144</v>
      </c>
      <c r="Q155" s="1364">
        <f t="shared" si="101"/>
        <v>47275.242418522423</v>
      </c>
      <c r="R155" s="1364">
        <f t="shared" si="125"/>
        <v>33587.300748999347</v>
      </c>
      <c r="S155" s="1514">
        <f t="shared" si="102"/>
        <v>1.222697128082787</v>
      </c>
      <c r="T155" s="135" t="str">
        <f t="shared" si="103"/>
        <v>No</v>
      </c>
      <c r="U155" s="1514">
        <f t="shared" si="104"/>
        <v>1</v>
      </c>
      <c r="V155" s="1539">
        <f t="shared" si="96"/>
        <v>54722.51033245604</v>
      </c>
      <c r="W155" s="1540">
        <f t="shared" si="97"/>
        <v>0.3342141124349175</v>
      </c>
      <c r="X155" s="527">
        <f t="shared" si="105"/>
        <v>19805.397288792796</v>
      </c>
      <c r="Y155" s="1509">
        <f t="shared" si="106"/>
        <v>17142.110238067151</v>
      </c>
      <c r="Z155" s="1509">
        <f t="shared" si="107"/>
        <v>2974.4882959863826</v>
      </c>
      <c r="AA155" s="1509">
        <f t="shared" si="108"/>
        <v>0</v>
      </c>
      <c r="AB155" s="1509">
        <f t="shared" si="109"/>
        <v>14800.514509609711</v>
      </c>
      <c r="AC155" s="1509">
        <f t="shared" si="110"/>
        <v>54722.51033245604</v>
      </c>
      <c r="AD155" s="1554">
        <f t="shared" si="111"/>
        <v>6117.4556192697164</v>
      </c>
      <c r="AE155" s="1504">
        <f t="shared" si="112"/>
        <v>0.36192413631006565</v>
      </c>
      <c r="AF155" s="1504">
        <f t="shared" si="113"/>
        <v>0.31325518756218551</v>
      </c>
      <c r="AG155" s="1504">
        <f t="shared" si="114"/>
        <v>5.4355845115939556E-2</v>
      </c>
      <c r="AH155" s="1504">
        <f t="shared" si="126"/>
        <v>0</v>
      </c>
      <c r="AI155" s="1504">
        <f t="shared" si="115"/>
        <v>0.27046483101180929</v>
      </c>
      <c r="AJ155" s="1541">
        <f t="shared" si="116"/>
        <v>1</v>
      </c>
      <c r="AK155" s="1555">
        <f t="shared" si="117"/>
        <v>19805.397288792796</v>
      </c>
      <c r="AL155" s="1556">
        <f t="shared" si="118"/>
        <v>0</v>
      </c>
      <c r="AM155" s="1556">
        <f t="shared" si="119"/>
        <v>0</v>
      </c>
      <c r="AN155" s="1556">
        <f t="shared" si="120"/>
        <v>19805.397288792796</v>
      </c>
      <c r="AO155" s="1543">
        <f t="shared" si="121"/>
        <v>0</v>
      </c>
      <c r="AV155" s="561"/>
      <c r="AW155" s="561"/>
    </row>
    <row r="156" spans="1:49">
      <c r="A156" s="127">
        <f>'Input data'!A136</f>
        <v>2036</v>
      </c>
      <c r="B156" s="1551">
        <f>'Input data'!B136</f>
        <v>69.420244147098416</v>
      </c>
      <c r="C156" s="1550">
        <f>'Input data'!C136</f>
        <v>4188.173572206083</v>
      </c>
      <c r="D156" s="1511">
        <f>'Input data'!D136</f>
        <v>23988684.664399058</v>
      </c>
      <c r="E156" s="527">
        <f>'Input data'!J136*C156</f>
        <v>50388.107340224713</v>
      </c>
      <c r="F156" s="1509">
        <f>'Input data'!L136</f>
        <v>74376.79200462377</v>
      </c>
      <c r="G156" s="1557">
        <f t="shared" si="132"/>
        <v>13687.941669523079</v>
      </c>
      <c r="H156" s="1509">
        <f t="shared" si="95"/>
        <v>37737.348443927622</v>
      </c>
      <c r="I156" s="1511">
        <f t="shared" si="98"/>
        <v>23988.684664399058</v>
      </c>
      <c r="J156" s="1454">
        <f t="shared" si="131"/>
        <v>0.4</v>
      </c>
      <c r="K156" s="1512">
        <f t="shared" si="123"/>
        <v>8119.0245727933179</v>
      </c>
      <c r="L156" s="1512">
        <f t="shared" si="99"/>
        <v>0</v>
      </c>
      <c r="M156" s="1511">
        <f t="shared" si="124"/>
        <v>8119.0245727933179</v>
      </c>
      <c r="N156" s="1454">
        <f t="shared" si="130"/>
        <v>0.5</v>
      </c>
      <c r="O156" s="530">
        <f t="shared" si="100"/>
        <v>751.91700000000026</v>
      </c>
      <c r="P156" s="1210">
        <f t="shared" si="127"/>
        <v>8870.9415727933174</v>
      </c>
      <c r="Q156" s="1364">
        <f t="shared" si="101"/>
        <v>42554.348540657382</v>
      </c>
      <c r="R156" s="1364">
        <f t="shared" si="125"/>
        <v>28866.406871134302</v>
      </c>
      <c r="S156" s="1514">
        <f t="shared" si="102"/>
        <v>1.0250440566562782</v>
      </c>
      <c r="T156" s="135" t="str">
        <f t="shared" si="103"/>
        <v>No</v>
      </c>
      <c r="U156" s="1514">
        <f t="shared" si="104"/>
        <v>1</v>
      </c>
      <c r="V156" s="1539">
        <f t="shared" si="96"/>
        <v>46215.654262605836</v>
      </c>
      <c r="W156" s="1540">
        <f t="shared" si="97"/>
        <v>0.37862802337948709</v>
      </c>
      <c r="X156" s="527">
        <f t="shared" si="105"/>
        <v>14393.210798639435</v>
      </c>
      <c r="Y156" s="1509">
        <f t="shared" si="106"/>
        <v>13630.459840458792</v>
      </c>
      <c r="Z156" s="1509">
        <f t="shared" si="107"/>
        <v>3028.9302231111574</v>
      </c>
      <c r="AA156" s="1509">
        <f t="shared" si="108"/>
        <v>0</v>
      </c>
      <c r="AB156" s="1509">
        <f t="shared" si="109"/>
        <v>15163.053400396448</v>
      </c>
      <c r="AC156" s="1509">
        <f t="shared" si="110"/>
        <v>46215.654262605836</v>
      </c>
      <c r="AD156" s="1554">
        <f t="shared" si="111"/>
        <v>705.26912911635554</v>
      </c>
      <c r="AE156" s="1504">
        <f t="shared" si="112"/>
        <v>0.31143583334024805</v>
      </c>
      <c r="AF156" s="1504">
        <f t="shared" si="113"/>
        <v>0.29493166456127651</v>
      </c>
      <c r="AG156" s="1504">
        <f t="shared" si="114"/>
        <v>6.5539053193972324E-2</v>
      </c>
      <c r="AH156" s="1504">
        <f t="shared" si="126"/>
        <v>0</v>
      </c>
      <c r="AI156" s="1504">
        <f t="shared" si="115"/>
        <v>0.32809344890450309</v>
      </c>
      <c r="AJ156" s="1541">
        <f t="shared" si="116"/>
        <v>1</v>
      </c>
      <c r="AK156" s="1555">
        <f t="shared" si="117"/>
        <v>14393.210798639437</v>
      </c>
      <c r="AL156" s="1556">
        <f t="shared" si="118"/>
        <v>0</v>
      </c>
      <c r="AM156" s="1556">
        <f t="shared" si="119"/>
        <v>0</v>
      </c>
      <c r="AN156" s="1556">
        <f t="shared" si="120"/>
        <v>14393.210798639437</v>
      </c>
      <c r="AO156" s="1543">
        <f t="shared" si="121"/>
        <v>0</v>
      </c>
      <c r="AV156" s="561"/>
      <c r="AW156" s="561"/>
    </row>
    <row r="157" spans="1:49">
      <c r="A157" s="127">
        <f>'Input data'!A137</f>
        <v>2037</v>
      </c>
      <c r="B157" s="1551">
        <f>'Input data'!B137</f>
        <v>69.940438284968707</v>
      </c>
      <c r="C157" s="1550">
        <f>'Input data'!C137</f>
        <v>4308.5353934667492</v>
      </c>
      <c r="D157" s="1511">
        <f>'Input data'!D137</f>
        <v>19936802.299321227</v>
      </c>
      <c r="E157" s="527">
        <f>'Input data'!J137*C157</f>
        <v>51836.185903538128</v>
      </c>
      <c r="F157" s="1509">
        <f>'Input data'!L137</f>
        <v>71772.988202859357</v>
      </c>
      <c r="G157" s="1557">
        <f t="shared" si="132"/>
        <v>13687.941669523079</v>
      </c>
      <c r="H157" s="1509">
        <f t="shared" si="95"/>
        <v>34765.768065045311</v>
      </c>
      <c r="I157" s="1511">
        <f t="shared" si="98"/>
        <v>19936.802299321225</v>
      </c>
      <c r="J157" s="1454">
        <f t="shared" si="131"/>
        <v>0.4</v>
      </c>
      <c r="K157" s="1512">
        <f t="shared" si="123"/>
        <v>6747.6558233863598</v>
      </c>
      <c r="L157" s="1512">
        <f t="shared" si="99"/>
        <v>0</v>
      </c>
      <c r="M157" s="1511">
        <f t="shared" si="124"/>
        <v>6747.6558233863598</v>
      </c>
      <c r="N157" s="1454">
        <f t="shared" si="130"/>
        <v>0.5</v>
      </c>
      <c r="O157" s="530">
        <f t="shared" si="100"/>
        <v>751.91700000000026</v>
      </c>
      <c r="P157" s="1210">
        <f t="shared" si="127"/>
        <v>7499.5728233863601</v>
      </c>
      <c r="Q157" s="1364">
        <f t="shared" si="101"/>
        <v>40954.136911182024</v>
      </c>
      <c r="R157" s="1364">
        <f t="shared" si="125"/>
        <v>27266.195241658945</v>
      </c>
      <c r="S157" s="1514">
        <f t="shared" si="102"/>
        <v>0.94047126848077833</v>
      </c>
      <c r="T157" s="135" t="str">
        <f t="shared" si="103"/>
        <v>Yes</v>
      </c>
      <c r="U157" s="1514">
        <f t="shared" si="104"/>
        <v>0.94047126848077833</v>
      </c>
      <c r="V157" s="1539">
        <f t="shared" si="96"/>
        <v>44506.792961200408</v>
      </c>
      <c r="W157" s="1540">
        <f t="shared" si="97"/>
        <v>0.37989494271290059</v>
      </c>
      <c r="X157" s="527">
        <f t="shared" si="105"/>
        <v>13687.941669523079</v>
      </c>
      <c r="Y157" s="1509">
        <f t="shared" si="106"/>
        <v>12125.666334098212</v>
      </c>
      <c r="Z157" s="1509">
        <f t="shared" si="107"/>
        <v>3094.3681649355021</v>
      </c>
      <c r="AA157" s="1509">
        <f t="shared" si="108"/>
        <v>0</v>
      </c>
      <c r="AB157" s="1509">
        <f t="shared" si="109"/>
        <v>15598.816792643614</v>
      </c>
      <c r="AC157" s="1509">
        <f t="shared" si="110"/>
        <v>44506.792961200408</v>
      </c>
      <c r="AD157" s="1554">
        <f t="shared" si="111"/>
        <v>0</v>
      </c>
      <c r="AE157" s="1504">
        <f t="shared" si="112"/>
        <v>0.3075472474832277</v>
      </c>
      <c r="AF157" s="1504">
        <f t="shared" si="113"/>
        <v>0.27244529491641822</v>
      </c>
      <c r="AG157" s="1504">
        <f t="shared" si="114"/>
        <v>6.9525750094666966E-2</v>
      </c>
      <c r="AH157" s="1504">
        <f t="shared" si="126"/>
        <v>0</v>
      </c>
      <c r="AI157" s="1504">
        <f t="shared" si="115"/>
        <v>0.35048170750568708</v>
      </c>
      <c r="AJ157" s="1541">
        <f t="shared" si="116"/>
        <v>1</v>
      </c>
      <c r="AK157" s="1555">
        <f t="shared" si="117"/>
        <v>11962.081379592733</v>
      </c>
      <c r="AL157" s="1556">
        <f t="shared" si="118"/>
        <v>1646.8986151630099</v>
      </c>
      <c r="AM157" s="1556">
        <f t="shared" si="119"/>
        <v>78.961674767334173</v>
      </c>
      <c r="AN157" s="1556">
        <f t="shared" si="120"/>
        <v>13687.941669523078</v>
      </c>
      <c r="AO157" s="1543">
        <f t="shared" si="121"/>
        <v>0</v>
      </c>
      <c r="AV157" s="561"/>
      <c r="AW157" s="561"/>
    </row>
    <row r="158" spans="1:49">
      <c r="A158" s="127">
        <f>'Input data'!A138</f>
        <v>2038</v>
      </c>
      <c r="B158" s="1551">
        <f>'Input data'!B138</f>
        <v>70.447562472153166</v>
      </c>
      <c r="C158" s="1550">
        <f>'Input data'!C138</f>
        <v>4436.6736831338776</v>
      </c>
      <c r="D158" s="1511">
        <f>'Input data'!D138</f>
        <v>16174143.168204505</v>
      </c>
      <c r="E158" s="527">
        <f>'Input data'!J138*C158</f>
        <v>53377.823513065159</v>
      </c>
      <c r="F158" s="1509">
        <f>'Input data'!L138</f>
        <v>69551.966681269667</v>
      </c>
      <c r="G158" s="1509">
        <f t="shared" si="132"/>
        <v>13687.941669523079</v>
      </c>
      <c r="H158" s="1509">
        <f t="shared" si="95"/>
        <v>32119.294730958038</v>
      </c>
      <c r="I158" s="1511">
        <f t="shared" si="98"/>
        <v>16174.143168204506</v>
      </c>
      <c r="J158" s="1454">
        <f t="shared" si="131"/>
        <v>0.4</v>
      </c>
      <c r="K158" s="1512">
        <f t="shared" si="123"/>
        <v>5474.1753315643591</v>
      </c>
      <c r="L158" s="1512">
        <f t="shared" si="99"/>
        <v>0</v>
      </c>
      <c r="M158" s="1511">
        <f t="shared" si="124"/>
        <v>5474.1753315643591</v>
      </c>
      <c r="N158" s="1454">
        <f t="shared" si="130"/>
        <v>0.5</v>
      </c>
      <c r="O158" s="530">
        <f t="shared" si="100"/>
        <v>751.91700000000026</v>
      </c>
      <c r="P158" s="1210">
        <f t="shared" si="127"/>
        <v>6226.0923315643595</v>
      </c>
      <c r="Q158" s="1364">
        <f t="shared" si="101"/>
        <v>39581.144068916758</v>
      </c>
      <c r="R158" s="1364">
        <f t="shared" si="125"/>
        <v>25893.202399393678</v>
      </c>
      <c r="S158" s="1514">
        <f t="shared" si="102"/>
        <v>0.86666996870259971</v>
      </c>
      <c r="T158" s="135" t="str">
        <f t="shared" si="103"/>
        <v>Yes</v>
      </c>
      <c r="U158" s="1514">
        <f t="shared" si="104"/>
        <v>0.86666996870259971</v>
      </c>
      <c r="V158" s="1539">
        <f t="shared" si="96"/>
        <v>43658.764281876</v>
      </c>
      <c r="W158" s="1540">
        <f t="shared" si="97"/>
        <v>0.37228569708247661</v>
      </c>
      <c r="X158" s="527">
        <f t="shared" si="105"/>
        <v>13687.941669523081</v>
      </c>
      <c r="Y158" s="1509">
        <f t="shared" si="106"/>
        <v>10744.054155835882</v>
      </c>
      <c r="Z158" s="1509">
        <f t="shared" si="107"/>
        <v>3164.033992993629</v>
      </c>
      <c r="AA158" s="1509">
        <f t="shared" si="108"/>
        <v>0</v>
      </c>
      <c r="AB158" s="1509">
        <f t="shared" si="109"/>
        <v>16062.734463523406</v>
      </c>
      <c r="AC158" s="1509">
        <f t="shared" si="110"/>
        <v>43658.764281876</v>
      </c>
      <c r="AD158" s="1554">
        <f t="shared" si="111"/>
        <v>0</v>
      </c>
      <c r="AE158" s="1504">
        <f t="shared" si="112"/>
        <v>0.31352105114906648</v>
      </c>
      <c r="AF158" s="1504">
        <f t="shared" si="113"/>
        <v>0.24609157708790319</v>
      </c>
      <c r="AG158" s="1504">
        <f t="shared" si="114"/>
        <v>7.2471909020730349E-2</v>
      </c>
      <c r="AH158" s="1504">
        <f t="shared" si="126"/>
        <v>0</v>
      </c>
      <c r="AI158" s="1504">
        <f t="shared" si="115"/>
        <v>0.36791546274229997</v>
      </c>
      <c r="AJ158" s="1541">
        <f t="shared" si="116"/>
        <v>1</v>
      </c>
      <c r="AK158" s="1555">
        <f t="shared" si="117"/>
        <v>9704.4859009227039</v>
      </c>
      <c r="AL158" s="1556">
        <f t="shared" si="118"/>
        <v>3798.359264361723</v>
      </c>
      <c r="AM158" s="1556">
        <f t="shared" si="119"/>
        <v>185.0965042386533</v>
      </c>
      <c r="AN158" s="1556">
        <f t="shared" si="120"/>
        <v>13687.941669523079</v>
      </c>
      <c r="AO158" s="1543">
        <f t="shared" si="121"/>
        <v>0</v>
      </c>
      <c r="AV158" s="561"/>
      <c r="AW158" s="561"/>
    </row>
    <row r="159" spans="1:49">
      <c r="A159" s="127">
        <f>'Input data'!A139</f>
        <v>2039</v>
      </c>
      <c r="B159" s="1551">
        <f>'Input data'!B139</f>
        <v>70.942722252264574</v>
      </c>
      <c r="C159" s="1550">
        <f>'Input data'!C139</f>
        <v>4572.7379558768307</v>
      </c>
      <c r="D159" s="1511">
        <f>'Input data'!D139</f>
        <v>12411484.037087778</v>
      </c>
      <c r="E159" s="527">
        <f>'Input data'!J139*C159</f>
        <v>55014.818986614788</v>
      </c>
      <c r="F159" s="1509">
        <f>'Input data'!L139</f>
        <v>67426.303023702567</v>
      </c>
      <c r="G159" s="1509">
        <f t="shared" si="132"/>
        <v>13687.941669523079</v>
      </c>
      <c r="H159" s="1509">
        <f t="shared" si="95"/>
        <v>29527.538418170068</v>
      </c>
      <c r="I159" s="1511">
        <f t="shared" si="98"/>
        <v>12411.484037087777</v>
      </c>
      <c r="J159" s="1454">
        <f t="shared" si="131"/>
        <v>0.4</v>
      </c>
      <c r="K159" s="1512">
        <f t="shared" si="123"/>
        <v>4200.6948397423548</v>
      </c>
      <c r="L159" s="1512">
        <f t="shared" si="99"/>
        <v>0</v>
      </c>
      <c r="M159" s="1511">
        <f t="shared" si="124"/>
        <v>4200.6948397423548</v>
      </c>
      <c r="N159" s="1454">
        <f t="shared" si="130"/>
        <v>0.5</v>
      </c>
      <c r="O159" s="530">
        <f t="shared" si="100"/>
        <v>751.91700000000026</v>
      </c>
      <c r="P159" s="1210">
        <f t="shared" si="127"/>
        <v>4952.6118397423552</v>
      </c>
      <c r="Q159" s="1364">
        <f t="shared" si="101"/>
        <v>38262.868247950792</v>
      </c>
      <c r="R159" s="1364">
        <f t="shared" si="125"/>
        <v>24574.926578427712</v>
      </c>
      <c r="S159" s="1514">
        <f t="shared" si="102"/>
        <v>0.79747352874631605</v>
      </c>
      <c r="T159" s="135" t="str">
        <f t="shared" si="103"/>
        <v>Yes</v>
      </c>
      <c r="U159" s="1514">
        <f t="shared" si="104"/>
        <v>0.79747352874631605</v>
      </c>
      <c r="V159" s="1539">
        <f t="shared" si="96"/>
        <v>42851.376445274858</v>
      </c>
      <c r="W159" s="1540">
        <f t="shared" si="97"/>
        <v>0.36447091826744249</v>
      </c>
      <c r="X159" s="527">
        <f t="shared" si="105"/>
        <v>13687.941669523079</v>
      </c>
      <c r="Y159" s="1509">
        <f t="shared" si="106"/>
        <v>9370.078058073861</v>
      </c>
      <c r="Z159" s="1509">
        <f t="shared" si="107"/>
        <v>3238.0089949574353</v>
      </c>
      <c r="AA159" s="1509">
        <f t="shared" si="108"/>
        <v>0</v>
      </c>
      <c r="AB159" s="1509">
        <f t="shared" si="109"/>
        <v>16555.347722720482</v>
      </c>
      <c r="AC159" s="1509">
        <f t="shared" si="110"/>
        <v>42851.376445274858</v>
      </c>
      <c r="AD159" s="1554">
        <f t="shared" si="111"/>
        <v>0</v>
      </c>
      <c r="AE159" s="1504">
        <f t="shared" si="112"/>
        <v>0.31942828457339839</v>
      </c>
      <c r="AF159" s="1504">
        <f t="shared" si="113"/>
        <v>0.21866457592185659</v>
      </c>
      <c r="AG159" s="1504">
        <f t="shared" si="114"/>
        <v>7.5563710283441415E-2</v>
      </c>
      <c r="AH159" s="1504">
        <f t="shared" si="126"/>
        <v>0</v>
      </c>
      <c r="AI159" s="1504">
        <f t="shared" si="115"/>
        <v>0.38634342922130355</v>
      </c>
      <c r="AJ159" s="1541">
        <f t="shared" si="116"/>
        <v>1</v>
      </c>
      <c r="AK159" s="1555">
        <f t="shared" si="117"/>
        <v>7446.8904222526671</v>
      </c>
      <c r="AL159" s="1556">
        <f t="shared" si="118"/>
        <v>5946.5993818280394</v>
      </c>
      <c r="AM159" s="1556">
        <f t="shared" si="119"/>
        <v>294.45186544237362</v>
      </c>
      <c r="AN159" s="1556">
        <f t="shared" si="120"/>
        <v>13687.941669523079</v>
      </c>
      <c r="AO159" s="1543">
        <f t="shared" si="121"/>
        <v>0</v>
      </c>
      <c r="AV159" s="561"/>
      <c r="AW159" s="561"/>
    </row>
    <row r="160" spans="1:49">
      <c r="A160" s="127">
        <f>'Input data'!A140</f>
        <v>2040</v>
      </c>
      <c r="B160" s="1551">
        <f>'Input data'!B140</f>
        <v>71.425610993241406</v>
      </c>
      <c r="C160" s="1550">
        <f>'Input data'!C140</f>
        <v>4714.8820680263625</v>
      </c>
      <c r="D160" s="1511">
        <f>'Input data'!D140</f>
        <v>8648824.905971054</v>
      </c>
      <c r="E160" s="527">
        <f>'Input data'!J140*C160</f>
        <v>56724.961285468657</v>
      </c>
      <c r="F160" s="1509">
        <f>'Input data'!L140</f>
        <v>65373.786191439707</v>
      </c>
      <c r="G160" s="1509">
        <f t="shared" si="132"/>
        <v>13687.941669523079</v>
      </c>
      <c r="H160" s="1509">
        <f t="shared" si="95"/>
        <v>26977.754274528019</v>
      </c>
      <c r="I160" s="1511">
        <f t="shared" si="98"/>
        <v>8648.8249059710542</v>
      </c>
      <c r="J160" s="1454">
        <f t="shared" si="131"/>
        <v>0.4</v>
      </c>
      <c r="K160" s="1512">
        <f t="shared" si="123"/>
        <v>2927.2143479203532</v>
      </c>
      <c r="L160" s="1512">
        <f t="shared" si="99"/>
        <v>0</v>
      </c>
      <c r="M160" s="1511">
        <f t="shared" si="124"/>
        <v>2927.2143479203532</v>
      </c>
      <c r="N160" s="1454">
        <f t="shared" si="130"/>
        <v>0.5</v>
      </c>
      <c r="O160" s="530">
        <f t="shared" si="100"/>
        <v>751.91700000000026</v>
      </c>
      <c r="P160" s="1210">
        <f t="shared" si="127"/>
        <v>3679.1313479203536</v>
      </c>
      <c r="Q160" s="1364">
        <f t="shared" si="101"/>
        <v>36986.564596130745</v>
      </c>
      <c r="R160" s="1364">
        <f t="shared" si="125"/>
        <v>23298.622926607666</v>
      </c>
      <c r="S160" s="1514">
        <f t="shared" si="102"/>
        <v>0.73272400999186427</v>
      </c>
      <c r="T160" s="135" t="str">
        <f t="shared" si="103"/>
        <v>Yes</v>
      </c>
      <c r="U160" s="1514">
        <f t="shared" si="104"/>
        <v>0.73272400999186427</v>
      </c>
      <c r="V160" s="1539">
        <f t="shared" si="96"/>
        <v>42075.163264832052</v>
      </c>
      <c r="W160" s="1540">
        <f t="shared" si="97"/>
        <v>0.35639090656888506</v>
      </c>
      <c r="X160" s="527">
        <f t="shared" si="105"/>
        <v>13687.941669523079</v>
      </c>
      <c r="Y160" s="1509">
        <f t="shared" si="106"/>
        <v>8001.9594221173338</v>
      </c>
      <c r="Z160" s="1509">
        <f t="shared" si="107"/>
        <v>3315.2894651604388</v>
      </c>
      <c r="AA160" s="1509">
        <f t="shared" si="108"/>
        <v>0</v>
      </c>
      <c r="AB160" s="1509">
        <f t="shared" si="109"/>
        <v>17069.9727080312</v>
      </c>
      <c r="AC160" s="1509">
        <f t="shared" si="110"/>
        <v>42075.163264832052</v>
      </c>
      <c r="AD160" s="1535">
        <f t="shared" si="111"/>
        <v>0</v>
      </c>
      <c r="AE160" s="1504">
        <f t="shared" si="112"/>
        <v>0.32532117780191616</v>
      </c>
      <c r="AF160" s="1504">
        <f t="shared" si="113"/>
        <v>0.19018249250159563</v>
      </c>
      <c r="AG160" s="1504">
        <f t="shared" si="114"/>
        <v>7.8794452781873761E-2</v>
      </c>
      <c r="AH160" s="1504">
        <f t="shared" si="126"/>
        <v>0</v>
      </c>
      <c r="AI160" s="1504">
        <f t="shared" si="115"/>
        <v>0.40570187691461446</v>
      </c>
      <c r="AJ160" s="1541">
        <f t="shared" si="116"/>
        <v>1</v>
      </c>
      <c r="AK160" s="1555">
        <f t="shared" si="117"/>
        <v>5189.2949435826322</v>
      </c>
      <c r="AL160" s="1556">
        <f t="shared" si="118"/>
        <v>8091.7294261551242</v>
      </c>
      <c r="AM160" s="1556">
        <f t="shared" si="119"/>
        <v>406.9172997853218</v>
      </c>
      <c r="AN160" s="1556">
        <f t="shared" si="120"/>
        <v>13687.941669523078</v>
      </c>
      <c r="AO160" s="1543">
        <f t="shared" si="121"/>
        <v>0</v>
      </c>
      <c r="AV160" s="561"/>
      <c r="AW160" s="561"/>
    </row>
    <row r="161" spans="1:49">
      <c r="A161" s="127">
        <f>'Input data'!A141</f>
        <v>2041</v>
      </c>
      <c r="B161" s="1551">
        <f>'Input data'!B141</f>
        <v>71.895928013305991</v>
      </c>
      <c r="C161" s="1550">
        <f>'Input data'!C141</f>
        <v>4861.7822977789338</v>
      </c>
      <c r="D161" s="1511">
        <f>'Input data'!D141</f>
        <v>7702881.2953237193</v>
      </c>
      <c r="E161" s="527">
        <f>'Input data'!J141*C161</f>
        <v>58492.324652211188</v>
      </c>
      <c r="F161" s="1509">
        <f>'Input data'!L141</f>
        <v>66195.205947534909</v>
      </c>
      <c r="G161" s="1509">
        <f t="shared" si="132"/>
        <v>13687.941669523079</v>
      </c>
      <c r="H161" s="1509">
        <f t="shared" si="95"/>
        <v>27104.157036958171</v>
      </c>
      <c r="I161" s="1511">
        <f t="shared" si="98"/>
        <v>7702.8812953237193</v>
      </c>
      <c r="J161" s="1454">
        <f t="shared" si="131"/>
        <v>0.4</v>
      </c>
      <c r="K161" s="1512">
        <f t="shared" si="123"/>
        <v>2607.0575937353087</v>
      </c>
      <c r="L161" s="1512">
        <f t="shared" si="99"/>
        <v>0</v>
      </c>
      <c r="M161" s="1511">
        <f t="shared" si="124"/>
        <v>2607.0575937353087</v>
      </c>
      <c r="N161" s="1454">
        <f t="shared" si="130"/>
        <v>0.5</v>
      </c>
      <c r="O161" s="530">
        <f t="shared" si="100"/>
        <v>751.91700000000026</v>
      </c>
      <c r="P161" s="1210">
        <f t="shared" si="127"/>
        <v>3358.9745937353091</v>
      </c>
      <c r="Q161" s="1364">
        <f t="shared" si="101"/>
        <v>37433.124112745943</v>
      </c>
      <c r="R161" s="1364">
        <f t="shared" si="125"/>
        <v>23745.182443222864</v>
      </c>
      <c r="S161" s="1514">
        <f t="shared" si="102"/>
        <v>0.7236870666543872</v>
      </c>
      <c r="T161" s="135" t="str">
        <f t="shared" si="103"/>
        <v>Yes</v>
      </c>
      <c r="U161" s="1514">
        <f t="shared" si="104"/>
        <v>0.7236870666543872</v>
      </c>
      <c r="V161" s="1539">
        <f t="shared" si="96"/>
        <v>42450.023504312048</v>
      </c>
      <c r="W161" s="1540">
        <f t="shared" si="97"/>
        <v>0.35871453382957752</v>
      </c>
      <c r="X161" s="527">
        <f t="shared" si="105"/>
        <v>13687.941669523079</v>
      </c>
      <c r="Y161" s="1509">
        <f t="shared" si="106"/>
        <v>7765.1091511029153</v>
      </c>
      <c r="Z161" s="1509">
        <f t="shared" si="107"/>
        <v>3395.1557266364357</v>
      </c>
      <c r="AA161" s="1509">
        <f t="shared" si="108"/>
        <v>0</v>
      </c>
      <c r="AB161" s="1509">
        <f t="shared" si="109"/>
        <v>17601.816957049621</v>
      </c>
      <c r="AC161" s="1509">
        <f t="shared" si="110"/>
        <v>42450.023504312048</v>
      </c>
      <c r="AD161" s="1535">
        <f t="shared" si="111"/>
        <v>0</v>
      </c>
      <c r="AE161" s="1504">
        <f t="shared" si="112"/>
        <v>0.32244838847103741</v>
      </c>
      <c r="AF161" s="1504">
        <f t="shared" si="113"/>
        <v>0.18292355363040352</v>
      </c>
      <c r="AG161" s="1504">
        <f t="shared" si="114"/>
        <v>7.9980067061483667E-2</v>
      </c>
      <c r="AH161" s="1504">
        <f t="shared" si="126"/>
        <v>0</v>
      </c>
      <c r="AI161" s="1504">
        <f t="shared" si="115"/>
        <v>0.41464799083707549</v>
      </c>
      <c r="AJ161" s="1541">
        <f t="shared" si="116"/>
        <v>1</v>
      </c>
      <c r="AK161" s="1555">
        <f t="shared" si="117"/>
        <v>4621.728777194231</v>
      </c>
      <c r="AL161" s="1556">
        <f t="shared" si="118"/>
        <v>8625.9570700587101</v>
      </c>
      <c r="AM161" s="1556">
        <f t="shared" si="119"/>
        <v>440.25582227013876</v>
      </c>
      <c r="AN161" s="1556">
        <f t="shared" si="120"/>
        <v>13687.941669523081</v>
      </c>
      <c r="AO161" s="1543">
        <f t="shared" si="121"/>
        <v>0</v>
      </c>
      <c r="AV161" s="561"/>
      <c r="AW161" s="561"/>
    </row>
    <row r="162" spans="1:49">
      <c r="A162" s="127">
        <f>'Input data'!A142</f>
        <v>2042</v>
      </c>
      <c r="B162" s="1551">
        <f>'Input data'!B142</f>
        <v>72.353378891150228</v>
      </c>
      <c r="C162" s="1550">
        <f>'Input data'!C142</f>
        <v>4999.630924015547</v>
      </c>
      <c r="D162" s="1511">
        <f>'Input data'!D142</f>
        <v>6756937.6846763855</v>
      </c>
      <c r="E162" s="527">
        <f>'Input data'!J142*C162</f>
        <v>60150.787764057408</v>
      </c>
      <c r="F162" s="1509">
        <f>'Input data'!L142</f>
        <v>66907.725448733792</v>
      </c>
      <c r="G162" s="1509">
        <f t="shared" si="132"/>
        <v>13687.941669523079</v>
      </c>
      <c r="H162" s="1509">
        <f t="shared" si="95"/>
        <v>27168.072057787376</v>
      </c>
      <c r="I162" s="1511">
        <f t="shared" si="98"/>
        <v>6756.9376846763853</v>
      </c>
      <c r="J162" s="1454">
        <f t="shared" si="131"/>
        <v>0.4</v>
      </c>
      <c r="K162" s="1512">
        <f t="shared" si="123"/>
        <v>2286.9008395502651</v>
      </c>
      <c r="L162" s="1512">
        <f t="shared" si="99"/>
        <v>0</v>
      </c>
      <c r="M162" s="1511">
        <f t="shared" si="124"/>
        <v>2286.9008395502651</v>
      </c>
      <c r="N162" s="1454">
        <f t="shared" si="130"/>
        <v>0.5</v>
      </c>
      <c r="O162" s="530">
        <f t="shared" si="100"/>
        <v>751.91700000000026</v>
      </c>
      <c r="P162" s="1210">
        <f t="shared" si="127"/>
        <v>3038.8178395502655</v>
      </c>
      <c r="Q162" s="1364">
        <f t="shared" si="101"/>
        <v>37817.195887760186</v>
      </c>
      <c r="R162" s="1364">
        <f t="shared" si="125"/>
        <v>24129.254218237107</v>
      </c>
      <c r="S162" s="1514">
        <f t="shared" si="102"/>
        <v>0.71466488275231543</v>
      </c>
      <c r="T162" s="135" t="str">
        <f t="shared" si="103"/>
        <v>Yes</v>
      </c>
      <c r="U162" s="1514">
        <f t="shared" si="104"/>
        <v>0.71466488275231543</v>
      </c>
      <c r="V162" s="1539">
        <f t="shared" si="96"/>
        <v>42778.471230496682</v>
      </c>
      <c r="W162" s="1540">
        <f t="shared" si="97"/>
        <v>0.36063480048691077</v>
      </c>
      <c r="X162" s="527">
        <f t="shared" si="105"/>
        <v>13687.941669523079</v>
      </c>
      <c r="Y162" s="1509">
        <f t="shared" si="106"/>
        <v>7519.5383500995285</v>
      </c>
      <c r="Z162" s="1509">
        <f t="shared" si="107"/>
        <v>3470.1008403756309</v>
      </c>
      <c r="AA162" s="1509">
        <f t="shared" si="108"/>
        <v>0</v>
      </c>
      <c r="AB162" s="1509">
        <f t="shared" si="109"/>
        <v>18100.890370498448</v>
      </c>
      <c r="AC162" s="1509">
        <f t="shared" si="110"/>
        <v>42778.471230496682</v>
      </c>
      <c r="AD162" s="1535">
        <f t="shared" si="111"/>
        <v>0</v>
      </c>
      <c r="AE162" s="1504">
        <f t="shared" si="112"/>
        <v>0.31997267026608878</v>
      </c>
      <c r="AF162" s="1504">
        <f t="shared" si="113"/>
        <v>0.17577856650330378</v>
      </c>
      <c r="AG162" s="1504">
        <f t="shared" si="114"/>
        <v>8.1117925455498827E-2</v>
      </c>
      <c r="AH162" s="1504">
        <f t="shared" si="126"/>
        <v>0</v>
      </c>
      <c r="AI162" s="1504">
        <f t="shared" si="115"/>
        <v>0.42313083777510874</v>
      </c>
      <c r="AJ162" s="1541">
        <f t="shared" si="116"/>
        <v>1</v>
      </c>
      <c r="AK162" s="1555">
        <f t="shared" si="117"/>
        <v>4054.1626108058308</v>
      </c>
      <c r="AL162" s="1556">
        <f t="shared" si="118"/>
        <v>9160.1743915568513</v>
      </c>
      <c r="AM162" s="1556">
        <f t="shared" si="119"/>
        <v>473.60466716039514</v>
      </c>
      <c r="AN162" s="1556">
        <f t="shared" si="120"/>
        <v>13687.941669523076</v>
      </c>
      <c r="AO162" s="1543">
        <f t="shared" si="121"/>
        <v>0</v>
      </c>
      <c r="AV162" s="561"/>
      <c r="AW162" s="561"/>
    </row>
    <row r="163" spans="1:49">
      <c r="A163" s="127">
        <f>'Input data'!A143</f>
        <v>2043</v>
      </c>
      <c r="B163" s="1551">
        <f>'Input data'!B143</f>
        <v>72.797675771420302</v>
      </c>
      <c r="C163" s="1550">
        <f>'Input data'!C143</f>
        <v>5140.3990299017887</v>
      </c>
      <c r="D163" s="1511">
        <f>'Input data'!D143</f>
        <v>5810994.0740290517</v>
      </c>
      <c r="E163" s="527">
        <f>'Input data'!J143*C163</f>
        <v>61844.375268774857</v>
      </c>
      <c r="F163" s="1509">
        <f>'Input data'!L143</f>
        <v>67655.369342803911</v>
      </c>
      <c r="G163" s="1509">
        <f t="shared" si="132"/>
        <v>13687.941669523079</v>
      </c>
      <c r="H163" s="1509">
        <f t="shared" si="95"/>
        <v>27252.141705322621</v>
      </c>
      <c r="I163" s="1511">
        <f t="shared" si="98"/>
        <v>5810.9940740290513</v>
      </c>
      <c r="J163" s="1454">
        <f t="shared" si="131"/>
        <v>0.4</v>
      </c>
      <c r="K163" s="1512">
        <f t="shared" si="123"/>
        <v>1966.7440853652211</v>
      </c>
      <c r="L163" s="1512">
        <f t="shared" si="99"/>
        <v>0</v>
      </c>
      <c r="M163" s="1511">
        <f t="shared" si="124"/>
        <v>1966.7440853652211</v>
      </c>
      <c r="N163" s="1454">
        <f t="shared" si="130"/>
        <v>0.5</v>
      </c>
      <c r="O163" s="530">
        <f t="shared" si="100"/>
        <v>751.91700000000026</v>
      </c>
      <c r="P163" s="1210">
        <f t="shared" si="127"/>
        <v>2718.6610853652214</v>
      </c>
      <c r="Q163" s="1364">
        <f t="shared" si="101"/>
        <v>38221.422289480477</v>
      </c>
      <c r="R163" s="1364">
        <f t="shared" si="125"/>
        <v>24533.480619957398</v>
      </c>
      <c r="S163" s="1514">
        <f t="shared" si="102"/>
        <v>0.70630786316276883</v>
      </c>
      <c r="T163" s="135" t="str">
        <f t="shared" si="103"/>
        <v>Yes</v>
      </c>
      <c r="U163" s="1514">
        <f t="shared" si="104"/>
        <v>0.70630786316276883</v>
      </c>
      <c r="V163" s="1539">
        <f t="shared" si="96"/>
        <v>43121.888722846517</v>
      </c>
      <c r="W163" s="1540">
        <f t="shared" si="97"/>
        <v>0.36262429513389205</v>
      </c>
      <c r="X163" s="527">
        <f t="shared" si="105"/>
        <v>13687.941669523079</v>
      </c>
      <c r="Y163" s="1509">
        <f t="shared" si="106"/>
        <v>7276.7802451882635</v>
      </c>
      <c r="Z163" s="1509">
        <f t="shared" si="107"/>
        <v>3546.6332077594516</v>
      </c>
      <c r="AA163" s="1509">
        <f t="shared" si="108"/>
        <v>0</v>
      </c>
      <c r="AB163" s="1509">
        <f t="shared" si="109"/>
        <v>18610.533600375722</v>
      </c>
      <c r="AC163" s="1509">
        <f t="shared" si="110"/>
        <v>43121.888722846517</v>
      </c>
      <c r="AD163" s="1535">
        <f t="shared" si="111"/>
        <v>0</v>
      </c>
      <c r="AE163" s="1504">
        <f t="shared" si="112"/>
        <v>0.3174244467235276</v>
      </c>
      <c r="AF163" s="1504">
        <f t="shared" si="113"/>
        <v>0.1687491077201573</v>
      </c>
      <c r="AG163" s="1504">
        <f t="shared" si="114"/>
        <v>8.2246703769271609E-2</v>
      </c>
      <c r="AH163" s="1504">
        <f t="shared" si="126"/>
        <v>0</v>
      </c>
      <c r="AI163" s="1504">
        <f t="shared" si="115"/>
        <v>0.4315797417870435</v>
      </c>
      <c r="AJ163" s="1541">
        <f t="shared" si="116"/>
        <v>1</v>
      </c>
      <c r="AK163" s="1555">
        <f t="shared" si="117"/>
        <v>3486.5964444174301</v>
      </c>
      <c r="AL163" s="1556">
        <f t="shared" si="118"/>
        <v>9693.9265126235823</v>
      </c>
      <c r="AM163" s="1556">
        <f t="shared" si="119"/>
        <v>507.41871248206621</v>
      </c>
      <c r="AN163" s="1556">
        <f t="shared" si="120"/>
        <v>13687.941669523078</v>
      </c>
      <c r="AO163" s="1543">
        <f t="shared" si="121"/>
        <v>0</v>
      </c>
      <c r="AV163" s="561"/>
      <c r="AW163" s="561"/>
    </row>
    <row r="164" spans="1:49">
      <c r="A164" s="127">
        <f>'Input data'!A144</f>
        <v>2044</v>
      </c>
      <c r="B164" s="1551">
        <f>'Input data'!B144</f>
        <v>73.228597899236789</v>
      </c>
      <c r="C164" s="1550">
        <f>'Input data'!C144</f>
        <v>5284.2396924773611</v>
      </c>
      <c r="D164" s="1511">
        <f>'Input data'!D144</f>
        <v>4865050.463381717</v>
      </c>
      <c r="E164" s="527">
        <f>'Input data'!J144*C164</f>
        <v>63574.928843212612</v>
      </c>
      <c r="F164" s="1509">
        <f>'Input data'!L144</f>
        <v>68439.979306594323</v>
      </c>
      <c r="G164" s="1509">
        <f t="shared" si="132"/>
        <v>13687.941669523079</v>
      </c>
      <c r="H164" s="1509">
        <f t="shared" si="95"/>
        <v>27357.42274685216</v>
      </c>
      <c r="I164" s="1511">
        <f t="shared" si="98"/>
        <v>4865.0504633817172</v>
      </c>
      <c r="J164" s="1454">
        <f t="shared" si="131"/>
        <v>0.4</v>
      </c>
      <c r="K164" s="1512">
        <f t="shared" si="123"/>
        <v>1646.587331180177</v>
      </c>
      <c r="L164" s="1512">
        <f t="shared" si="99"/>
        <v>0</v>
      </c>
      <c r="M164" s="1511">
        <f t="shared" si="124"/>
        <v>1646.587331180177</v>
      </c>
      <c r="N164" s="1454">
        <f t="shared" si="130"/>
        <v>0.5</v>
      </c>
      <c r="O164" s="530">
        <f t="shared" si="100"/>
        <v>751.91700000000026</v>
      </c>
      <c r="P164" s="1210">
        <f t="shared" si="127"/>
        <v>2398.5043311801774</v>
      </c>
      <c r="Q164" s="1364">
        <f t="shared" si="101"/>
        <v>38646.860085195061</v>
      </c>
      <c r="R164" s="1364">
        <f t="shared" si="125"/>
        <v>24958.918415671982</v>
      </c>
      <c r="S164" s="1514">
        <f t="shared" si="102"/>
        <v>0.69858478811567504</v>
      </c>
      <c r="T164" s="135" t="str">
        <f t="shared" si="103"/>
        <v>Yes</v>
      </c>
      <c r="U164" s="1514">
        <f t="shared" si="104"/>
        <v>0.69858478811567504</v>
      </c>
      <c r="V164" s="1539">
        <f t="shared" si="96"/>
        <v>43481.060890922352</v>
      </c>
      <c r="W164" s="1540">
        <f t="shared" si="97"/>
        <v>0.36468331329941139</v>
      </c>
      <c r="X164" s="527">
        <f t="shared" si="105"/>
        <v>13687.941669523079</v>
      </c>
      <c r="Y164" s="1509">
        <f t="shared" si="106"/>
        <v>7036.9823144278953</v>
      </c>
      <c r="Z164" s="1509">
        <f t="shared" si="107"/>
        <v>3624.8360532382567</v>
      </c>
      <c r="AA164" s="1509">
        <f t="shared" si="108"/>
        <v>0</v>
      </c>
      <c r="AB164" s="1509">
        <f t="shared" si="109"/>
        <v>19131.300853733122</v>
      </c>
      <c r="AC164" s="1509">
        <f t="shared" si="110"/>
        <v>43481.060890922352</v>
      </c>
      <c r="AD164" s="1535">
        <f t="shared" si="111"/>
        <v>0</v>
      </c>
      <c r="AE164" s="1504">
        <f t="shared" si="112"/>
        <v>0.31480238497080332</v>
      </c>
      <c r="AF164" s="1504">
        <f t="shared" si="113"/>
        <v>0.16184017064535386</v>
      </c>
      <c r="AG164" s="1504">
        <f t="shared" si="114"/>
        <v>8.3365860422118229E-2</v>
      </c>
      <c r="AH164" s="1504">
        <f t="shared" si="126"/>
        <v>0</v>
      </c>
      <c r="AI164" s="1504">
        <f t="shared" si="115"/>
        <v>0.43999158396172461</v>
      </c>
      <c r="AJ164" s="1541">
        <f t="shared" si="116"/>
        <v>1</v>
      </c>
      <c r="AK164" s="1555">
        <f t="shared" si="117"/>
        <v>2919.0302780290303</v>
      </c>
      <c r="AL164" s="1556">
        <f t="shared" si="118"/>
        <v>10227.235267639115</v>
      </c>
      <c r="AM164" s="1556">
        <f t="shared" si="119"/>
        <v>541.67612385493453</v>
      </c>
      <c r="AN164" s="1556">
        <f t="shared" si="120"/>
        <v>13687.941669523081</v>
      </c>
      <c r="AO164" s="1543">
        <f t="shared" si="121"/>
        <v>0</v>
      </c>
      <c r="AV164" s="561"/>
      <c r="AW164" s="561"/>
    </row>
    <row r="165" spans="1:49">
      <c r="A165" s="127">
        <f>'Input data'!A145</f>
        <v>2045</v>
      </c>
      <c r="B165" s="1551">
        <f>'Input data'!B145</f>
        <v>73.645872502840064</v>
      </c>
      <c r="C165" s="1550">
        <f>'Input data'!C145</f>
        <v>5434.6458323535726</v>
      </c>
      <c r="D165" s="1511">
        <f>'Input data'!D145</f>
        <v>3919106.8527343827</v>
      </c>
      <c r="E165" s="527">
        <f>'Input data'!J145*C165</f>
        <v>65384.471974616165</v>
      </c>
      <c r="F165" s="1509">
        <f>'Input data'!L145</f>
        <v>69303.578827350546</v>
      </c>
      <c r="G165" s="1509">
        <f t="shared" si="132"/>
        <v>13687.941669523079</v>
      </c>
      <c r="H165" s="1509">
        <f t="shared" si="95"/>
        <v>27508.028558553746</v>
      </c>
      <c r="I165" s="1511">
        <f t="shared" si="98"/>
        <v>3919.1068527343828</v>
      </c>
      <c r="J165" s="1454">
        <f t="shared" si="131"/>
        <v>0.4</v>
      </c>
      <c r="K165" s="1512">
        <f t="shared" si="123"/>
        <v>1326.4305769951329</v>
      </c>
      <c r="L165" s="1512">
        <f t="shared" si="99"/>
        <v>0</v>
      </c>
      <c r="M165" s="1511">
        <f t="shared" si="124"/>
        <v>1326.4305769951329</v>
      </c>
      <c r="N165" s="1454">
        <f t="shared" si="130"/>
        <v>0.5</v>
      </c>
      <c r="O165" s="530">
        <f t="shared" si="100"/>
        <v>751.91700000000026</v>
      </c>
      <c r="P165" s="1210">
        <f t="shared" si="127"/>
        <v>2078.3475769951333</v>
      </c>
      <c r="Q165" s="1364">
        <f t="shared" si="101"/>
        <v>39117.622651081692</v>
      </c>
      <c r="R165" s="1364">
        <f t="shared" si="125"/>
        <v>25429.680981558613</v>
      </c>
      <c r="S165" s="1514">
        <f t="shared" si="102"/>
        <v>0.69165999364004283</v>
      </c>
      <c r="T165" s="135" t="str">
        <f t="shared" si="103"/>
        <v>Yes</v>
      </c>
      <c r="U165" s="1514">
        <f t="shared" si="104"/>
        <v>0.69165999364004283</v>
      </c>
      <c r="V165" s="1539">
        <f t="shared" si="96"/>
        <v>43873.897845791944</v>
      </c>
      <c r="W165" s="1540">
        <f t="shared" si="97"/>
        <v>0.36693171423237991</v>
      </c>
      <c r="X165" s="527">
        <f t="shared" si="105"/>
        <v>13687.941669523079</v>
      </c>
      <c r="Y165" s="1509">
        <f t="shared" si="106"/>
        <v>6803.5097205640423</v>
      </c>
      <c r="Z165" s="1509">
        <f t="shared" si="107"/>
        <v>3706.6083970608752</v>
      </c>
      <c r="AA165" s="1509">
        <f t="shared" si="108"/>
        <v>0</v>
      </c>
      <c r="AB165" s="1509">
        <f t="shared" si="109"/>
        <v>19675.838058643949</v>
      </c>
      <c r="AC165" s="1509">
        <f t="shared" si="110"/>
        <v>43873.897845791944</v>
      </c>
      <c r="AD165" s="1535">
        <f t="shared" si="111"/>
        <v>0</v>
      </c>
      <c r="AE165" s="1504">
        <f t="shared" si="112"/>
        <v>0.31198371563961519</v>
      </c>
      <c r="AF165" s="1504">
        <f t="shared" si="113"/>
        <v>0.15506964401651821</v>
      </c>
      <c r="AG165" s="1504">
        <f t="shared" si="114"/>
        <v>8.4483225312892624E-2</v>
      </c>
      <c r="AH165" s="1504">
        <f t="shared" si="126"/>
        <v>0</v>
      </c>
      <c r="AI165" s="1504">
        <f t="shared" si="115"/>
        <v>0.44846341503097403</v>
      </c>
      <c r="AJ165" s="1541">
        <f t="shared" si="116"/>
        <v>1</v>
      </c>
      <c r="AK165" s="1555">
        <f t="shared" si="117"/>
        <v>2351.4641116406297</v>
      </c>
      <c r="AL165" s="1556">
        <f t="shared" si="118"/>
        <v>10759.985723811425</v>
      </c>
      <c r="AM165" s="1556">
        <f t="shared" si="119"/>
        <v>576.49183407102225</v>
      </c>
      <c r="AN165" s="1556">
        <f t="shared" si="120"/>
        <v>13687.941669523078</v>
      </c>
      <c r="AO165" s="1543">
        <f t="shared" si="121"/>
        <v>0</v>
      </c>
      <c r="AV165" s="561"/>
      <c r="AW165" s="561"/>
    </row>
    <row r="166" spans="1:49">
      <c r="A166" s="127">
        <f>'Input data'!A146</f>
        <v>2046</v>
      </c>
      <c r="B166" s="1551">
        <f>'Input data'!B146</f>
        <v>74.049234192071822</v>
      </c>
      <c r="C166" s="1550">
        <f>'Input data'!C146</f>
        <v>5588.9785645796028</v>
      </c>
      <c r="D166" s="1511">
        <f>'Input data'!D146</f>
        <v>3263474.9196310313</v>
      </c>
      <c r="E166" s="527">
        <f>'Input data'!J146*C166</f>
        <v>67241.256117738274</v>
      </c>
      <c r="F166" s="1509">
        <f>'Input data'!L146</f>
        <v>70504.731037369304</v>
      </c>
      <c r="G166" s="1509">
        <f t="shared" si="132"/>
        <v>13687.941669523079</v>
      </c>
      <c r="H166" s="1509">
        <f t="shared" si="95"/>
        <v>27958.185249426508</v>
      </c>
      <c r="I166" s="1511">
        <f t="shared" si="98"/>
        <v>3263.4749196310313</v>
      </c>
      <c r="J166" s="1454">
        <f t="shared" si="131"/>
        <v>0.4</v>
      </c>
      <c r="K166" s="1512">
        <f t="shared" si="123"/>
        <v>1104.530466587081</v>
      </c>
      <c r="L166" s="1512">
        <f t="shared" si="99"/>
        <v>0</v>
      </c>
      <c r="M166" s="1511">
        <f t="shared" si="124"/>
        <v>1104.530466587081</v>
      </c>
      <c r="N166" s="1454">
        <f t="shared" si="130"/>
        <v>0.5</v>
      </c>
      <c r="O166" s="530">
        <f t="shared" si="100"/>
        <v>751.91700000000026</v>
      </c>
      <c r="P166" s="1210">
        <f t="shared" si="127"/>
        <v>1856.4474665870812</v>
      </c>
      <c r="Q166" s="1364">
        <f t="shared" si="101"/>
        <v>39789.679452362507</v>
      </c>
      <c r="R166" s="1364">
        <f t="shared" si="125"/>
        <v>26101.737782839427</v>
      </c>
      <c r="S166" s="1514">
        <f t="shared" si="102"/>
        <v>0.68994548412271062</v>
      </c>
      <c r="T166" s="135" t="str">
        <f t="shared" si="103"/>
        <v>Yes</v>
      </c>
      <c r="U166" s="1514">
        <f t="shared" si="104"/>
        <v>0.68994548412271062</v>
      </c>
      <c r="V166" s="1539">
        <f t="shared" si="96"/>
        <v>44402.99325452988</v>
      </c>
      <c r="W166" s="1540">
        <f t="shared" si="97"/>
        <v>0.37021257153658016</v>
      </c>
      <c r="X166" s="527">
        <f t="shared" si="105"/>
        <v>13687.941669523079</v>
      </c>
      <c r="Y166" s="1509">
        <f t="shared" si="106"/>
        <v>6689.944770124901</v>
      </c>
      <c r="Z166" s="1509">
        <f t="shared" si="107"/>
        <v>3790.5155384385994</v>
      </c>
      <c r="AA166" s="1509">
        <f t="shared" si="108"/>
        <v>0</v>
      </c>
      <c r="AB166" s="1509">
        <f t="shared" si="109"/>
        <v>20234.591276443305</v>
      </c>
      <c r="AC166" s="1509">
        <f t="shared" si="110"/>
        <v>44402.99325452988</v>
      </c>
      <c r="AD166" s="1535">
        <f t="shared" si="111"/>
        <v>0</v>
      </c>
      <c r="AE166" s="1504">
        <f t="shared" si="112"/>
        <v>0.30826619257535459</v>
      </c>
      <c r="AF166" s="1504">
        <f t="shared" si="113"/>
        <v>0.15066427463068405</v>
      </c>
      <c r="AG166" s="1504">
        <f t="shared" si="114"/>
        <v>8.5366216568111677E-2</v>
      </c>
      <c r="AH166" s="1504">
        <f t="shared" si="126"/>
        <v>0</v>
      </c>
      <c r="AI166" s="1504">
        <f t="shared" si="115"/>
        <v>0.45570331622584981</v>
      </c>
      <c r="AJ166" s="1541">
        <f t="shared" si="116"/>
        <v>1</v>
      </c>
      <c r="AK166" s="1555">
        <f t="shared" si="117"/>
        <v>1958.0849517786185</v>
      </c>
      <c r="AL166" s="1556">
        <f t="shared" si="118"/>
        <v>11127.076558311728</v>
      </c>
      <c r="AM166" s="1556">
        <f t="shared" si="119"/>
        <v>602.78015943273238</v>
      </c>
      <c r="AN166" s="1556">
        <f t="shared" si="120"/>
        <v>13687.941669523079</v>
      </c>
      <c r="AO166" s="1543">
        <f t="shared" si="121"/>
        <v>0</v>
      </c>
      <c r="AV166" s="561"/>
      <c r="AW166" s="561"/>
    </row>
    <row r="167" spans="1:49">
      <c r="A167" s="127">
        <f>'Input data'!A147</f>
        <v>2047</v>
      </c>
      <c r="B167" s="1551">
        <f>'Input data'!B147</f>
        <v>74.438425238522782</v>
      </c>
      <c r="C167" s="1550">
        <f>'Input data'!C147</f>
        <v>5683.8226319462565</v>
      </c>
      <c r="D167" s="1511">
        <f>'Input data'!D147</f>
        <v>2607842.98652768</v>
      </c>
      <c r="E167" s="527">
        <f>'Input data'!J147*C167</f>
        <v>68382.329419659043</v>
      </c>
      <c r="F167" s="1509">
        <f>'Input data'!L147</f>
        <v>70990.172406186728</v>
      </c>
      <c r="G167" s="1509">
        <f t="shared" si="132"/>
        <v>13687.941669523079</v>
      </c>
      <c r="H167" s="1509">
        <f t="shared" si="95"/>
        <v>27997.661963943221</v>
      </c>
      <c r="I167" s="1511">
        <f t="shared" si="98"/>
        <v>2607.8429865276798</v>
      </c>
      <c r="J167" s="1454">
        <f t="shared" si="131"/>
        <v>0.4</v>
      </c>
      <c r="K167" s="1512">
        <f t="shared" si="123"/>
        <v>882.63035617902892</v>
      </c>
      <c r="L167" s="1512">
        <f t="shared" si="99"/>
        <v>0</v>
      </c>
      <c r="M167" s="1511">
        <f t="shared" si="124"/>
        <v>882.63035617902892</v>
      </c>
      <c r="N167" s="1454">
        <f t="shared" si="130"/>
        <v>0.5</v>
      </c>
      <c r="O167" s="530">
        <f t="shared" si="100"/>
        <v>751.91700000000026</v>
      </c>
      <c r="P167" s="1210">
        <f t="shared" si="127"/>
        <v>1634.5473561790291</v>
      </c>
      <c r="Q167" s="1364">
        <f t="shared" si="101"/>
        <v>40051.056277287273</v>
      </c>
      <c r="R167" s="1364">
        <f t="shared" si="125"/>
        <v>26363.114607764193</v>
      </c>
      <c r="S167" s="1514">
        <f t="shared" si="102"/>
        <v>0.68499907825204875</v>
      </c>
      <c r="T167" s="135" t="str">
        <f t="shared" si="103"/>
        <v>Yes</v>
      </c>
      <c r="U167" s="1514">
        <f t="shared" si="104"/>
        <v>0.68499907825204875</v>
      </c>
      <c r="V167" s="1539">
        <f t="shared" si="96"/>
        <v>44627.057798422538</v>
      </c>
      <c r="W167" s="1540">
        <f t="shared" si="97"/>
        <v>0.37136287621505581</v>
      </c>
      <c r="X167" s="527">
        <f t="shared" si="105"/>
        <v>13687.941669523076</v>
      </c>
      <c r="Y167" s="1509">
        <f t="shared" si="106"/>
        <v>6519.0670258812952</v>
      </c>
      <c r="Z167" s="1509">
        <f t="shared" si="107"/>
        <v>3842.0800669387309</v>
      </c>
      <c r="AA167" s="1509">
        <f t="shared" si="108"/>
        <v>0</v>
      </c>
      <c r="AB167" s="1509">
        <f t="shared" si="109"/>
        <v>20577.969036079438</v>
      </c>
      <c r="AC167" s="1509">
        <f t="shared" si="110"/>
        <v>44627.057798422538</v>
      </c>
      <c r="AD167" s="1535">
        <f t="shared" si="111"/>
        <v>0</v>
      </c>
      <c r="AE167" s="1504">
        <f t="shared" si="112"/>
        <v>0.30671844268449427</v>
      </c>
      <c r="AF167" s="1504">
        <f t="shared" si="113"/>
        <v>0.14607879944332178</v>
      </c>
      <c r="AG167" s="1504">
        <f t="shared" si="114"/>
        <v>8.6093062291786107E-2</v>
      </c>
      <c r="AH167" s="1504">
        <f t="shared" si="126"/>
        <v>0</v>
      </c>
      <c r="AI167" s="1504">
        <f t="shared" si="115"/>
        <v>0.46110969558039788</v>
      </c>
      <c r="AJ167" s="1541">
        <f t="shared" si="116"/>
        <v>1</v>
      </c>
      <c r="AK167" s="1555">
        <f t="shared" si="117"/>
        <v>1564.705791916608</v>
      </c>
      <c r="AL167" s="1556">
        <f t="shared" si="118"/>
        <v>11496.427705864822</v>
      </c>
      <c r="AM167" s="1556">
        <f t="shared" si="119"/>
        <v>626.80817174164554</v>
      </c>
      <c r="AN167" s="1556">
        <f t="shared" si="120"/>
        <v>13687.941669523076</v>
      </c>
      <c r="AO167" s="1543">
        <f t="shared" si="121"/>
        <v>0</v>
      </c>
      <c r="AV167" s="561"/>
      <c r="AW167" s="561"/>
    </row>
    <row r="168" spans="1:49">
      <c r="A168" s="127">
        <f>'Input data'!A148</f>
        <v>2048</v>
      </c>
      <c r="B168" s="1551">
        <f>'Input data'!B148</f>
        <v>74.813195848926668</v>
      </c>
      <c r="C168" s="1550">
        <f>'Input data'!C148</f>
        <v>5769.8658364340272</v>
      </c>
      <c r="D168" s="1511">
        <f>'Input data'!D148</f>
        <v>1952211.0534243288</v>
      </c>
      <c r="E168" s="527">
        <f>'Input data'!J148*C168</f>
        <v>69417.519138728632</v>
      </c>
      <c r="F168" s="1509">
        <f>'Input data'!L148</f>
        <v>71369.730192152958</v>
      </c>
      <c r="G168" s="1509">
        <f t="shared" si="132"/>
        <v>13687.941669523079</v>
      </c>
      <c r="H168" s="1509">
        <f t="shared" si="95"/>
        <v>27976.381924756399</v>
      </c>
      <c r="I168" s="1511">
        <f t="shared" si="98"/>
        <v>1952.2110534243288</v>
      </c>
      <c r="J168" s="1454">
        <f t="shared" si="131"/>
        <v>0.4</v>
      </c>
      <c r="K168" s="1512">
        <f t="shared" si="123"/>
        <v>660.73024577097704</v>
      </c>
      <c r="L168" s="1512">
        <f t="shared" si="99"/>
        <v>0</v>
      </c>
      <c r="M168" s="1511">
        <f t="shared" si="124"/>
        <v>660.73024577097704</v>
      </c>
      <c r="N168" s="1454">
        <f t="shared" si="130"/>
        <v>0.5</v>
      </c>
      <c r="O168" s="530">
        <f t="shared" si="100"/>
        <v>751.91700000000026</v>
      </c>
      <c r="P168" s="1210">
        <f t="shared" si="127"/>
        <v>1412.6472457709774</v>
      </c>
      <c r="Q168" s="1364">
        <f t="shared" si="101"/>
        <v>40251.676348508503</v>
      </c>
      <c r="R168" s="1364">
        <f t="shared" si="125"/>
        <v>26563.734678985424</v>
      </c>
      <c r="S168" s="1514">
        <f t="shared" si="102"/>
        <v>0.67972100740442853</v>
      </c>
      <c r="T168" s="135" t="str">
        <f t="shared" si="103"/>
        <v>Yes</v>
      </c>
      <c r="U168" s="1514">
        <f t="shared" si="104"/>
        <v>0.67972100740442853</v>
      </c>
      <c r="V168" s="1539">
        <f t="shared" si="96"/>
        <v>44805.995513167552</v>
      </c>
      <c r="W168" s="1540">
        <f t="shared" si="97"/>
        <v>0.37219889450984733</v>
      </c>
      <c r="X168" s="527">
        <f t="shared" si="105"/>
        <v>13687.941669523079</v>
      </c>
      <c r="Y168" s="1509">
        <f t="shared" si="106"/>
        <v>6339.7103211387221</v>
      </c>
      <c r="Z168" s="1509">
        <f t="shared" si="107"/>
        <v>3888.8597695942517</v>
      </c>
      <c r="AA168" s="1509">
        <f t="shared" si="108"/>
        <v>0</v>
      </c>
      <c r="AB168" s="1509">
        <f t="shared" si="109"/>
        <v>20889.483752911496</v>
      </c>
      <c r="AC168" s="1509">
        <f t="shared" si="110"/>
        <v>44805.995513167552</v>
      </c>
      <c r="AD168" s="1535">
        <f t="shared" si="111"/>
        <v>0</v>
      </c>
      <c r="AE168" s="1504">
        <f t="shared" si="112"/>
        <v>0.30549352855022444</v>
      </c>
      <c r="AF168" s="1504">
        <f t="shared" si="113"/>
        <v>0.14149245538525335</v>
      </c>
      <c r="AG168" s="1504">
        <f t="shared" si="114"/>
        <v>8.6793290162505074E-2</v>
      </c>
      <c r="AH168" s="1504">
        <f t="shared" si="126"/>
        <v>0</v>
      </c>
      <c r="AI168" s="1504">
        <f t="shared" si="115"/>
        <v>0.46622072590201707</v>
      </c>
      <c r="AJ168" s="1541">
        <f t="shared" si="116"/>
        <v>1</v>
      </c>
      <c r="AK168" s="1555">
        <f t="shared" si="117"/>
        <v>1171.3266320545972</v>
      </c>
      <c r="AL168" s="1556">
        <f t="shared" si="118"/>
        <v>11866.01081217978</v>
      </c>
      <c r="AM168" s="1556">
        <f t="shared" si="119"/>
        <v>650.60422528870004</v>
      </c>
      <c r="AN168" s="1556">
        <f t="shared" si="120"/>
        <v>13687.941669523078</v>
      </c>
      <c r="AO168" s="1543">
        <f t="shared" si="121"/>
        <v>0</v>
      </c>
      <c r="AV168" s="561"/>
      <c r="AW168" s="561"/>
    </row>
    <row r="169" spans="1:49">
      <c r="A169" s="127">
        <f>'Input data'!A149</f>
        <v>2049</v>
      </c>
      <c r="B169" s="662">
        <f>'Input data'!B149</f>
        <v>75.173102421925719</v>
      </c>
      <c r="C169" s="236">
        <f>'Input data'!C149</f>
        <v>5861.5540552090788</v>
      </c>
      <c r="D169" s="1511">
        <f>'Input data'!D149</f>
        <v>1296579.1203209779</v>
      </c>
      <c r="E169" s="527">
        <f>'Input data'!J149*C169</f>
        <v>70520.624282252509</v>
      </c>
      <c r="F169" s="528">
        <f>'Input data'!L149</f>
        <v>71817.20340257349</v>
      </c>
      <c r="G169" s="528">
        <f t="shared" si="132"/>
        <v>13687.941669523079</v>
      </c>
      <c r="H169" s="528">
        <f t="shared" si="95"/>
        <v>27994.072239661571</v>
      </c>
      <c r="I169" s="530">
        <f t="shared" si="98"/>
        <v>1296.5791203209778</v>
      </c>
      <c r="J169" s="649">
        <f t="shared" si="131"/>
        <v>0.4</v>
      </c>
      <c r="K169" s="775">
        <f t="shared" si="123"/>
        <v>438.83013536292509</v>
      </c>
      <c r="L169" s="775">
        <f t="shared" si="99"/>
        <v>0</v>
      </c>
      <c r="M169" s="530">
        <f t="shared" si="124"/>
        <v>438.83013536292509</v>
      </c>
      <c r="N169" s="649">
        <f t="shared" si="130"/>
        <v>0.5</v>
      </c>
      <c r="O169" s="530">
        <f t="shared" si="100"/>
        <v>751.91700000000026</v>
      </c>
      <c r="P169" s="1210">
        <f t="shared" si="127"/>
        <v>1190.7471353629253</v>
      </c>
      <c r="Q169" s="1364">
        <f t="shared" si="101"/>
        <v>40491.266773821728</v>
      </c>
      <c r="R169" s="1364">
        <f t="shared" si="125"/>
        <v>26803.325104298649</v>
      </c>
      <c r="S169" s="1514">
        <f t="shared" si="102"/>
        <v>0.67492029313195956</v>
      </c>
      <c r="T169" s="135" t="str">
        <f t="shared" si="103"/>
        <v>Yes</v>
      </c>
      <c r="U169" s="1514">
        <f t="shared" si="104"/>
        <v>0.67492029313195956</v>
      </c>
      <c r="V169" s="1539">
        <f t="shared" si="96"/>
        <v>45013.878298274853</v>
      </c>
      <c r="W169" s="1540">
        <f t="shared" si="97"/>
        <v>0.37321594039316452</v>
      </c>
      <c r="X169" s="527">
        <f t="shared" si="105"/>
        <v>13687.941669523081</v>
      </c>
      <c r="Y169" s="1509">
        <f t="shared" si="106"/>
        <v>6165.7921573456742</v>
      </c>
      <c r="Z169" s="1509">
        <f t="shared" si="107"/>
        <v>3938.7085361162012</v>
      </c>
      <c r="AA169" s="1509">
        <f t="shared" si="108"/>
        <v>0</v>
      </c>
      <c r="AB169" s="1509">
        <f t="shared" si="109"/>
        <v>21221.435935289894</v>
      </c>
      <c r="AC169" s="1509">
        <f t="shared" si="110"/>
        <v>45013.878298274853</v>
      </c>
      <c r="AD169" s="1535">
        <f t="shared" si="111"/>
        <v>0</v>
      </c>
      <c r="AE169" s="1504">
        <f t="shared" si="112"/>
        <v>0.30408270042458591</v>
      </c>
      <c r="AF169" s="1504">
        <f t="shared" si="113"/>
        <v>0.13697535938781744</v>
      </c>
      <c r="AG169" s="1504">
        <f t="shared" si="114"/>
        <v>8.7499870817999509E-2</v>
      </c>
      <c r="AH169" s="1504">
        <f t="shared" si="126"/>
        <v>0</v>
      </c>
      <c r="AI169" s="1504">
        <f t="shared" si="115"/>
        <v>0.47144206936959709</v>
      </c>
      <c r="AJ169" s="1541">
        <f t="shared" si="116"/>
        <v>0.99999999999999989</v>
      </c>
      <c r="AK169" s="1555">
        <f t="shared" si="117"/>
        <v>777.9474721925867</v>
      </c>
      <c r="AL169" s="1556">
        <f t="shared" si="118"/>
        <v>12235.260066421621</v>
      </c>
      <c r="AM169" s="1556">
        <f t="shared" si="119"/>
        <v>674.73413090886982</v>
      </c>
      <c r="AN169" s="1556">
        <f t="shared" si="120"/>
        <v>13687.941669523078</v>
      </c>
      <c r="AO169" s="1543">
        <f t="shared" si="121"/>
        <v>0</v>
      </c>
      <c r="AV169" s="561"/>
      <c r="AW169" s="561"/>
    </row>
    <row r="170" spans="1:49" ht="15.75" thickBot="1">
      <c r="A170" s="172">
        <f>'Input data'!A150</f>
        <v>2050</v>
      </c>
      <c r="B170" s="664">
        <f>'Input data'!B150</f>
        <v>75.517908954390194</v>
      </c>
      <c r="C170" s="239">
        <f>'Input data'!C150</f>
        <v>5947.0928685667695</v>
      </c>
      <c r="D170" s="1520">
        <f>'Input data'!D150</f>
        <v>640947.1872176266</v>
      </c>
      <c r="E170" s="670">
        <f>'Input data'!J150*C170</f>
        <v>71549.745648622338</v>
      </c>
      <c r="F170" s="667">
        <f>'Input data'!L150</f>
        <v>72190.69283583996</v>
      </c>
      <c r="G170" s="667">
        <f t="shared" si="132"/>
        <v>13687.941669523079</v>
      </c>
      <c r="H170" s="667">
        <f t="shared" si="95"/>
        <v>27969.310136490534</v>
      </c>
      <c r="I170" s="659">
        <f t="shared" si="98"/>
        <v>640.94718721762661</v>
      </c>
      <c r="J170" s="650">
        <f t="shared" si="131"/>
        <v>0.4</v>
      </c>
      <c r="K170" s="667">
        <f t="shared" si="123"/>
        <v>216.93002495487315</v>
      </c>
      <c r="L170" s="667">
        <f t="shared" si="99"/>
        <v>0</v>
      </c>
      <c r="M170" s="659">
        <f t="shared" si="124"/>
        <v>216.93002495487315</v>
      </c>
      <c r="N170" s="650">
        <f t="shared" si="130"/>
        <v>0.5</v>
      </c>
      <c r="O170" s="659">
        <f t="shared" si="100"/>
        <v>751.91700000000026</v>
      </c>
      <c r="P170" s="1695">
        <f t="shared" si="127"/>
        <v>968.8470249548734</v>
      </c>
      <c r="Q170" s="1485">
        <f t="shared" si="101"/>
        <v>40688.404781058744</v>
      </c>
      <c r="R170" s="1485">
        <f t="shared" si="125"/>
        <v>27000.463111535664</v>
      </c>
      <c r="S170" s="1523">
        <f t="shared" si="102"/>
        <v>0.66992290256252363</v>
      </c>
      <c r="T170" s="1105" t="str">
        <f t="shared" si="103"/>
        <v>Yes</v>
      </c>
      <c r="U170" s="1523">
        <f t="shared" si="104"/>
        <v>0.66992290256252363</v>
      </c>
      <c r="V170" s="1544">
        <f t="shared" si="96"/>
        <v>45190.229724304314</v>
      </c>
      <c r="W170" s="1545">
        <f t="shared" si="97"/>
        <v>0.37401584679252353</v>
      </c>
      <c r="X170" s="670">
        <f t="shared" si="105"/>
        <v>13687.941669523076</v>
      </c>
      <c r="Y170" s="1518">
        <f t="shared" si="106"/>
        <v>5985.9495101987231</v>
      </c>
      <c r="Z170" s="1518">
        <f t="shared" si="107"/>
        <v>3985.2140129658874</v>
      </c>
      <c r="AA170" s="1518">
        <f t="shared" si="108"/>
        <v>0</v>
      </c>
      <c r="AB170" s="1518">
        <f t="shared" si="109"/>
        <v>21531.124531616624</v>
      </c>
      <c r="AC170" s="1518">
        <f t="shared" si="110"/>
        <v>45190.229724304314</v>
      </c>
      <c r="AD170" s="1546">
        <f t="shared" si="111"/>
        <v>0</v>
      </c>
      <c r="AE170" s="1521">
        <f t="shared" si="112"/>
        <v>0.30289604087056443</v>
      </c>
      <c r="AF170" s="1521">
        <f t="shared" si="113"/>
        <v>0.1324611436303309</v>
      </c>
      <c r="AG170" s="1521">
        <f t="shared" si="114"/>
        <v>8.8187513922341282E-2</v>
      </c>
      <c r="AH170" s="1521">
        <f t="shared" si="126"/>
        <v>0</v>
      </c>
      <c r="AI170" s="1521">
        <f>AB170/AC170</f>
        <v>0.4764553015767633</v>
      </c>
      <c r="AJ170" s="1547">
        <f t="shared" si="116"/>
        <v>0.99999999999999989</v>
      </c>
      <c r="AK170" s="1639">
        <f t="shared" si="117"/>
        <v>384.56831233057596</v>
      </c>
      <c r="AL170" s="1640">
        <f t="shared" si="118"/>
        <v>12604.646871485826</v>
      </c>
      <c r="AM170" s="1640">
        <f t="shared" si="119"/>
        <v>698.7264857066707</v>
      </c>
      <c r="AN170" s="1640">
        <f t="shared" si="120"/>
        <v>13687.941669523072</v>
      </c>
      <c r="AO170" s="1548">
        <f t="shared" si="121"/>
        <v>0</v>
      </c>
      <c r="AV170" s="561"/>
      <c r="AW170" s="561"/>
    </row>
    <row r="171" spans="1:49">
      <c r="F171" s="721"/>
      <c r="G171" s="721"/>
      <c r="S171" s="104"/>
      <c r="T171" s="1087"/>
    </row>
    <row r="172" spans="1:49" ht="23.25">
      <c r="A172" s="686" t="s">
        <v>664</v>
      </c>
    </row>
    <row r="173" spans="1:49" ht="24" thickBot="1">
      <c r="A173" s="686"/>
    </row>
    <row r="174" spans="1:49" ht="21.6" customHeight="1" thickBot="1">
      <c r="A174" s="1819" t="s">
        <v>602</v>
      </c>
      <c r="B174" s="1820"/>
      <c r="C174" s="1820"/>
      <c r="D174" s="1821"/>
      <c r="E174" s="1822" t="s">
        <v>603</v>
      </c>
      <c r="F174" s="1823"/>
      <c r="G174" s="1823"/>
      <c r="H174" s="1823"/>
      <c r="I174" s="1824"/>
      <c r="J174" s="1825" t="s">
        <v>604</v>
      </c>
      <c r="K174" s="1826"/>
      <c r="L174" s="1827"/>
      <c r="M174" s="1828" t="s">
        <v>764</v>
      </c>
      <c r="N174" s="1830" t="s">
        <v>607</v>
      </c>
      <c r="O174" s="1831"/>
      <c r="P174" s="1809" t="s">
        <v>594</v>
      </c>
      <c r="Q174" s="1811" t="s">
        <v>772</v>
      </c>
      <c r="R174" s="1811" t="s">
        <v>775</v>
      </c>
      <c r="S174" s="1811" t="s">
        <v>774</v>
      </c>
      <c r="T174" s="1843" t="s">
        <v>776</v>
      </c>
      <c r="U174" s="1876" t="s">
        <v>777</v>
      </c>
      <c r="V174" s="1813" t="s">
        <v>767</v>
      </c>
      <c r="W174" s="1815" t="s">
        <v>768</v>
      </c>
      <c r="X174" s="1910" t="s">
        <v>592</v>
      </c>
      <c r="Y174" s="1880"/>
      <c r="Z174" s="1880"/>
      <c r="AA174" s="1880"/>
      <c r="AB174" s="1880"/>
      <c r="AC174" s="1880"/>
      <c r="AD174" s="1880"/>
      <c r="AE174" s="1880"/>
      <c r="AF174" s="1880"/>
      <c r="AG174" s="1880"/>
      <c r="AH174" s="1880"/>
      <c r="AI174" s="1880"/>
      <c r="AJ174" s="1880"/>
      <c r="AK174" s="1924" t="s">
        <v>730</v>
      </c>
      <c r="AL174" s="1925"/>
      <c r="AM174" s="1925"/>
      <c r="AN174" s="1925"/>
      <c r="AO174" s="1926"/>
    </row>
    <row r="175" spans="1:49" ht="37.9" customHeight="1">
      <c r="A175" s="1817" t="s">
        <v>217</v>
      </c>
      <c r="B175" s="703" t="s">
        <v>218</v>
      </c>
      <c r="C175" s="703" t="s">
        <v>390</v>
      </c>
      <c r="D175" s="469" t="s">
        <v>630</v>
      </c>
      <c r="E175" s="704" t="s">
        <v>786</v>
      </c>
      <c r="F175" s="704" t="s">
        <v>787</v>
      </c>
      <c r="G175" s="704" t="s">
        <v>771</v>
      </c>
      <c r="H175" s="705" t="s">
        <v>597</v>
      </c>
      <c r="I175" s="705" t="s">
        <v>626</v>
      </c>
      <c r="J175" s="1461" t="s">
        <v>326</v>
      </c>
      <c r="K175" s="1461" t="s">
        <v>765</v>
      </c>
      <c r="L175" s="706" t="s">
        <v>766</v>
      </c>
      <c r="M175" s="1829"/>
      <c r="N175" s="508" t="s">
        <v>605</v>
      </c>
      <c r="O175" s="559" t="s">
        <v>606</v>
      </c>
      <c r="P175" s="1810"/>
      <c r="Q175" s="1812"/>
      <c r="R175" s="1812"/>
      <c r="S175" s="1812"/>
      <c r="T175" s="1844"/>
      <c r="U175" s="1877"/>
      <c r="V175" s="1814"/>
      <c r="W175" s="1816"/>
      <c r="X175" s="1464" t="s">
        <v>473</v>
      </c>
      <c r="Y175" s="1465" t="s">
        <v>489</v>
      </c>
      <c r="Z175" s="1636" t="s">
        <v>814</v>
      </c>
      <c r="AA175" s="1465" t="s">
        <v>377</v>
      </c>
      <c r="AB175" s="1465" t="s">
        <v>477</v>
      </c>
      <c r="AC175" s="1465" t="s">
        <v>225</v>
      </c>
      <c r="AD175" s="713" t="s">
        <v>617</v>
      </c>
      <c r="AE175" s="1092" t="s">
        <v>473</v>
      </c>
      <c r="AF175" s="1465" t="s">
        <v>489</v>
      </c>
      <c r="AG175" s="1636" t="s">
        <v>814</v>
      </c>
      <c r="AH175" s="1465" t="s">
        <v>377</v>
      </c>
      <c r="AI175" s="1465" t="s">
        <v>477</v>
      </c>
      <c r="AJ175" s="718" t="s">
        <v>225</v>
      </c>
      <c r="AK175" s="189" t="s">
        <v>731</v>
      </c>
      <c r="AL175" s="712" t="s">
        <v>493</v>
      </c>
      <c r="AM175" s="712" t="s">
        <v>732</v>
      </c>
      <c r="AN175" s="712" t="s">
        <v>225</v>
      </c>
      <c r="AO175" s="1183" t="s">
        <v>617</v>
      </c>
    </row>
    <row r="176" spans="1:49" ht="36" customHeight="1" thickBot="1">
      <c r="A176" s="1818"/>
      <c r="B176" s="1124" t="s">
        <v>232</v>
      </c>
      <c r="C176" s="1125" t="s">
        <v>482</v>
      </c>
      <c r="D176" s="1126" t="s">
        <v>480</v>
      </c>
      <c r="E176" s="1127" t="s">
        <v>228</v>
      </c>
      <c r="F176" s="1127" t="s">
        <v>228</v>
      </c>
      <c r="G176" s="1127" t="s">
        <v>228</v>
      </c>
      <c r="H176" s="1479" t="str">
        <f>G176</f>
        <v>Gg</v>
      </c>
      <c r="I176" s="1127" t="s">
        <v>228</v>
      </c>
      <c r="J176" s="707" t="s">
        <v>229</v>
      </c>
      <c r="K176" s="1114" t="s">
        <v>228</v>
      </c>
      <c r="L176" s="1114" t="s">
        <v>228</v>
      </c>
      <c r="M176" s="1114" t="s">
        <v>228</v>
      </c>
      <c r="N176" s="688" t="s">
        <v>229</v>
      </c>
      <c r="O176" s="690" t="s">
        <v>228</v>
      </c>
      <c r="P176" s="1115" t="s">
        <v>228</v>
      </c>
      <c r="Q176" s="1116" t="s">
        <v>228</v>
      </c>
      <c r="R176" s="1116" t="s">
        <v>228</v>
      </c>
      <c r="S176" s="1117" t="s">
        <v>28</v>
      </c>
      <c r="T176" s="1844"/>
      <c r="U176" s="1117" t="s">
        <v>28</v>
      </c>
      <c r="V176" s="1116" t="s">
        <v>228</v>
      </c>
      <c r="W176" s="1496"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6" t="s">
        <v>229</v>
      </c>
      <c r="AK176" s="191" t="s">
        <v>228</v>
      </c>
      <c r="AL176" s="1095" t="s">
        <v>228</v>
      </c>
      <c r="AM176" s="1095" t="s">
        <v>228</v>
      </c>
      <c r="AN176" s="1095" t="s">
        <v>228</v>
      </c>
      <c r="AO176" s="1096" t="s">
        <v>590</v>
      </c>
    </row>
    <row r="177" spans="1:41">
      <c r="A177" s="736">
        <f>'Input data'!A117</f>
        <v>2017</v>
      </c>
      <c r="B177" s="737">
        <f>'Input data'!B117</f>
        <v>56.521948041648095</v>
      </c>
      <c r="C177" s="738">
        <f>'Input data'!C117</f>
        <v>3117.5115237718705</v>
      </c>
      <c r="D177" s="1503">
        <f>'Input data'!E117</f>
        <v>49995051</v>
      </c>
      <c r="E177" s="956">
        <f>'Input data'!J117*C177</f>
        <v>37506.923384615395</v>
      </c>
      <c r="F177" s="957">
        <f>'Input data'!L117</f>
        <v>87501.974384615402</v>
      </c>
      <c r="G177" s="1373">
        <f>F177*B11</f>
        <v>68439.708347615408</v>
      </c>
      <c r="H177" s="1502">
        <f t="shared" ref="H177" si="133">E177*$B$12+I177*$E$80-G177</f>
        <v>0</v>
      </c>
      <c r="I177" s="1503">
        <f>D177/1000</f>
        <v>49995.050999999999</v>
      </c>
      <c r="J177" s="417">
        <f>H17</f>
        <v>6.154773859516615E-2</v>
      </c>
      <c r="K177" s="1501">
        <f>(I177)*J177-(I177)*$J$137</f>
        <v>0</v>
      </c>
      <c r="L177" s="1501">
        <f>(E177)*$C$12*$G$12-(E177)*$C$12*$G$12</f>
        <v>0</v>
      </c>
      <c r="M177" s="1503">
        <f>L177+K177</f>
        <v>0</v>
      </c>
      <c r="N177" s="708">
        <v>0</v>
      </c>
      <c r="O177" s="1467">
        <f>N177*$E$177*($C$85)*$B$12</f>
        <v>0</v>
      </c>
      <c r="P177" s="1694">
        <f>O177+M177</f>
        <v>0</v>
      </c>
      <c r="Q177" s="1484">
        <f>E177*$B$12+(1-$J$137)*I177-P177</f>
        <v>68439.708347615408</v>
      </c>
      <c r="R177" s="1484">
        <f>Q177-G177</f>
        <v>0</v>
      </c>
      <c r="S177" s="1218">
        <f>R177/(Q177-I177*(1-J177))</f>
        <v>0</v>
      </c>
      <c r="T177" s="1489" t="str">
        <f>IF(AND(S177&gt;=0,S177&lt;=1),"Yes","No")</f>
        <v>Yes</v>
      </c>
      <c r="U177" s="1524">
        <f>IF(S177&lt;=0,0,IF(S177&gt;=1,1,S177))</f>
        <v>0</v>
      </c>
      <c r="V177" s="1493">
        <f t="shared" ref="V177:V210" si="134">AC177</f>
        <v>87501.974384615402</v>
      </c>
      <c r="W177" s="1525">
        <f t="shared" ref="W177:W210" si="135">(1-V177/F177)</f>
        <v>0</v>
      </c>
      <c r="X177" s="527">
        <f>(E177*$B$12-O177-L177)*(1-U177)+I177*(1-J177)</f>
        <v>68439.708347615408</v>
      </c>
      <c r="Y177" s="1501">
        <f>I177*J177+E177*$G$12*$C$12</f>
        <v>6080.5670370000007</v>
      </c>
      <c r="Z177" s="1531">
        <f>($C$12*$H$12*E177+O177)</f>
        <v>1694.9190000000001</v>
      </c>
      <c r="AA177" s="1531">
        <f>$F$137*$D$11</f>
        <v>0</v>
      </c>
      <c r="AB177" s="1531">
        <f>E177*$E$12</f>
        <v>11286.78</v>
      </c>
      <c r="AC177" s="1531">
        <f>SUM(X177:AB177)</f>
        <v>87501.974384615402</v>
      </c>
      <c r="AD177" s="1487">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7">
        <f>I177*(1-$J$177)-K177</f>
        <v>46917.968670000002</v>
      </c>
      <c r="AL177" s="1498">
        <f>(E177*$C$86*$B$12-L177)*(1-U177)</f>
        <v>20017.905677615392</v>
      </c>
      <c r="AM177" s="1498">
        <f>(E177*($C$85)*$B$12-O177)*(1-U177)</f>
        <v>1503.8340000000005</v>
      </c>
      <c r="AN177" s="1498">
        <f>SUM(AK177:AM177)</f>
        <v>68439.708347615393</v>
      </c>
      <c r="AO177" s="1184">
        <f>AN177-X177</f>
        <v>0</v>
      </c>
    </row>
    <row r="178" spans="1:41">
      <c r="A178" s="127">
        <f>'Input data'!A118</f>
        <v>2018</v>
      </c>
      <c r="B178" s="662">
        <f>'Input data'!B118</f>
        <v>57.436000617299655</v>
      </c>
      <c r="C178" s="236">
        <f>'Input data'!C118</f>
        <v>3154.0370052724184</v>
      </c>
      <c r="D178" s="1511">
        <f>'Input data'!E118</f>
        <v>50359792.847133137</v>
      </c>
      <c r="E178" s="527">
        <f>'Input data'!J118*C178</f>
        <v>37946.363119089809</v>
      </c>
      <c r="F178" s="528">
        <f>'Input data'!L118</f>
        <v>88306.155966222956</v>
      </c>
      <c r="G178" s="938">
        <f>G177*0.94</f>
        <v>64333.325846758482</v>
      </c>
      <c r="H178" s="1509">
        <f>E178*$B$12+I178*$E$80-G178</f>
        <v>4700.8289604658348</v>
      </c>
      <c r="I178" s="1511">
        <f t="shared" ref="I178:I210" si="136">D178/1000</f>
        <v>50359.79284713314</v>
      </c>
      <c r="J178" s="649">
        <f>($J$190-$J$177)/($A$190-$A$177)+J177</f>
        <v>8.7582527933999524E-2</v>
      </c>
      <c r="K178" s="1512">
        <f>(I178)*J178-(I178)*$J$137</f>
        <v>1311.106597922399</v>
      </c>
      <c r="L178" s="1512">
        <f t="shared" ref="L178:L210" si="137">(E178)*$C$12*$G$12-(E178)*$C$12*$G$12</f>
        <v>0</v>
      </c>
      <c r="M178" s="1511">
        <f>L178+K178</f>
        <v>1311.106597922399</v>
      </c>
      <c r="N178" s="649">
        <v>0.05</v>
      </c>
      <c r="O178" s="530">
        <f t="shared" ref="O178:O210" si="138">N178*$E$177*($C$85)*$B$12</f>
        <v>75.191700000000026</v>
      </c>
      <c r="P178" s="1210">
        <f>O178+M178</f>
        <v>1386.2982979223991</v>
      </c>
      <c r="Q178" s="1364">
        <f t="shared" ref="Q178:Q210" si="139">E178*$B$12+(1-$J$137)*I178-P178</f>
        <v>67647.856509301913</v>
      </c>
      <c r="R178" s="1364">
        <f>Q178-G178</f>
        <v>3314.5306625434314</v>
      </c>
      <c r="S178" s="576">
        <f t="shared" ref="S178:S210" si="140">R178/(Q178-I178*(1-J178))</f>
        <v>0.15275248812947445</v>
      </c>
      <c r="T178" s="135" t="str">
        <f t="shared" ref="T178:T210" si="141">IF(AND(S178&gt;=0,S178&lt;=1),"Yes","No")</f>
        <v>Yes</v>
      </c>
      <c r="U178" s="1526">
        <f t="shared" ref="U178:U210" si="142">IF(S178&lt;=0,0,IF(S178&gt;=1,1,S178))</f>
        <v>0.15275248812947445</v>
      </c>
      <c r="V178" s="1494">
        <f t="shared" si="134"/>
        <v>84991.625303679524</v>
      </c>
      <c r="W178" s="1527">
        <f t="shared" si="135"/>
        <v>3.7534536819961217E-2</v>
      </c>
      <c r="X178" s="527">
        <f t="shared" ref="X178:X210" si="143">(E178*$B$12-O178-L178)*(1-U178)+I178*(1-J178)</f>
        <v>64333.325846758482</v>
      </c>
      <c r="Y178" s="1509">
        <f t="shared" ref="Y178:Y210" si="144">I178*J178+E178*$G$12*$C$12</f>
        <v>7449.3121878932852</v>
      </c>
      <c r="Z178" s="1531">
        <f t="shared" ref="Z178:Z210" si="145">($C$12*$H$12*E178+O178)</f>
        <v>1789.9687605419947</v>
      </c>
      <c r="AA178" s="1531">
        <f t="shared" ref="AA178:AA210" si="146">$F$137*$D$11</f>
        <v>0</v>
      </c>
      <c r="AB178" s="1531">
        <f t="shared" ref="AB178:AB210" si="147">E178*$E$12</f>
        <v>11419.018508485759</v>
      </c>
      <c r="AC178" s="1531">
        <f t="shared" ref="AC178:AC210" si="148">SUM(X178:AB178)</f>
        <v>84991.625303679524</v>
      </c>
      <c r="AD178" s="1487">
        <f t="shared" ref="AD178:AD210" si="149">X178-G178</f>
        <v>0</v>
      </c>
      <c r="AE178" s="649">
        <f t="shared" ref="AE178:AE210" si="150">X178/AC178</f>
        <v>0.75693723489687537</v>
      </c>
      <c r="AF178" s="417">
        <f t="shared" ref="AF178:AF210" si="151">Y178/AC178</f>
        <v>8.7647602469966931E-2</v>
      </c>
      <c r="AG178" s="417">
        <f t="shared" ref="AG178:AG210" si="152">Z178/AC178</f>
        <v>2.1060531012865594E-2</v>
      </c>
      <c r="AH178" s="417">
        <f>AA178/AC178</f>
        <v>0</v>
      </c>
      <c r="AI178" s="417">
        <f t="shared" ref="AI178:AI209" si="153">AB178/AC178</f>
        <v>0.1343546316202921</v>
      </c>
      <c r="AJ178" s="417">
        <f t="shared" ref="AJ178:AJ210" si="154">SUM(AE178:AI178)</f>
        <v>1</v>
      </c>
      <c r="AK178" s="1497">
        <f t="shared" ref="AK178:AK210" si="155">I178*(1-$J$177)-K178</f>
        <v>45949.154883348674</v>
      </c>
      <c r="AL178" s="1498">
        <f t="shared" ref="AL178:AL210" si="156">(E178*$C$86*$B$12-L178)*(1-U178)</f>
        <v>17158.829451148249</v>
      </c>
      <c r="AM178" s="1498">
        <f t="shared" ref="AM178:AM210" si="157">(E178*($C$85)*$B$12-O178)*(1-U178)</f>
        <v>1225.3415122615597</v>
      </c>
      <c r="AN178" s="1498">
        <f t="shared" ref="AN178:AN210" si="158">SUM(AK178:AM178)</f>
        <v>64333.325846758489</v>
      </c>
      <c r="AO178" s="1184">
        <f t="shared" ref="AO178:AO210" si="159">AN178-X178</f>
        <v>0</v>
      </c>
    </row>
    <row r="179" spans="1:41">
      <c r="A179" s="873">
        <f>'Input data'!A119</f>
        <v>2019</v>
      </c>
      <c r="B179" s="1551">
        <f>'Input data'!B119</f>
        <v>58.364834921819444</v>
      </c>
      <c r="C179" s="1550">
        <f>'Input data'!C119</f>
        <v>3164.1559328574817</v>
      </c>
      <c r="D179" s="1511">
        <f>'Input data'!E119</f>
        <v>53404857.831011549</v>
      </c>
      <c r="E179" s="1508">
        <f>'Input data'!J119*C179</f>
        <v>38068.104398560121</v>
      </c>
      <c r="F179" s="1509">
        <f>'Input data'!L119</f>
        <v>91472.962229571669</v>
      </c>
      <c r="G179" s="1557">
        <f>G177*0.89</f>
        <v>60911.340429377713</v>
      </c>
      <c r="H179" s="1509">
        <f t="shared" ref="H179:H210" si="160">E179*$B$12+I179*$E$80-G179</f>
        <v>11050.318511018224</v>
      </c>
      <c r="I179" s="1511">
        <f t="shared" si="136"/>
        <v>53404.857831011548</v>
      </c>
      <c r="J179" s="1454">
        <f t="shared" ref="J179:J189" si="161">($J$190-$J$177)/($A$190-$A$177)+J178</f>
        <v>0.11361731727283289</v>
      </c>
      <c r="K179" s="1512">
        <f t="shared" ref="K179:K210" si="162">(I179)*J179-(I179)*$J$137</f>
        <v>2780.7684466014621</v>
      </c>
      <c r="L179" s="1512">
        <f t="shared" si="137"/>
        <v>0</v>
      </c>
      <c r="M179" s="1511">
        <f t="shared" ref="M179:M210" si="163">L179+K179</f>
        <v>2780.7684466014621</v>
      </c>
      <c r="N179" s="1454">
        <v>0.1</v>
      </c>
      <c r="O179" s="530">
        <f t="shared" si="138"/>
        <v>150.38340000000005</v>
      </c>
      <c r="P179" s="1210">
        <f>O179+M179</f>
        <v>2931.1518466014622</v>
      </c>
      <c r="Q179" s="1364">
        <f t="shared" si="139"/>
        <v>69030.507093794469</v>
      </c>
      <c r="R179" s="1364">
        <f t="shared" ref="R179:R210" si="164">Q179-G179</f>
        <v>8119.1666644167562</v>
      </c>
      <c r="S179" s="576">
        <f t="shared" si="140"/>
        <v>0.37426956643299625</v>
      </c>
      <c r="T179" s="135" t="str">
        <f t="shared" si="141"/>
        <v>Yes</v>
      </c>
      <c r="U179" s="1526">
        <f t="shared" si="142"/>
        <v>0.37426956643299625</v>
      </c>
      <c r="V179" s="1494">
        <f t="shared" si="134"/>
        <v>83353.795565154913</v>
      </c>
      <c r="W179" s="1527">
        <f t="shared" si="135"/>
        <v>8.8760290106708384E-2</v>
      </c>
      <c r="X179" s="527">
        <f t="shared" si="143"/>
        <v>60911.34042937772</v>
      </c>
      <c r="Y179" s="1509">
        <f t="shared" si="144"/>
        <v>9116.1397155734267</v>
      </c>
      <c r="Z179" s="1531">
        <f t="shared" si="145"/>
        <v>1870.6618877196547</v>
      </c>
      <c r="AA179" s="1531">
        <f t="shared" si="146"/>
        <v>0</v>
      </c>
      <c r="AB179" s="1531">
        <f t="shared" si="147"/>
        <v>11455.653532484115</v>
      </c>
      <c r="AC179" s="1531">
        <f t="shared" si="148"/>
        <v>83353.795565154913</v>
      </c>
      <c r="AD179" s="1487">
        <f t="shared" si="149"/>
        <v>0</v>
      </c>
      <c r="AE179" s="649">
        <f t="shared" si="150"/>
        <v>0.7307566502087518</v>
      </c>
      <c r="AF179" s="417">
        <f t="shared" si="151"/>
        <v>0.10936682191571757</v>
      </c>
      <c r="AG179" s="417">
        <f t="shared" si="152"/>
        <v>2.2442431985684682E-2</v>
      </c>
      <c r="AH179" s="417">
        <f t="shared" ref="AH179:AH210" si="165">AA179/AC179</f>
        <v>0</v>
      </c>
      <c r="AI179" s="417">
        <f t="shared" si="153"/>
        <v>0.13743409588984593</v>
      </c>
      <c r="AJ179" s="417">
        <f t="shared" si="154"/>
        <v>0.99999999999999989</v>
      </c>
      <c r="AK179" s="1497">
        <f t="shared" si="155"/>
        <v>47337.141154914978</v>
      </c>
      <c r="AL179" s="1498">
        <f t="shared" si="156"/>
        <v>12713.224820127884</v>
      </c>
      <c r="AM179" s="1498">
        <f t="shared" si="157"/>
        <v>860.97445433485484</v>
      </c>
      <c r="AN179" s="1498">
        <f t="shared" si="158"/>
        <v>60911.34042937772</v>
      </c>
      <c r="AO179" s="1184">
        <f t="shared" si="159"/>
        <v>0</v>
      </c>
    </row>
    <row r="180" spans="1:41">
      <c r="A180" s="873">
        <f>'Input data'!A120</f>
        <v>2020</v>
      </c>
      <c r="B180" s="1551">
        <f>'Input data'!B120</f>
        <v>59.308690000000006</v>
      </c>
      <c r="C180" s="1550">
        <f>'Input data'!C120</f>
        <v>2966.4312031486884</v>
      </c>
      <c r="D180" s="1511">
        <f>'Input data'!E120</f>
        <v>50522212.337504238</v>
      </c>
      <c r="E180" s="1508">
        <f>'Input data'!J120*C180</f>
        <v>35689.269153884321</v>
      </c>
      <c r="F180" s="1509">
        <f>'Input data'!L120</f>
        <v>86211.481491388549</v>
      </c>
      <c r="G180" s="1557">
        <f>G177*0.81</f>
        <v>55436.163761568481</v>
      </c>
      <c r="H180" s="1509">
        <f t="shared" si="160"/>
        <v>12455.277396534897</v>
      </c>
      <c r="I180" s="1511">
        <f t="shared" si="136"/>
        <v>50522.212337504236</v>
      </c>
      <c r="J180" s="1454">
        <f t="shared" si="161"/>
        <v>0.13965210661166627</v>
      </c>
      <c r="K180" s="1512">
        <f>(I180)*J180-(I180)*$J$177</f>
        <v>3946.0054654161941</v>
      </c>
      <c r="L180" s="1512">
        <f t="shared" si="137"/>
        <v>0</v>
      </c>
      <c r="M180" s="1511">
        <f t="shared" si="163"/>
        <v>3946.0054654161941</v>
      </c>
      <c r="N180" s="1454">
        <f>($N$142-$N$137)/($A$102-$A$97)+N179</f>
        <v>0.2</v>
      </c>
      <c r="O180" s="530">
        <f t="shared" si="138"/>
        <v>300.7668000000001</v>
      </c>
      <c r="P180" s="1210">
        <f t="shared" ref="P180:P210" si="166">O180+M180</f>
        <v>4246.7722654161944</v>
      </c>
      <c r="Q180" s="1364">
        <f t="shared" si="139"/>
        <v>63644.668892687187</v>
      </c>
      <c r="R180" s="1364">
        <f t="shared" si="164"/>
        <v>8208.5051311187053</v>
      </c>
      <c r="S180" s="576">
        <f>R180/(Q180-I180*(1-J180))</f>
        <v>0.40680489761449229</v>
      </c>
      <c r="T180" s="135" t="str">
        <f t="shared" si="141"/>
        <v>Yes</v>
      </c>
      <c r="U180" s="1526">
        <f>IF(S180&lt;=0,0,IF(S180&gt;=1,1,S180))</f>
        <v>0.40680489761449229</v>
      </c>
      <c r="V180" s="1494">
        <f>AC180</f>
        <v>78002.976360269866</v>
      </c>
      <c r="W180" s="1527">
        <f t="shared" si="135"/>
        <v>9.5213595557322783E-2</v>
      </c>
      <c r="X180" s="527">
        <f>(E180*$B$12-O180-L180)*(1-U180)+I180*(1-J180)</f>
        <v>55436.163761568474</v>
      </c>
      <c r="Y180" s="1509">
        <f t="shared" si="144"/>
        <v>9913.4637184620151</v>
      </c>
      <c r="Z180" s="1531">
        <f t="shared" si="145"/>
        <v>1913.5469196790364</v>
      </c>
      <c r="AA180" s="1531">
        <f t="shared" si="146"/>
        <v>0</v>
      </c>
      <c r="AB180" s="1531">
        <f>E180*$E$12</f>
        <v>10739.801960560329</v>
      </c>
      <c r="AC180" s="1531">
        <f>SUM(X180:AB180)</f>
        <v>78002.976360269866</v>
      </c>
      <c r="AD180" s="1487">
        <f t="shared" si="149"/>
        <v>0</v>
      </c>
      <c r="AE180" s="649">
        <f t="shared" si="150"/>
        <v>0.71069292927397065</v>
      </c>
      <c r="AF180" s="417">
        <f t="shared" si="151"/>
        <v>0.12709083910689531</v>
      </c>
      <c r="AG180" s="417">
        <f t="shared" si="152"/>
        <v>2.4531716723743952E-2</v>
      </c>
      <c r="AH180" s="417">
        <f t="shared" si="165"/>
        <v>0</v>
      </c>
      <c r="AI180" s="417">
        <f t="shared" si="153"/>
        <v>0.13768451489538999</v>
      </c>
      <c r="AJ180" s="417">
        <f t="shared" si="154"/>
        <v>1</v>
      </c>
      <c r="AK180" s="1497">
        <f t="shared" si="155"/>
        <v>43466.678953889852</v>
      </c>
      <c r="AL180" s="1498">
        <f t="shared" si="156"/>
        <v>11299.062436378306</v>
      </c>
      <c r="AM180" s="1498">
        <f t="shared" si="157"/>
        <v>670.42237130031697</v>
      </c>
      <c r="AN180" s="1498">
        <f t="shared" si="158"/>
        <v>55436.163761568474</v>
      </c>
      <c r="AO180" s="1184">
        <f t="shared" si="159"/>
        <v>0</v>
      </c>
    </row>
    <row r="181" spans="1:41">
      <c r="A181" s="873">
        <f>'Input data'!A121</f>
        <v>2021</v>
      </c>
      <c r="B181" s="1551">
        <f>'Input data'!B121</f>
        <v>60.097873988486953</v>
      </c>
      <c r="C181" s="1550">
        <f>'Input data'!C121</f>
        <v>3038.4599250524875</v>
      </c>
      <c r="D181" s="1511">
        <f>'Input data'!E121</f>
        <v>50478759.434739612</v>
      </c>
      <c r="E181" s="1508">
        <f>'Input data'!J121*C181</f>
        <v>36555.849993549964</v>
      </c>
      <c r="F181" s="1509">
        <f>'Input data'!L121</f>
        <v>87034.609428289579</v>
      </c>
      <c r="G181" s="1557">
        <f>G177*0.65</f>
        <v>44485.810425950018</v>
      </c>
      <c r="H181" s="1509">
        <f t="shared" si="160"/>
        <v>23862.102512919249</v>
      </c>
      <c r="I181" s="1511">
        <f t="shared" si="136"/>
        <v>50478.759434739615</v>
      </c>
      <c r="J181" s="1454">
        <f t="shared" si="161"/>
        <v>0.16568689595049965</v>
      </c>
      <c r="K181" s="1512">
        <f t="shared" si="162"/>
        <v>5256.8154718763753</v>
      </c>
      <c r="L181" s="1512">
        <f t="shared" si="137"/>
        <v>0</v>
      </c>
      <c r="M181" s="1511">
        <f t="shared" si="163"/>
        <v>5256.8154718763753</v>
      </c>
      <c r="N181" s="1454">
        <v>0.4</v>
      </c>
      <c r="O181" s="530">
        <f t="shared" si="138"/>
        <v>601.53360000000021</v>
      </c>
      <c r="P181" s="1210">
        <f t="shared" si="166"/>
        <v>5858.3490718763751</v>
      </c>
      <c r="Q181" s="1364">
        <f t="shared" si="139"/>
        <v>62489.563866992889</v>
      </c>
      <c r="R181" s="1364">
        <f t="shared" si="164"/>
        <v>18003.753441042871</v>
      </c>
      <c r="S181" s="576">
        <f t="shared" si="140"/>
        <v>0.88364263912544427</v>
      </c>
      <c r="T181" s="135" t="str">
        <f t="shared" si="141"/>
        <v>Yes</v>
      </c>
      <c r="U181" s="1526">
        <f t="shared" si="142"/>
        <v>0.88364263912544427</v>
      </c>
      <c r="V181" s="1494">
        <f t="shared" si="134"/>
        <v>69030.855987246701</v>
      </c>
      <c r="W181" s="1527">
        <f t="shared" si="135"/>
        <v>0.20685740487956927</v>
      </c>
      <c r="X181" s="527">
        <f t="shared" si="143"/>
        <v>44485.810425950018</v>
      </c>
      <c r="Y181" s="1509">
        <f t="shared" si="144"/>
        <v>11290.993479866895</v>
      </c>
      <c r="Z181" s="1531">
        <f t="shared" si="145"/>
        <v>2253.4740718925086</v>
      </c>
      <c r="AA181" s="1531">
        <f t="shared" si="146"/>
        <v>0</v>
      </c>
      <c r="AB181" s="1531">
        <f t="shared" si="147"/>
        <v>11000.578009537285</v>
      </c>
      <c r="AC181" s="1531">
        <f t="shared" si="148"/>
        <v>69030.855987246701</v>
      </c>
      <c r="AD181" s="1005">
        <f t="shared" si="149"/>
        <v>0</v>
      </c>
      <c r="AE181" s="649">
        <f t="shared" si="150"/>
        <v>0.64443370706816494</v>
      </c>
      <c r="AF181" s="417">
        <f t="shared" si="151"/>
        <v>0.16356444257265013</v>
      </c>
      <c r="AG181" s="417">
        <f t="shared" si="152"/>
        <v>3.264444630831223E-2</v>
      </c>
      <c r="AH181" s="417">
        <f t="shared" si="165"/>
        <v>0</v>
      </c>
      <c r="AI181" s="417">
        <f t="shared" si="153"/>
        <v>0.15935740405087281</v>
      </c>
      <c r="AJ181" s="417">
        <f t="shared" si="154"/>
        <v>1</v>
      </c>
      <c r="AK181" s="1497">
        <f t="shared" si="155"/>
        <v>42115.090472565607</v>
      </c>
      <c r="AL181" s="1498">
        <f t="shared" si="156"/>
        <v>2270.1677308549342</v>
      </c>
      <c r="AM181" s="1498">
        <f t="shared" si="157"/>
        <v>100.55222252947536</v>
      </c>
      <c r="AN181" s="1498">
        <f t="shared" si="158"/>
        <v>44485.810425950018</v>
      </c>
      <c r="AO181" s="1184">
        <f t="shared" si="159"/>
        <v>0</v>
      </c>
    </row>
    <row r="182" spans="1:41">
      <c r="A182" s="873">
        <f>'Input data'!A122</f>
        <v>2022</v>
      </c>
      <c r="B182" s="1551">
        <f>'Input data'!B122</f>
        <v>60.841582286809363</v>
      </c>
      <c r="C182" s="1550">
        <f>'Input data'!C122</f>
        <v>3105.6495314991057</v>
      </c>
      <c r="D182" s="1511">
        <f>'Input data'!E122</f>
        <v>50359792.847133152</v>
      </c>
      <c r="E182" s="1508">
        <f>'Input data'!J122*C182</f>
        <v>37364.211214356852</v>
      </c>
      <c r="F182" s="1509">
        <f>'Input data'!L122</f>
        <v>87724.004061490006</v>
      </c>
      <c r="G182" s="1557">
        <f>G177*(1-E4)</f>
        <v>34219.854173807704</v>
      </c>
      <c r="H182" s="1509">
        <f t="shared" si="160"/>
        <v>34480.257725710951</v>
      </c>
      <c r="I182" s="1511">
        <f t="shared" si="136"/>
        <v>50359.792847133154</v>
      </c>
      <c r="J182" s="1454">
        <f t="shared" si="161"/>
        <v>0.19172168528933303</v>
      </c>
      <c r="K182" s="1512">
        <f t="shared" si="162"/>
        <v>6555.5329896119983</v>
      </c>
      <c r="L182" s="1512">
        <f t="shared" si="137"/>
        <v>0</v>
      </c>
      <c r="M182" s="1511">
        <f t="shared" si="163"/>
        <v>6555.5329896119983</v>
      </c>
      <c r="N182" s="1454">
        <f>$E$26</f>
        <v>0.5</v>
      </c>
      <c r="O182" s="530">
        <f t="shared" si="138"/>
        <v>751.91700000000026</v>
      </c>
      <c r="P182" s="1210">
        <f t="shared" si="166"/>
        <v>7307.4499896119987</v>
      </c>
      <c r="Q182" s="1364">
        <f t="shared" si="139"/>
        <v>61392.661909906659</v>
      </c>
      <c r="R182" s="1364">
        <f t="shared" si="164"/>
        <v>27172.807736098956</v>
      </c>
      <c r="S182" s="576">
        <f t="shared" si="140"/>
        <v>1.3134616777203791</v>
      </c>
      <c r="T182" s="135" t="str">
        <f t="shared" si="141"/>
        <v>No</v>
      </c>
      <c r="U182" s="1526">
        <f t="shared" si="142"/>
        <v>1</v>
      </c>
      <c r="V182" s="1494">
        <f t="shared" si="134"/>
        <v>67036.070643242434</v>
      </c>
      <c r="W182" s="1527">
        <f>(1-V182/F182)</f>
        <v>0.23582978957214951</v>
      </c>
      <c r="X182" s="527">
        <f t="shared" si="143"/>
        <v>40704.728491659087</v>
      </c>
      <c r="Y182" s="1509">
        <f t="shared" si="144"/>
        <v>12647.120937152275</v>
      </c>
      <c r="Z182" s="1531">
        <f t="shared" si="145"/>
        <v>2440.3869088169668</v>
      </c>
      <c r="AA182" s="1531">
        <f t="shared" si="146"/>
        <v>0</v>
      </c>
      <c r="AB182" s="1531">
        <f t="shared" si="147"/>
        <v>11243.834305614109</v>
      </c>
      <c r="AC182" s="1531">
        <f t="shared" si="148"/>
        <v>67036.070643242434</v>
      </c>
      <c r="AD182" s="1005">
        <f t="shared" si="149"/>
        <v>6484.8743178513832</v>
      </c>
      <c r="AE182" s="649">
        <f t="shared" si="150"/>
        <v>0.6072063607111543</v>
      </c>
      <c r="AF182" s="417">
        <f t="shared" si="151"/>
        <v>0.18866142982124753</v>
      </c>
      <c r="AG182" s="417">
        <f t="shared" si="152"/>
        <v>3.6404086417958476E-2</v>
      </c>
      <c r="AH182" s="417">
        <f t="shared" si="165"/>
        <v>0</v>
      </c>
      <c r="AI182" s="417">
        <f t="shared" si="153"/>
        <v>0.16772812304963974</v>
      </c>
      <c r="AJ182" s="417">
        <f t="shared" si="154"/>
        <v>1</v>
      </c>
      <c r="AK182" s="1497">
        <f t="shared" si="155"/>
        <v>40704.728491659087</v>
      </c>
      <c r="AL182" s="1498">
        <f t="shared" si="156"/>
        <v>0</v>
      </c>
      <c r="AM182" s="1498">
        <f t="shared" si="157"/>
        <v>0</v>
      </c>
      <c r="AN182" s="1498">
        <f t="shared" si="158"/>
        <v>40704.728491659087</v>
      </c>
      <c r="AO182" s="1184">
        <f t="shared" si="159"/>
        <v>0</v>
      </c>
    </row>
    <row r="183" spans="1:41">
      <c r="A183" s="873">
        <f>'Input data'!A123</f>
        <v>2023</v>
      </c>
      <c r="B183" s="1551">
        <f>'Input data'!B123</f>
        <v>61.537824355929828</v>
      </c>
      <c r="C183" s="1550">
        <f>'Input data'!C123</f>
        <v>3166.2503551240475</v>
      </c>
      <c r="D183" s="1511">
        <f>'Input data'!E123</f>
        <v>49907933.066043317</v>
      </c>
      <c r="E183" s="1508">
        <f>'Input data'!J123*C183</f>
        <v>38093.302488410991</v>
      </c>
      <c r="F183" s="1509">
        <f>'Input data'!L123</f>
        <v>88001.23555445431</v>
      </c>
      <c r="G183" s="1557">
        <f>($G$147-$G$142)/($A$147-$A$142)+G182</f>
        <v>32166.662923379241</v>
      </c>
      <c r="H183" s="1509">
        <f t="shared" si="160"/>
        <v>36527.757906729959</v>
      </c>
      <c r="I183" s="1511">
        <f t="shared" si="136"/>
        <v>49907.933066043319</v>
      </c>
      <c r="J183" s="1454">
        <f t="shared" si="161"/>
        <v>0.21775647462816641</v>
      </c>
      <c r="K183" s="1512">
        <f t="shared" si="162"/>
        <v>7796.0551422662065</v>
      </c>
      <c r="L183" s="1512">
        <f t="shared" si="137"/>
        <v>0</v>
      </c>
      <c r="M183" s="1511">
        <f t="shared" si="163"/>
        <v>7796.0551422662065</v>
      </c>
      <c r="N183" s="1454">
        <f>($N$147-$N$142)/($A$107-$A$102)+N182</f>
        <v>0.5</v>
      </c>
      <c r="O183" s="530">
        <f t="shared" si="138"/>
        <v>751.91700000000026</v>
      </c>
      <c r="P183" s="1210">
        <f t="shared" si="166"/>
        <v>8547.972142266206</v>
      </c>
      <c r="Q183" s="1364">
        <f t="shared" si="139"/>
        <v>60146.448687842996</v>
      </c>
      <c r="R183" s="1364">
        <f t="shared" si="164"/>
        <v>27979.785764463755</v>
      </c>
      <c r="S183" s="576">
        <f t="shared" si="140"/>
        <v>1.3256609379106741</v>
      </c>
      <c r="T183" s="135" t="str">
        <f t="shared" si="141"/>
        <v>No</v>
      </c>
      <c r="U183" s="1526">
        <f t="shared" si="142"/>
        <v>1</v>
      </c>
      <c r="V183" s="1494">
        <f t="shared" si="134"/>
        <v>66894.944372214552</v>
      </c>
      <c r="W183" s="1527">
        <f t="shared" si="135"/>
        <v>0.23984085052055193</v>
      </c>
      <c r="X183" s="527">
        <f t="shared" si="143"/>
        <v>39040.157505603231</v>
      </c>
      <c r="Y183" s="1509">
        <f t="shared" si="144"/>
        <v>13918.216416114146</v>
      </c>
      <c r="Z183" s="1531">
        <f t="shared" si="145"/>
        <v>2473.3341767241886</v>
      </c>
      <c r="AA183" s="1531">
        <f t="shared" si="146"/>
        <v>0</v>
      </c>
      <c r="AB183" s="1531">
        <f t="shared" si="147"/>
        <v>11463.236273772985</v>
      </c>
      <c r="AC183" s="1531">
        <f t="shared" si="148"/>
        <v>66894.944372214552</v>
      </c>
      <c r="AD183" s="1005">
        <f t="shared" si="149"/>
        <v>6873.4945822239897</v>
      </c>
      <c r="AE183" s="649">
        <f t="shared" si="150"/>
        <v>0.58360400583304661</v>
      </c>
      <c r="AF183" s="417">
        <f t="shared" si="151"/>
        <v>0.20806081157151257</v>
      </c>
      <c r="AG183" s="417">
        <f t="shared" si="152"/>
        <v>3.6973409574304263E-2</v>
      </c>
      <c r="AH183" s="417">
        <f t="shared" si="165"/>
        <v>0</v>
      </c>
      <c r="AI183" s="417">
        <f t="shared" si="153"/>
        <v>0.17136177302113653</v>
      </c>
      <c r="AJ183" s="417">
        <f t="shared" si="154"/>
        <v>1</v>
      </c>
      <c r="AK183" s="1497">
        <f t="shared" si="155"/>
        <v>39040.157505603231</v>
      </c>
      <c r="AL183" s="1498">
        <f t="shared" si="156"/>
        <v>0</v>
      </c>
      <c r="AM183" s="1498">
        <f t="shared" si="157"/>
        <v>0</v>
      </c>
      <c r="AN183" s="1498">
        <f t="shared" si="158"/>
        <v>39040.157505603231</v>
      </c>
      <c r="AO183" s="1184">
        <f t="shared" si="159"/>
        <v>0</v>
      </c>
    </row>
    <row r="184" spans="1:41">
      <c r="A184" s="873">
        <f>'Input data'!A124</f>
        <v>2024</v>
      </c>
      <c r="B184" s="1551">
        <f>'Input data'!B124</f>
        <v>62.221509701386374</v>
      </c>
      <c r="C184" s="1550">
        <f>'Input data'!C124</f>
        <v>3234.5964359714103</v>
      </c>
      <c r="D184" s="1511">
        <f>'Input data'!E124</f>
        <v>50177221.869345397</v>
      </c>
      <c r="E184" s="1508">
        <f>'Input data'!J124*C184</f>
        <v>38915.577305499479</v>
      </c>
      <c r="F184" s="1509">
        <f>'Input data'!L124</f>
        <v>89092.799174844869</v>
      </c>
      <c r="G184" s="1557">
        <f t="shared" ref="G184:G186" si="167">($G$147-$G$142)/($A$147-$A$142)+G183</f>
        <v>30113.471672950778</v>
      </c>
      <c r="H184" s="1509">
        <f t="shared" si="160"/>
        <v>39305.490988016114</v>
      </c>
      <c r="I184" s="1511">
        <f t="shared" si="136"/>
        <v>50177.221869345398</v>
      </c>
      <c r="J184" s="1454">
        <f t="shared" si="161"/>
        <v>0.24379126396699979</v>
      </c>
      <c r="K184" s="1512">
        <f t="shared" si="162"/>
        <v>9144.473806834174</v>
      </c>
      <c r="L184" s="1512">
        <f t="shared" si="137"/>
        <v>0</v>
      </c>
      <c r="M184" s="1511">
        <f t="shared" si="163"/>
        <v>9144.473806834174</v>
      </c>
      <c r="N184" s="1454">
        <f>($N$147-$N$142)/($A$107-$A$102)+N183</f>
        <v>0.5</v>
      </c>
      <c r="O184" s="530">
        <f t="shared" si="138"/>
        <v>751.91700000000026</v>
      </c>
      <c r="P184" s="1210">
        <f t="shared" si="166"/>
        <v>9896.3908068341734</v>
      </c>
      <c r="Q184" s="1364">
        <f t="shared" si="139"/>
        <v>59522.571854132722</v>
      </c>
      <c r="R184" s="1364">
        <f t="shared" si="164"/>
        <v>29409.100181181944</v>
      </c>
      <c r="S184" s="576">
        <f t="shared" si="140"/>
        <v>1.3629131018730345</v>
      </c>
      <c r="T184" s="135" t="str">
        <f t="shared" si="141"/>
        <v>No</v>
      </c>
      <c r="U184" s="1526">
        <f t="shared" si="142"/>
        <v>1</v>
      </c>
      <c r="V184" s="1494">
        <f t="shared" si="134"/>
        <v>67514.68084817726</v>
      </c>
      <c r="W184" s="1527">
        <f t="shared" si="135"/>
        <v>0.24219823068215074</v>
      </c>
      <c r="X184" s="527">
        <f t="shared" si="143"/>
        <v>37944.453527465099</v>
      </c>
      <c r="Y184" s="1509">
        <f t="shared" si="144"/>
        <v>15349.055436467395</v>
      </c>
      <c r="Z184" s="1531">
        <f t="shared" si="145"/>
        <v>2510.4923620654172</v>
      </c>
      <c r="AA184" s="1531">
        <f t="shared" si="146"/>
        <v>0</v>
      </c>
      <c r="AB184" s="1531">
        <f t="shared" si="147"/>
        <v>11710.679522179353</v>
      </c>
      <c r="AC184" s="1531">
        <f t="shared" si="148"/>
        <v>67514.68084817726</v>
      </c>
      <c r="AD184" s="1005">
        <f t="shared" si="149"/>
        <v>7830.9818545143207</v>
      </c>
      <c r="AE184" s="649">
        <f t="shared" si="150"/>
        <v>0.56201781672925599</v>
      </c>
      <c r="AF184" s="417">
        <f t="shared" si="151"/>
        <v>0.22734396791393238</v>
      </c>
      <c r="AG184" s="417">
        <f t="shared" si="152"/>
        <v>3.7184392054090479E-2</v>
      </c>
      <c r="AH184" s="417">
        <f t="shared" si="165"/>
        <v>0</v>
      </c>
      <c r="AI184" s="417">
        <f t="shared" si="153"/>
        <v>0.17345382330272119</v>
      </c>
      <c r="AJ184" s="417">
        <f t="shared" si="154"/>
        <v>1</v>
      </c>
      <c r="AK184" s="1497">
        <f t="shared" si="155"/>
        <v>37944.453527465099</v>
      </c>
      <c r="AL184" s="1498">
        <f t="shared" si="156"/>
        <v>0</v>
      </c>
      <c r="AM184" s="1498">
        <f t="shared" si="157"/>
        <v>0</v>
      </c>
      <c r="AN184" s="1498">
        <f t="shared" si="158"/>
        <v>37944.453527465099</v>
      </c>
      <c r="AO184" s="1184">
        <f t="shared" si="159"/>
        <v>0</v>
      </c>
    </row>
    <row r="185" spans="1:41">
      <c r="A185" s="873">
        <f>'Input data'!A125</f>
        <v>2025</v>
      </c>
      <c r="B185" s="1551">
        <f>'Input data'!B125</f>
        <v>62.892038582526091</v>
      </c>
      <c r="C185" s="1550">
        <f>'Input data'!C125</f>
        <v>3296.2240257379749</v>
      </c>
      <c r="D185" s="1511">
        <f>'Input data'!E125</f>
        <v>50605741.387768611</v>
      </c>
      <c r="E185" s="1508">
        <f>'Input data'!J125*C185</f>
        <v>39657.021649851544</v>
      </c>
      <c r="F185" s="1509">
        <f>'Input data'!L125</f>
        <v>90262.763037620156</v>
      </c>
      <c r="G185" s="1557">
        <f t="shared" si="167"/>
        <v>28060.280422522315</v>
      </c>
      <c r="H185" s="1509">
        <f t="shared" si="160"/>
        <v>42186.273393244737</v>
      </c>
      <c r="I185" s="1511">
        <f t="shared" si="136"/>
        <v>50605.741387768612</v>
      </c>
      <c r="J185" s="1454">
        <f t="shared" si="161"/>
        <v>0.26982605330583315</v>
      </c>
      <c r="K185" s="1512">
        <f t="shared" si="162"/>
        <v>10540.078530928298</v>
      </c>
      <c r="L185" s="1512">
        <f t="shared" si="137"/>
        <v>0</v>
      </c>
      <c r="M185" s="1511">
        <f t="shared" si="163"/>
        <v>10540.078530928298</v>
      </c>
      <c r="N185" s="1454">
        <f>($N$147-$N$142)/($A$107-$A$102)+N184</f>
        <v>0.5</v>
      </c>
      <c r="O185" s="530">
        <f t="shared" si="138"/>
        <v>751.91700000000026</v>
      </c>
      <c r="P185" s="1210">
        <f t="shared" si="166"/>
        <v>11291.995530928298</v>
      </c>
      <c r="Q185" s="1364">
        <f t="shared" si="139"/>
        <v>58954.558284838757</v>
      </c>
      <c r="R185" s="1364">
        <f t="shared" si="164"/>
        <v>30894.277862316441</v>
      </c>
      <c r="S185" s="576">
        <f t="shared" si="140"/>
        <v>1.4040578763661764</v>
      </c>
      <c r="T185" s="135" t="str">
        <f t="shared" si="141"/>
        <v>No</v>
      </c>
      <c r="U185" s="1526">
        <f t="shared" si="142"/>
        <v>1</v>
      </c>
      <c r="V185" s="1494">
        <f t="shared" si="134"/>
        <v>68259.198667272765</v>
      </c>
      <c r="W185" s="1527">
        <f t="shared" si="135"/>
        <v>0.24377233346132599</v>
      </c>
      <c r="X185" s="527">
        <f t="shared" si="143"/>
        <v>36950.993914491351</v>
      </c>
      <c r="Y185" s="1509">
        <f t="shared" si="144"/>
        <v>16830.408052767856</v>
      </c>
      <c r="Z185" s="1531">
        <f t="shared" si="145"/>
        <v>2543.9978590052256</v>
      </c>
      <c r="AA185" s="1531">
        <f t="shared" si="146"/>
        <v>0</v>
      </c>
      <c r="AB185" s="1531">
        <f t="shared" si="147"/>
        <v>11933.798841008331</v>
      </c>
      <c r="AC185" s="1531">
        <f t="shared" si="148"/>
        <v>68259.198667272765</v>
      </c>
      <c r="AD185" s="1005">
        <f t="shared" si="149"/>
        <v>8890.7134919690361</v>
      </c>
      <c r="AE185" s="649">
        <f t="shared" si="150"/>
        <v>0.54133354384377941</v>
      </c>
      <c r="AF185" s="417">
        <f t="shared" si="151"/>
        <v>0.24656615344705599</v>
      </c>
      <c r="AG185" s="417">
        <f t="shared" si="152"/>
        <v>3.7269670735600925E-2</v>
      </c>
      <c r="AH185" s="417">
        <f t="shared" si="165"/>
        <v>0</v>
      </c>
      <c r="AI185" s="417">
        <f t="shared" si="153"/>
        <v>0.17483063197356363</v>
      </c>
      <c r="AJ185" s="417">
        <f t="shared" si="154"/>
        <v>1</v>
      </c>
      <c r="AK185" s="1497">
        <f t="shared" si="155"/>
        <v>36950.993914491351</v>
      </c>
      <c r="AL185" s="1498">
        <f t="shared" si="156"/>
        <v>0</v>
      </c>
      <c r="AM185" s="1498">
        <f t="shared" si="157"/>
        <v>0</v>
      </c>
      <c r="AN185" s="1498">
        <f t="shared" si="158"/>
        <v>36950.993914491351</v>
      </c>
      <c r="AO185" s="1184">
        <f t="shared" si="159"/>
        <v>0</v>
      </c>
    </row>
    <row r="186" spans="1:41">
      <c r="A186" s="873">
        <f>'Input data'!A126</f>
        <v>2026</v>
      </c>
      <c r="B186" s="1551">
        <f>'Input data'!B126</f>
        <v>63.548817559440096</v>
      </c>
      <c r="C186" s="1550">
        <f>'Input data'!C126</f>
        <v>3366.4633271478065</v>
      </c>
      <c r="D186" s="1511">
        <f>'Input data'!E126</f>
        <v>48876629.54391963</v>
      </c>
      <c r="E186" s="1508">
        <f>'Input data'!J126*C186</f>
        <v>40502.073889908716</v>
      </c>
      <c r="F186" s="1509">
        <f>'Input data'!L126</f>
        <v>89378.703433828341</v>
      </c>
      <c r="G186" s="1557">
        <f t="shared" si="167"/>
        <v>26007.089172093853</v>
      </c>
      <c r="H186" s="1509">
        <f t="shared" si="160"/>
        <v>43101.672715487832</v>
      </c>
      <c r="I186" s="1511">
        <f t="shared" si="136"/>
        <v>48876.629543919633</v>
      </c>
      <c r="J186" s="1454">
        <f t="shared" si="161"/>
        <v>0.2958608426446665</v>
      </c>
      <c r="K186" s="1512">
        <f t="shared" si="162"/>
        <v>11452.434783913324</v>
      </c>
      <c r="L186" s="1512">
        <f t="shared" si="137"/>
        <v>0</v>
      </c>
      <c r="M186" s="1511">
        <f t="shared" si="163"/>
        <v>11452.434783913324</v>
      </c>
      <c r="N186" s="1454">
        <f>($N$147-$N$142)/($A$107-$A$102)+N185</f>
        <v>0.5</v>
      </c>
      <c r="O186" s="530">
        <f t="shared" si="138"/>
        <v>751.91700000000026</v>
      </c>
      <c r="P186" s="1210">
        <f t="shared" si="166"/>
        <v>12204.351783913324</v>
      </c>
      <c r="Q186" s="1364">
        <f t="shared" si="139"/>
        <v>56904.410103668357</v>
      </c>
      <c r="R186" s="1364">
        <f t="shared" si="164"/>
        <v>30897.320931574504</v>
      </c>
      <c r="S186" s="576">
        <f t="shared" si="140"/>
        <v>1.3739188481542006</v>
      </c>
      <c r="T186" s="135" t="str">
        <f t="shared" si="141"/>
        <v>No</v>
      </c>
      <c r="U186" s="1526">
        <f t="shared" si="142"/>
        <v>1</v>
      </c>
      <c r="V186" s="1494">
        <f t="shared" si="134"/>
        <v>66890.242071584362</v>
      </c>
      <c r="W186" s="1527">
        <f t="shared" si="135"/>
        <v>0.25160872219290298</v>
      </c>
      <c r="X186" s="527">
        <f t="shared" si="143"/>
        <v>34415.94874142437</v>
      </c>
      <c r="Y186" s="1509">
        <f t="shared" si="144"/>
        <v>17704.011594591699</v>
      </c>
      <c r="Z186" s="1531">
        <f t="shared" si="145"/>
        <v>2582.1853446322916</v>
      </c>
      <c r="AA186" s="1531">
        <f t="shared" si="146"/>
        <v>0</v>
      </c>
      <c r="AB186" s="1531">
        <f t="shared" si="147"/>
        <v>12188.096390936</v>
      </c>
      <c r="AC186" s="1531">
        <f t="shared" si="148"/>
        <v>66890.242071584362</v>
      </c>
      <c r="AD186" s="1005">
        <f t="shared" si="149"/>
        <v>8408.8595693305178</v>
      </c>
      <c r="AE186" s="1454">
        <f t="shared" si="150"/>
        <v>0.51451374184882204</v>
      </c>
      <c r="AF186" s="1504">
        <f t="shared" si="151"/>
        <v>0.264672559797964</v>
      </c>
      <c r="AG186" s="1504">
        <f t="shared" si="152"/>
        <v>3.8603318879738807E-2</v>
      </c>
      <c r="AH186" s="1504">
        <f t="shared" si="165"/>
        <v>0</v>
      </c>
      <c r="AI186" s="1504">
        <f t="shared" si="153"/>
        <v>0.18221037947347515</v>
      </c>
      <c r="AJ186" s="1504">
        <f t="shared" si="154"/>
        <v>1</v>
      </c>
      <c r="AK186" s="1555">
        <f t="shared" si="155"/>
        <v>34415.948741424363</v>
      </c>
      <c r="AL186" s="1556">
        <f t="shared" si="156"/>
        <v>0</v>
      </c>
      <c r="AM186" s="1556">
        <f t="shared" si="157"/>
        <v>0</v>
      </c>
      <c r="AN186" s="1556">
        <f t="shared" si="158"/>
        <v>34415.948741424363</v>
      </c>
      <c r="AO186" s="1543">
        <f t="shared" si="159"/>
        <v>0</v>
      </c>
    </row>
    <row r="187" spans="1:41">
      <c r="A187" s="873">
        <f>'Input data'!A127</f>
        <v>2027</v>
      </c>
      <c r="B187" s="1551">
        <f>'Input data'!B127</f>
        <v>64.191260356766122</v>
      </c>
      <c r="C187" s="1550">
        <f>'Input data'!C127</f>
        <v>3436.4344789089987</v>
      </c>
      <c r="D187" s="1511">
        <f>'Input data'!E127</f>
        <v>48564316.261510797</v>
      </c>
      <c r="E187" s="1508">
        <f>'Input data'!J127*C187</f>
        <v>41343.900009308287</v>
      </c>
      <c r="F187" s="1509">
        <f>'Input data'!L127</f>
        <v>89908.216270819074</v>
      </c>
      <c r="G187" s="1557">
        <f>G177*(1-E5)</f>
        <v>23953.89792166539</v>
      </c>
      <c r="H187" s="1509">
        <f t="shared" si="160"/>
        <v>45344.818680667093</v>
      </c>
      <c r="I187" s="1511">
        <f t="shared" si="136"/>
        <v>48564.316261510794</v>
      </c>
      <c r="J187" s="1454">
        <f t="shared" si="161"/>
        <v>0.32189563198349985</v>
      </c>
      <c r="K187" s="1512">
        <f t="shared" si="162"/>
        <v>12643.617432529132</v>
      </c>
      <c r="L187" s="1512">
        <f t="shared" si="137"/>
        <v>0</v>
      </c>
      <c r="M187" s="1511">
        <f t="shared" si="163"/>
        <v>12643.617432529132</v>
      </c>
      <c r="N187" s="1454">
        <f>$C$27</f>
        <v>0.5</v>
      </c>
      <c r="O187" s="530">
        <f t="shared" si="138"/>
        <v>751.91700000000026</v>
      </c>
      <c r="P187" s="1210">
        <f t="shared" si="166"/>
        <v>13395.534432529132</v>
      </c>
      <c r="Q187" s="1364">
        <f t="shared" si="139"/>
        <v>55903.182169803353</v>
      </c>
      <c r="R187" s="1364">
        <f t="shared" si="164"/>
        <v>31949.284248137963</v>
      </c>
      <c r="S187" s="576">
        <f t="shared" si="140"/>
        <v>1.3908222909983816</v>
      </c>
      <c r="T187" s="135" t="str">
        <f t="shared" si="141"/>
        <v>No</v>
      </c>
      <c r="U187" s="1526">
        <f t="shared" si="142"/>
        <v>1</v>
      </c>
      <c r="V187" s="1494">
        <f t="shared" si="134"/>
        <v>66936.709087680953</v>
      </c>
      <c r="W187" s="1527">
        <f t="shared" si="135"/>
        <v>0.25549953203324571</v>
      </c>
      <c r="X187" s="527">
        <f t="shared" si="143"/>
        <v>32931.674986665217</v>
      </c>
      <c r="Y187" s="1509">
        <f t="shared" si="144"/>
        <v>18943.383937802279</v>
      </c>
      <c r="Z187" s="1531">
        <f t="shared" si="145"/>
        <v>2620.2270434897314</v>
      </c>
      <c r="AA187" s="1531">
        <f t="shared" si="146"/>
        <v>0</v>
      </c>
      <c r="AB187" s="1531">
        <f t="shared" si="147"/>
        <v>12441.423119723731</v>
      </c>
      <c r="AC187" s="1531">
        <f t="shared" si="148"/>
        <v>66936.709087680953</v>
      </c>
      <c r="AD187" s="1005">
        <f t="shared" si="149"/>
        <v>8977.7770649998274</v>
      </c>
      <c r="AE187" s="1454">
        <f t="shared" si="150"/>
        <v>0.49198228349600726</v>
      </c>
      <c r="AF187" s="1504">
        <f t="shared" si="151"/>
        <v>0.28300441112197766</v>
      </c>
      <c r="AG187" s="1504">
        <f t="shared" si="152"/>
        <v>3.9144844125179115E-2</v>
      </c>
      <c r="AH187" s="1504">
        <f t="shared" si="165"/>
        <v>0</v>
      </c>
      <c r="AI187" s="1504">
        <f t="shared" si="153"/>
        <v>0.18586846125683604</v>
      </c>
      <c r="AJ187" s="1504">
        <f t="shared" si="154"/>
        <v>1</v>
      </c>
      <c r="AK187" s="1555">
        <f t="shared" si="155"/>
        <v>32931.674986665224</v>
      </c>
      <c r="AL187" s="1556">
        <f t="shared" si="156"/>
        <v>0</v>
      </c>
      <c r="AM187" s="1556">
        <f t="shared" si="157"/>
        <v>0</v>
      </c>
      <c r="AN187" s="1556">
        <f t="shared" si="158"/>
        <v>32931.674986665224</v>
      </c>
      <c r="AO187" s="1543">
        <f t="shared" si="159"/>
        <v>0</v>
      </c>
    </row>
    <row r="188" spans="1:41">
      <c r="A188" s="873">
        <f>'Input data'!A128</f>
        <v>2028</v>
      </c>
      <c r="B188" s="1551">
        <f>'Input data'!B128</f>
        <v>64.818788725428234</v>
      </c>
      <c r="C188" s="1550">
        <f>'Input data'!C128</f>
        <v>3485.2345926420976</v>
      </c>
      <c r="D188" s="1511">
        <f>'Input data'!E128</f>
        <v>48196370.991930716</v>
      </c>
      <c r="E188" s="1508">
        <f>'Input data'!J128*C188</f>
        <v>41931.01640422488</v>
      </c>
      <c r="F188" s="1509">
        <f>'Input data'!L128</f>
        <v>90127.387396155595</v>
      </c>
      <c r="G188" s="1557">
        <f>($G$152-$G$147)/($A$152-$A$147)+G187</f>
        <v>21900.706671236927</v>
      </c>
      <c r="H188" s="1509">
        <f t="shared" si="160"/>
        <v>47389.602428303828</v>
      </c>
      <c r="I188" s="1511">
        <f t="shared" si="136"/>
        <v>48196.370991930715</v>
      </c>
      <c r="J188" s="1454">
        <f t="shared" si="161"/>
        <v>0.34793042132233321</v>
      </c>
      <c r="K188" s="1512">
        <f t="shared" si="162"/>
        <v>13802.606022382932</v>
      </c>
      <c r="L188" s="1512">
        <f t="shared" si="137"/>
        <v>0</v>
      </c>
      <c r="M188" s="1511">
        <f t="shared" si="163"/>
        <v>13802.606022382932</v>
      </c>
      <c r="N188" s="1454">
        <f>N187</f>
        <v>0.5</v>
      </c>
      <c r="O188" s="530">
        <f t="shared" si="138"/>
        <v>751.91700000000026</v>
      </c>
      <c r="P188" s="1210">
        <f t="shared" si="166"/>
        <v>14554.523022382931</v>
      </c>
      <c r="Q188" s="1364">
        <f t="shared" si="139"/>
        <v>54735.786077157827</v>
      </c>
      <c r="R188" s="1364">
        <f t="shared" si="164"/>
        <v>32835.0794059209</v>
      </c>
      <c r="S188" s="576">
        <f t="shared" si="140"/>
        <v>1.4087230854927477</v>
      </c>
      <c r="T188" s="135" t="str">
        <f t="shared" si="141"/>
        <v>No</v>
      </c>
      <c r="U188" s="1526">
        <f t="shared" si="142"/>
        <v>1</v>
      </c>
      <c r="V188" s="1494">
        <f t="shared" si="134"/>
        <v>66818.988645498554</v>
      </c>
      <c r="W188" s="1527">
        <f t="shared" si="135"/>
        <v>0.25861615901728963</v>
      </c>
      <c r="X188" s="527">
        <f t="shared" si="143"/>
        <v>31427.387326500782</v>
      </c>
      <c r="Y188" s="1509">
        <f t="shared" si="144"/>
        <v>20126.74151796319</v>
      </c>
      <c r="Z188" s="1531">
        <f t="shared" si="145"/>
        <v>2646.7585380287851</v>
      </c>
      <c r="AA188" s="1531">
        <f t="shared" si="146"/>
        <v>0</v>
      </c>
      <c r="AB188" s="1531">
        <f t="shared" si="147"/>
        <v>12618.101263005801</v>
      </c>
      <c r="AC188" s="1531">
        <f t="shared" si="148"/>
        <v>66818.988645498554</v>
      </c>
      <c r="AD188" s="1005">
        <f t="shared" si="149"/>
        <v>9526.6806552638554</v>
      </c>
      <c r="AE188" s="1454">
        <f t="shared" si="150"/>
        <v>0.47033617185132259</v>
      </c>
      <c r="AF188" s="1504">
        <f t="shared" si="151"/>
        <v>0.30121290258886735</v>
      </c>
      <c r="AG188" s="1504">
        <f t="shared" si="152"/>
        <v>3.9610873969836584E-2</v>
      </c>
      <c r="AH188" s="1504">
        <f t="shared" si="165"/>
        <v>0</v>
      </c>
      <c r="AI188" s="1504">
        <f t="shared" si="153"/>
        <v>0.18884005158997352</v>
      </c>
      <c r="AJ188" s="1504">
        <f t="shared" si="154"/>
        <v>1</v>
      </c>
      <c r="AK188" s="1555">
        <f t="shared" si="155"/>
        <v>31427.387326500779</v>
      </c>
      <c r="AL188" s="1556">
        <f t="shared" si="156"/>
        <v>0</v>
      </c>
      <c r="AM188" s="1556">
        <f t="shared" si="157"/>
        <v>0</v>
      </c>
      <c r="AN188" s="1556">
        <f t="shared" si="158"/>
        <v>31427.387326500779</v>
      </c>
      <c r="AO188" s="1543">
        <f t="shared" si="159"/>
        <v>0</v>
      </c>
    </row>
    <row r="189" spans="1:41">
      <c r="A189" s="873">
        <f>'Input data'!A129</f>
        <v>2029</v>
      </c>
      <c r="B189" s="1551">
        <f>'Input data'!B129</f>
        <v>65.435442210930105</v>
      </c>
      <c r="C189" s="1550">
        <f>'Input data'!C129</f>
        <v>3537.8042151577115</v>
      </c>
      <c r="D189" s="1511">
        <f>'Input data'!E129</f>
        <v>46504880.945737489</v>
      </c>
      <c r="E189" s="1508">
        <f>'Input data'!J129*C189</f>
        <v>42563.483931294577</v>
      </c>
      <c r="F189" s="1509">
        <f>'Input data'!L129</f>
        <v>89068.364877032058</v>
      </c>
      <c r="G189" s="1557">
        <f t="shared" ref="G189:G191" si="168">($G$152-$G$147)/($A$152-$A$147)+G188</f>
        <v>19847.515420808464</v>
      </c>
      <c r="H189" s="1509">
        <f t="shared" si="160"/>
        <v>48218.325389775106</v>
      </c>
      <c r="I189" s="1511">
        <f t="shared" si="136"/>
        <v>46504.880945737488</v>
      </c>
      <c r="J189" s="1454">
        <f t="shared" si="161"/>
        <v>0.37396521066116656</v>
      </c>
      <c r="K189" s="1512">
        <f t="shared" si="162"/>
        <v>14528.937343797616</v>
      </c>
      <c r="L189" s="1512">
        <f t="shared" si="137"/>
        <v>0</v>
      </c>
      <c r="M189" s="1511">
        <f t="shared" si="163"/>
        <v>14528.937343797616</v>
      </c>
      <c r="N189" s="1454">
        <f t="shared" ref="N189:N210" si="169">N188</f>
        <v>0.5</v>
      </c>
      <c r="O189" s="530">
        <f t="shared" si="138"/>
        <v>751.91700000000026</v>
      </c>
      <c r="P189" s="1210">
        <f t="shared" si="166"/>
        <v>15280.854343797615</v>
      </c>
      <c r="Q189" s="1364">
        <f t="shared" si="139"/>
        <v>52784.986466785951</v>
      </c>
      <c r="R189" s="1364">
        <f t="shared" si="164"/>
        <v>32937.471045977487</v>
      </c>
      <c r="S189" s="576">
        <f t="shared" si="140"/>
        <v>1.391450946470024</v>
      </c>
      <c r="T189" s="135" t="str">
        <f t="shared" si="141"/>
        <v>No</v>
      </c>
      <c r="U189" s="1526">
        <f t="shared" si="142"/>
        <v>1</v>
      </c>
      <c r="V189" s="1494">
        <f t="shared" si="134"/>
        <v>65397.05175633842</v>
      </c>
      <c r="W189" s="1527">
        <f t="shared" si="135"/>
        <v>0.26576566386252065</v>
      </c>
      <c r="X189" s="527">
        <f t="shared" si="143"/>
        <v>29113.673346092295</v>
      </c>
      <c r="Y189" s="1509">
        <f t="shared" si="144"/>
        <v>20799.612276119413</v>
      </c>
      <c r="Z189" s="1531">
        <f t="shared" si="145"/>
        <v>2675.3394274160801</v>
      </c>
      <c r="AA189" s="1531">
        <f t="shared" si="146"/>
        <v>0</v>
      </c>
      <c r="AB189" s="1531">
        <f t="shared" si="147"/>
        <v>12808.426706710623</v>
      </c>
      <c r="AC189" s="1531">
        <f t="shared" si="148"/>
        <v>65397.05175633842</v>
      </c>
      <c r="AD189" s="1005">
        <f t="shared" si="149"/>
        <v>9266.157925283831</v>
      </c>
      <c r="AE189" s="1454">
        <f t="shared" si="150"/>
        <v>0.44518326995177632</v>
      </c>
      <c r="AF189" s="1504">
        <f t="shared" si="151"/>
        <v>0.31805122276178865</v>
      </c>
      <c r="AG189" s="1504">
        <f t="shared" si="152"/>
        <v>4.0909174887333977E-2</v>
      </c>
      <c r="AH189" s="1504">
        <f t="shared" si="165"/>
        <v>0</v>
      </c>
      <c r="AI189" s="1504">
        <f t="shared" si="153"/>
        <v>0.19585633239910091</v>
      </c>
      <c r="AJ189" s="1504">
        <f t="shared" si="154"/>
        <v>1</v>
      </c>
      <c r="AK189" s="1555">
        <f t="shared" si="155"/>
        <v>29113.673346092299</v>
      </c>
      <c r="AL189" s="1556">
        <f t="shared" si="156"/>
        <v>0</v>
      </c>
      <c r="AM189" s="1556">
        <f t="shared" si="157"/>
        <v>0</v>
      </c>
      <c r="AN189" s="1556">
        <f t="shared" si="158"/>
        <v>29113.673346092299</v>
      </c>
      <c r="AO189" s="1543">
        <f t="shared" si="159"/>
        <v>0</v>
      </c>
    </row>
    <row r="190" spans="1:41">
      <c r="A190" s="873">
        <f>'Input data'!A130</f>
        <v>2030</v>
      </c>
      <c r="B190" s="1551">
        <f>'Input data'!B130</f>
        <v>66.040790860694059</v>
      </c>
      <c r="C190" s="1550">
        <f>'Input data'!C130</f>
        <v>3601.1809165553482</v>
      </c>
      <c r="D190" s="1511">
        <f>'Input data'!E130</f>
        <v>44627656.242225982</v>
      </c>
      <c r="E190" s="1508">
        <f>'Input data'!J130*C190</f>
        <v>43325.971917486459</v>
      </c>
      <c r="F190" s="1509">
        <f>'Input data'!L130</f>
        <v>87953.628159712447</v>
      </c>
      <c r="G190" s="1557">
        <f t="shared" si="168"/>
        <v>17794.324170380001</v>
      </c>
      <c r="H190" s="1509">
        <f t="shared" si="160"/>
        <v>48947.351907220887</v>
      </c>
      <c r="I190" s="1511">
        <f t="shared" si="136"/>
        <v>44627.656242225981</v>
      </c>
      <c r="J190" s="1504">
        <f>$H$19</f>
        <v>0.4</v>
      </c>
      <c r="K190" s="1512">
        <f t="shared" si="162"/>
        <v>15104.331176378935</v>
      </c>
      <c r="L190" s="1512">
        <f t="shared" si="137"/>
        <v>0</v>
      </c>
      <c r="M190" s="1511">
        <f t="shared" si="163"/>
        <v>15104.331176378935</v>
      </c>
      <c r="N190" s="1454">
        <f t="shared" si="169"/>
        <v>0.5</v>
      </c>
      <c r="O190" s="530">
        <f t="shared" si="138"/>
        <v>751.91700000000026</v>
      </c>
      <c r="P190" s="1210">
        <f t="shared" si="166"/>
        <v>15856.248176378935</v>
      </c>
      <c r="Q190" s="1364">
        <f t="shared" si="139"/>
        <v>50885.427901221956</v>
      </c>
      <c r="R190" s="1364">
        <f t="shared" si="164"/>
        <v>33091.103730841955</v>
      </c>
      <c r="S190" s="576">
        <f t="shared" si="140"/>
        <v>1.3725717103065513</v>
      </c>
      <c r="T190" s="135" t="str">
        <f t="shared" si="141"/>
        <v>No</v>
      </c>
      <c r="U190" s="1526">
        <f t="shared" si="142"/>
        <v>1</v>
      </c>
      <c r="V190" s="1494">
        <f t="shared" si="134"/>
        <v>63844.794003826071</v>
      </c>
      <c r="W190" s="1527">
        <f t="shared" si="135"/>
        <v>0.27410846670370259</v>
      </c>
      <c r="X190" s="527">
        <f t="shared" si="143"/>
        <v>26776.593745335587</v>
      </c>
      <c r="Y190" s="1509">
        <f t="shared" si="144"/>
        <v>21320.525793990855</v>
      </c>
      <c r="Z190" s="1531">
        <f t="shared" si="145"/>
        <v>2709.795875944686</v>
      </c>
      <c r="AA190" s="1531">
        <f t="shared" si="146"/>
        <v>0</v>
      </c>
      <c r="AB190" s="1531">
        <f t="shared" si="147"/>
        <v>13037.878588554946</v>
      </c>
      <c r="AC190" s="1531">
        <f t="shared" si="148"/>
        <v>63844.794003826071</v>
      </c>
      <c r="AD190" s="1005">
        <f t="shared" si="149"/>
        <v>8982.269574955586</v>
      </c>
      <c r="AE190" s="1454">
        <f t="shared" si="150"/>
        <v>0.41940136487449436</v>
      </c>
      <c r="AF190" s="1504">
        <f t="shared" si="151"/>
        <v>0.33394305873573915</v>
      </c>
      <c r="AG190" s="1504">
        <f t="shared" si="152"/>
        <v>4.2443490001429003E-2</v>
      </c>
      <c r="AH190" s="1504">
        <f t="shared" si="165"/>
        <v>0</v>
      </c>
      <c r="AI190" s="1504">
        <f t="shared" si="153"/>
        <v>0.20421208638833757</v>
      </c>
      <c r="AJ190" s="1504">
        <f t="shared" si="154"/>
        <v>1.0000000000000002</v>
      </c>
      <c r="AK190" s="1555">
        <f t="shared" si="155"/>
        <v>26776.593745335584</v>
      </c>
      <c r="AL190" s="1556">
        <f t="shared" si="156"/>
        <v>0</v>
      </c>
      <c r="AM190" s="1556">
        <f t="shared" si="157"/>
        <v>0</v>
      </c>
      <c r="AN190" s="1556">
        <f t="shared" si="158"/>
        <v>26776.593745335584</v>
      </c>
      <c r="AO190" s="1543">
        <f t="shared" si="159"/>
        <v>0</v>
      </c>
    </row>
    <row r="191" spans="1:41">
      <c r="A191" s="873">
        <f>'Input data'!A131</f>
        <v>2031</v>
      </c>
      <c r="B191" s="1551">
        <f>'Input data'!B131</f>
        <v>66.6344094187031</v>
      </c>
      <c r="C191" s="1550">
        <f>'Input data'!C131</f>
        <v>3689.3743282354972</v>
      </c>
      <c r="D191" s="1511">
        <f>'Input data'!E131</f>
        <v>43830165.240535274</v>
      </c>
      <c r="E191" s="1508">
        <f>'Input data'!J131*C191</f>
        <v>44387.030877394653</v>
      </c>
      <c r="F191" s="1509">
        <f>'Input data'!L131</f>
        <v>88217.196117929925</v>
      </c>
      <c r="G191" s="1557">
        <f t="shared" si="168"/>
        <v>15741.132919951538</v>
      </c>
      <c r="H191" s="1509">
        <f t="shared" si="160"/>
        <v>50860.979109321393</v>
      </c>
      <c r="I191" s="1511">
        <f t="shared" si="136"/>
        <v>43830.165240535272</v>
      </c>
      <c r="J191" s="1504">
        <f>J190</f>
        <v>0.4</v>
      </c>
      <c r="K191" s="1512">
        <f t="shared" si="162"/>
        <v>14834.418543406706</v>
      </c>
      <c r="L191" s="1512">
        <f t="shared" si="137"/>
        <v>0</v>
      </c>
      <c r="M191" s="1511">
        <f t="shared" si="163"/>
        <v>14834.418543406706</v>
      </c>
      <c r="N191" s="1454">
        <f t="shared" si="169"/>
        <v>0.5</v>
      </c>
      <c r="O191" s="530">
        <f t="shared" si="138"/>
        <v>751.91700000000026</v>
      </c>
      <c r="P191" s="1210">
        <f t="shared" si="166"/>
        <v>15586.335543406705</v>
      </c>
      <c r="Q191" s="1364">
        <f t="shared" si="139"/>
        <v>51015.776485866227</v>
      </c>
      <c r="R191" s="1364">
        <f t="shared" si="164"/>
        <v>35274.643565914688</v>
      </c>
      <c r="S191" s="576">
        <f t="shared" si="140"/>
        <v>1.4271018703940135</v>
      </c>
      <c r="T191" s="135" t="str">
        <f t="shared" si="141"/>
        <v>No</v>
      </c>
      <c r="U191" s="1526">
        <f t="shared" si="142"/>
        <v>1</v>
      </c>
      <c r="V191" s="1494">
        <f t="shared" si="134"/>
        <v>63499.518776384873</v>
      </c>
      <c r="W191" s="1527">
        <f t="shared" si="135"/>
        <v>0.28019114672951217</v>
      </c>
      <c r="X191" s="527">
        <f t="shared" si="143"/>
        <v>26298.099144321164</v>
      </c>
      <c r="Y191" s="1509">
        <f t="shared" si="144"/>
        <v>21086.497022534106</v>
      </c>
      <c r="Z191" s="1531">
        <f t="shared" si="145"/>
        <v>2757.7445965802553</v>
      </c>
      <c r="AA191" s="1531">
        <f t="shared" si="146"/>
        <v>0</v>
      </c>
      <c r="AB191" s="1531">
        <f t="shared" si="147"/>
        <v>13357.178012949347</v>
      </c>
      <c r="AC191" s="1531">
        <f t="shared" si="148"/>
        <v>63499.518776384873</v>
      </c>
      <c r="AD191" s="1005">
        <f t="shared" si="149"/>
        <v>10556.966224369626</v>
      </c>
      <c r="AE191" s="1454">
        <f t="shared" si="150"/>
        <v>0.41414643214747138</v>
      </c>
      <c r="AF191" s="1504">
        <f t="shared" si="151"/>
        <v>0.33207333581205123</v>
      </c>
      <c r="AG191" s="1504">
        <f t="shared" si="152"/>
        <v>4.3429377886968268E-2</v>
      </c>
      <c r="AH191" s="1504">
        <f t="shared" si="165"/>
        <v>0</v>
      </c>
      <c r="AI191" s="1504">
        <f t="shared" si="153"/>
        <v>0.2103508541535091</v>
      </c>
      <c r="AJ191" s="1504">
        <f t="shared" si="154"/>
        <v>1</v>
      </c>
      <c r="AK191" s="1555">
        <f t="shared" si="155"/>
        <v>26298.099144321168</v>
      </c>
      <c r="AL191" s="1556">
        <f t="shared" si="156"/>
        <v>0</v>
      </c>
      <c r="AM191" s="1556">
        <f t="shared" si="157"/>
        <v>0</v>
      </c>
      <c r="AN191" s="1556">
        <f t="shared" si="158"/>
        <v>26298.099144321168</v>
      </c>
      <c r="AO191" s="1543">
        <f t="shared" si="159"/>
        <v>0</v>
      </c>
    </row>
    <row r="192" spans="1:41">
      <c r="A192" s="873">
        <f>'Input data'!A132</f>
        <v>2032</v>
      </c>
      <c r="B192" s="1551">
        <f>'Input data'!B132</f>
        <v>67.215877817791679</v>
      </c>
      <c r="C192" s="1550">
        <f>'Input data'!C132</f>
        <v>3770.9504220066083</v>
      </c>
      <c r="D192" s="1511">
        <f>'Input data'!E132</f>
        <v>42600148.259036541</v>
      </c>
      <c r="E192" s="1508">
        <f>'Input data'!J132*C192</f>
        <v>45368.476583612086</v>
      </c>
      <c r="F192" s="1509">
        <f>'Input data'!L132</f>
        <v>87968.624842648627</v>
      </c>
      <c r="G192" s="1557">
        <f>G177*(1-E6)</f>
        <v>13687.941669523079</v>
      </c>
      <c r="H192" s="1509">
        <f t="shared" si="160"/>
        <v>52323.018675761326</v>
      </c>
      <c r="I192" s="1511">
        <f t="shared" si="136"/>
        <v>42600.148259036541</v>
      </c>
      <c r="J192" s="1504">
        <f t="shared" ref="J192:J210" si="170">J191</f>
        <v>0.4</v>
      </c>
      <c r="K192" s="1512">
        <f t="shared" si="162"/>
        <v>14418.116514452113</v>
      </c>
      <c r="L192" s="1512">
        <f t="shared" si="137"/>
        <v>0</v>
      </c>
      <c r="M192" s="1511">
        <f t="shared" si="163"/>
        <v>14418.116514452113</v>
      </c>
      <c r="N192" s="1454">
        <f t="shared" si="169"/>
        <v>0.5</v>
      </c>
      <c r="O192" s="530">
        <f t="shared" si="138"/>
        <v>751.91700000000026</v>
      </c>
      <c r="P192" s="1210">
        <f t="shared" si="166"/>
        <v>15170.033514452112</v>
      </c>
      <c r="Q192" s="1364">
        <f t="shared" si="139"/>
        <v>50840.926830832293</v>
      </c>
      <c r="R192" s="1364">
        <f t="shared" si="164"/>
        <v>37152.985161309218</v>
      </c>
      <c r="S192" s="576">
        <f t="shared" si="140"/>
        <v>1.4696105146675695</v>
      </c>
      <c r="T192" s="135" t="str">
        <f t="shared" si="141"/>
        <v>No</v>
      </c>
      <c r="U192" s="1526">
        <f t="shared" si="142"/>
        <v>1</v>
      </c>
      <c r="V192" s="1494">
        <f t="shared" si="134"/>
        <v>62687.78696723828</v>
      </c>
      <c r="W192" s="1527">
        <f t="shared" si="135"/>
        <v>0.28738471154494827</v>
      </c>
      <c r="X192" s="527">
        <f t="shared" si="143"/>
        <v>25560.088955421925</v>
      </c>
      <c r="Y192" s="1509">
        <f t="shared" si="144"/>
        <v>20673.082577783225</v>
      </c>
      <c r="Z192" s="1531">
        <f t="shared" si="145"/>
        <v>2802.0956343307598</v>
      </c>
      <c r="AA192" s="1531">
        <f t="shared" si="146"/>
        <v>0</v>
      </c>
      <c r="AB192" s="1531">
        <f t="shared" si="147"/>
        <v>13652.519799702362</v>
      </c>
      <c r="AC192" s="1531">
        <f t="shared" si="148"/>
        <v>62687.78696723828</v>
      </c>
      <c r="AD192" s="1005">
        <f t="shared" si="149"/>
        <v>11872.147285898845</v>
      </c>
      <c r="AE192" s="1454">
        <f t="shared" si="150"/>
        <v>0.40773634214875171</v>
      </c>
      <c r="AF192" s="1504">
        <f t="shared" si="151"/>
        <v>0.32977847165967644</v>
      </c>
      <c r="AG192" s="1504">
        <f t="shared" si="152"/>
        <v>4.4699227232174961E-2</v>
      </c>
      <c r="AH192" s="1504">
        <f t="shared" si="165"/>
        <v>0</v>
      </c>
      <c r="AI192" s="1504">
        <f t="shared" si="153"/>
        <v>0.21778595895939676</v>
      </c>
      <c r="AJ192" s="1504">
        <f t="shared" si="154"/>
        <v>1</v>
      </c>
      <c r="AK192" s="1555">
        <f t="shared" si="155"/>
        <v>25560.088955421925</v>
      </c>
      <c r="AL192" s="1556">
        <f t="shared" si="156"/>
        <v>0</v>
      </c>
      <c r="AM192" s="1556">
        <f t="shared" si="157"/>
        <v>0</v>
      </c>
      <c r="AN192" s="1556">
        <f t="shared" si="158"/>
        <v>25560.088955421925</v>
      </c>
      <c r="AO192" s="1543">
        <f t="shared" si="159"/>
        <v>0</v>
      </c>
    </row>
    <row r="193" spans="1:41">
      <c r="A193" s="873">
        <f>'Input data'!A133</f>
        <v>2033</v>
      </c>
      <c r="B193" s="1551">
        <f>'Input data'!B133</f>
        <v>67.784781669940756</v>
      </c>
      <c r="C193" s="1550">
        <f>'Input data'!C133</f>
        <v>3867.5085984126213</v>
      </c>
      <c r="D193" s="1511">
        <f>'Input data'!E133</f>
        <v>41720520.537816472</v>
      </c>
      <c r="E193" s="1508">
        <f>'Input data'!J133*C193</f>
        <v>46530.172409594707</v>
      </c>
      <c r="F193" s="1509">
        <f>'Input data'!L133</f>
        <v>88250.692947411182</v>
      </c>
      <c r="G193" s="1557">
        <f>G192</f>
        <v>13687.941669523079</v>
      </c>
      <c r="H193" s="1509">
        <f t="shared" si="160"/>
        <v>52164.119387508428</v>
      </c>
      <c r="I193" s="1511">
        <f t="shared" si="136"/>
        <v>41720.520537816476</v>
      </c>
      <c r="J193" s="1504">
        <f t="shared" si="170"/>
        <v>0.4</v>
      </c>
      <c r="K193" s="1512">
        <f t="shared" si="162"/>
        <v>14120.4045230108</v>
      </c>
      <c r="L193" s="1512">
        <f t="shared" si="137"/>
        <v>0</v>
      </c>
      <c r="M193" s="1511">
        <f t="shared" si="163"/>
        <v>14120.4045230108</v>
      </c>
      <c r="N193" s="1454">
        <f t="shared" si="169"/>
        <v>0.5</v>
      </c>
      <c r="O193" s="530">
        <f t="shared" si="138"/>
        <v>751.91700000000026</v>
      </c>
      <c r="P193" s="1210">
        <f t="shared" si="166"/>
        <v>14872.3215230108</v>
      </c>
      <c r="Q193" s="1364">
        <f t="shared" si="139"/>
        <v>50979.7395340207</v>
      </c>
      <c r="R193" s="1364">
        <f t="shared" si="164"/>
        <v>37291.797864497625</v>
      </c>
      <c r="S193" s="576">
        <f t="shared" si="140"/>
        <v>1.4372059919764573</v>
      </c>
      <c r="T193" s="135" t="str">
        <f t="shared" si="141"/>
        <v>No</v>
      </c>
      <c r="U193" s="1526">
        <f t="shared" si="142"/>
        <v>1</v>
      </c>
      <c r="V193" s="1494">
        <f t="shared" si="134"/>
        <v>62303.265736080364</v>
      </c>
      <c r="W193" s="1527">
        <f t="shared" si="135"/>
        <v>0.29401952941936627</v>
      </c>
      <c r="X193" s="527">
        <f t="shared" si="143"/>
        <v>25032.312322689886</v>
      </c>
      <c r="Y193" s="1509">
        <f t="shared" si="144"/>
        <v>20414.257931686781</v>
      </c>
      <c r="Z193" s="1531">
        <f t="shared" si="145"/>
        <v>2854.5920843191443</v>
      </c>
      <c r="AA193" s="1531">
        <f t="shared" si="146"/>
        <v>0</v>
      </c>
      <c r="AB193" s="1531">
        <f t="shared" si="147"/>
        <v>14002.103397384553</v>
      </c>
      <c r="AC193" s="1531">
        <f t="shared" si="148"/>
        <v>62303.265736080364</v>
      </c>
      <c r="AD193" s="1005">
        <f t="shared" si="149"/>
        <v>11344.370653166807</v>
      </c>
      <c r="AE193" s="1454">
        <f t="shared" si="150"/>
        <v>0.40178170481027381</v>
      </c>
      <c r="AF193" s="1504">
        <f t="shared" si="151"/>
        <v>0.32765951656792058</v>
      </c>
      <c r="AG193" s="1504">
        <f t="shared" si="152"/>
        <v>4.5817695920007367E-2</v>
      </c>
      <c r="AH193" s="1504">
        <f t="shared" si="165"/>
        <v>0</v>
      </c>
      <c r="AI193" s="1504">
        <f t="shared" si="153"/>
        <v>0.22474108270179829</v>
      </c>
      <c r="AJ193" s="1504">
        <f t="shared" si="154"/>
        <v>1.0000000000000002</v>
      </c>
      <c r="AK193" s="1555">
        <f t="shared" si="155"/>
        <v>25032.312322689882</v>
      </c>
      <c r="AL193" s="1556">
        <f t="shared" si="156"/>
        <v>0</v>
      </c>
      <c r="AM193" s="1556">
        <f t="shared" si="157"/>
        <v>0</v>
      </c>
      <c r="AN193" s="1556">
        <f t="shared" si="158"/>
        <v>25032.312322689882</v>
      </c>
      <c r="AO193" s="1543">
        <f t="shared" si="159"/>
        <v>0</v>
      </c>
    </row>
    <row r="194" spans="1:41">
      <c r="A194" s="873">
        <f>'Input data'!A134</f>
        <v>2034</v>
      </c>
      <c r="B194" s="1551">
        <f>'Input data'!B134</f>
        <v>68.342055626742408</v>
      </c>
      <c r="C194" s="1550">
        <f>'Input data'!C134</f>
        <v>3988.7128287659275</v>
      </c>
      <c r="D194" s="1511">
        <f>'Input data'!E134</f>
        <v>41169489.630995624</v>
      </c>
      <c r="E194" s="1508">
        <f>'Input data'!J134*C194</f>
        <v>47988.386035138115</v>
      </c>
      <c r="F194" s="1509">
        <f>'Input data'!L134</f>
        <v>89157.875666133739</v>
      </c>
      <c r="G194" s="1557">
        <f t="shared" ref="G194:G210" si="171">G193</f>
        <v>13687.941669523079</v>
      </c>
      <c r="H194" s="1509">
        <f t="shared" si="160"/>
        <v>52483.736547336375</v>
      </c>
      <c r="I194" s="1511">
        <f t="shared" si="136"/>
        <v>41169.489630995624</v>
      </c>
      <c r="J194" s="1504">
        <f t="shared" si="170"/>
        <v>0.4</v>
      </c>
      <c r="K194" s="1512">
        <f t="shared" si="162"/>
        <v>13933.906866493327</v>
      </c>
      <c r="L194" s="1512">
        <f t="shared" si="137"/>
        <v>0</v>
      </c>
      <c r="M194" s="1511">
        <f t="shared" si="163"/>
        <v>13933.906866493327</v>
      </c>
      <c r="N194" s="1454">
        <f t="shared" si="169"/>
        <v>0.5</v>
      </c>
      <c r="O194" s="530">
        <f t="shared" si="138"/>
        <v>751.91700000000026</v>
      </c>
      <c r="P194" s="1210">
        <f t="shared" si="166"/>
        <v>14685.823866493327</v>
      </c>
      <c r="Q194" s="1364">
        <f t="shared" si="139"/>
        <v>51485.85435036612</v>
      </c>
      <c r="R194" s="1364">
        <f t="shared" si="164"/>
        <v>37797.912680843045</v>
      </c>
      <c r="S194" s="576">
        <f t="shared" si="140"/>
        <v>1.4112039307546229</v>
      </c>
      <c r="T194" s="135" t="str">
        <f t="shared" si="141"/>
        <v>No</v>
      </c>
      <c r="U194" s="1526">
        <f t="shared" si="142"/>
        <v>1</v>
      </c>
      <c r="V194" s="1494">
        <f t="shared" si="134"/>
        <v>62373.715094365005</v>
      </c>
      <c r="W194" s="1527">
        <f t="shared" si="135"/>
        <v>0.3004127271051904</v>
      </c>
      <c r="X194" s="527">
        <f t="shared" si="143"/>
        <v>24701.693778597375</v>
      </c>
      <c r="Y194" s="1509">
        <f t="shared" si="144"/>
        <v>20310.616605573381</v>
      </c>
      <c r="Z194" s="1531">
        <f t="shared" si="145"/>
        <v>2920.4880245072482</v>
      </c>
      <c r="AA194" s="1531">
        <f t="shared" si="146"/>
        <v>0</v>
      </c>
      <c r="AB194" s="1531">
        <f t="shared" si="147"/>
        <v>14440.916685686996</v>
      </c>
      <c r="AC194" s="1531">
        <f t="shared" si="148"/>
        <v>62373.715094365005</v>
      </c>
      <c r="AD194" s="1005">
        <f t="shared" si="149"/>
        <v>11013.752109074296</v>
      </c>
      <c r="AE194" s="1454">
        <f t="shared" si="150"/>
        <v>0.39602729677439058</v>
      </c>
      <c r="AF194" s="1504">
        <f t="shared" si="151"/>
        <v>0.32562781573689353</v>
      </c>
      <c r="AG194" s="1504">
        <f t="shared" si="152"/>
        <v>4.6822415821934776E-2</v>
      </c>
      <c r="AH194" s="1504">
        <f t="shared" si="165"/>
        <v>0</v>
      </c>
      <c r="AI194" s="1504">
        <f t="shared" si="153"/>
        <v>0.23152247166678105</v>
      </c>
      <c r="AJ194" s="1504">
        <f t="shared" si="154"/>
        <v>1</v>
      </c>
      <c r="AK194" s="1555">
        <f t="shared" si="155"/>
        <v>24701.693778597371</v>
      </c>
      <c r="AL194" s="1556">
        <f t="shared" si="156"/>
        <v>0</v>
      </c>
      <c r="AM194" s="1556">
        <f t="shared" si="157"/>
        <v>0</v>
      </c>
      <c r="AN194" s="1556">
        <f t="shared" si="158"/>
        <v>24701.693778597371</v>
      </c>
      <c r="AO194" s="1543">
        <f t="shared" si="159"/>
        <v>0</v>
      </c>
    </row>
    <row r="195" spans="1:41">
      <c r="A195" s="873">
        <f>'Input data'!A135</f>
        <v>2035</v>
      </c>
      <c r="B195" s="1551">
        <f>'Input data'!B135</f>
        <v>68.88733085860035</v>
      </c>
      <c r="C195" s="1550">
        <f>'Input data'!C135</f>
        <v>4088.0370257470286</v>
      </c>
      <c r="D195" s="1511">
        <f>'Input data'!E135</f>
        <v>33008995.481321324</v>
      </c>
      <c r="E195" s="1508">
        <f>'Input data'!J135*C195</f>
        <v>49183.359980864327</v>
      </c>
      <c r="F195" s="1509">
        <f>'Input data'!L135</f>
        <v>82192.35546218566</v>
      </c>
      <c r="G195" s="1557">
        <f t="shared" si="171"/>
        <v>13687.941669523079</v>
      </c>
      <c r="H195" s="1509">
        <f t="shared" si="160"/>
        <v>45511.186916354491</v>
      </c>
      <c r="I195" s="1511">
        <f t="shared" si="136"/>
        <v>33008.995481321326</v>
      </c>
      <c r="J195" s="1504">
        <f t="shared" si="170"/>
        <v>0.4</v>
      </c>
      <c r="K195" s="1512">
        <f t="shared" si="162"/>
        <v>11171.969167355144</v>
      </c>
      <c r="L195" s="1512">
        <f t="shared" si="137"/>
        <v>0</v>
      </c>
      <c r="M195" s="1511">
        <f t="shared" si="163"/>
        <v>11171.969167355144</v>
      </c>
      <c r="N195" s="1454">
        <f t="shared" si="169"/>
        <v>0.5</v>
      </c>
      <c r="O195" s="530">
        <f t="shared" si="138"/>
        <v>751.91700000000026</v>
      </c>
      <c r="P195" s="1210">
        <f t="shared" si="166"/>
        <v>11923.886167355144</v>
      </c>
      <c r="Q195" s="1364">
        <f t="shared" si="139"/>
        <v>47275.242418522423</v>
      </c>
      <c r="R195" s="1364">
        <f t="shared" si="164"/>
        <v>33587.300748999347</v>
      </c>
      <c r="S195" s="576">
        <f t="shared" si="140"/>
        <v>1.222697128082787</v>
      </c>
      <c r="T195" s="135" t="str">
        <f t="shared" si="141"/>
        <v>No</v>
      </c>
      <c r="U195" s="1526">
        <f t="shared" si="142"/>
        <v>1</v>
      </c>
      <c r="V195" s="1494">
        <f t="shared" si="134"/>
        <v>54722.51033245604</v>
      </c>
      <c r="W195" s="1527">
        <f t="shared" si="135"/>
        <v>0.3342141124349175</v>
      </c>
      <c r="X195" s="527">
        <f t="shared" si="143"/>
        <v>19805.397288792796</v>
      </c>
      <c r="Y195" s="1509">
        <f t="shared" si="144"/>
        <v>17142.110238067151</v>
      </c>
      <c r="Z195" s="1531">
        <f t="shared" si="145"/>
        <v>2974.4882959863826</v>
      </c>
      <c r="AA195" s="1531">
        <f t="shared" si="146"/>
        <v>0</v>
      </c>
      <c r="AB195" s="1531">
        <f t="shared" si="147"/>
        <v>14800.514509609711</v>
      </c>
      <c r="AC195" s="1531">
        <f t="shared" si="148"/>
        <v>54722.51033245604</v>
      </c>
      <c r="AD195" s="1005">
        <f t="shared" si="149"/>
        <v>6117.4556192697164</v>
      </c>
      <c r="AE195" s="1454">
        <f t="shared" si="150"/>
        <v>0.36192413631006565</v>
      </c>
      <c r="AF195" s="1504">
        <f t="shared" si="151"/>
        <v>0.31325518756218551</v>
      </c>
      <c r="AG195" s="1504">
        <f t="shared" si="152"/>
        <v>5.4355845115939556E-2</v>
      </c>
      <c r="AH195" s="1504">
        <f t="shared" si="165"/>
        <v>0</v>
      </c>
      <c r="AI195" s="1504">
        <f t="shared" si="153"/>
        <v>0.27046483101180929</v>
      </c>
      <c r="AJ195" s="1504">
        <f t="shared" si="154"/>
        <v>1</v>
      </c>
      <c r="AK195" s="1555">
        <f t="shared" si="155"/>
        <v>19805.397288792796</v>
      </c>
      <c r="AL195" s="1556">
        <f t="shared" si="156"/>
        <v>0</v>
      </c>
      <c r="AM195" s="1556">
        <f t="shared" si="157"/>
        <v>0</v>
      </c>
      <c r="AN195" s="1556">
        <f t="shared" si="158"/>
        <v>19805.397288792796</v>
      </c>
      <c r="AO195" s="1543">
        <f t="shared" si="159"/>
        <v>0</v>
      </c>
    </row>
    <row r="196" spans="1:41">
      <c r="A196" s="873">
        <f>'Input data'!A136</f>
        <v>2036</v>
      </c>
      <c r="B196" s="1551">
        <f>'Input data'!B136</f>
        <v>69.420244147098416</v>
      </c>
      <c r="C196" s="1550">
        <f>'Input data'!C136</f>
        <v>4188.173572206083</v>
      </c>
      <c r="D196" s="1511">
        <f>'Input data'!E136</f>
        <v>23988684.664399058</v>
      </c>
      <c r="E196" s="1508">
        <f>'Input data'!J136*C196</f>
        <v>50388.107340224713</v>
      </c>
      <c r="F196" s="1509">
        <f>'Input data'!L136</f>
        <v>74376.79200462377</v>
      </c>
      <c r="G196" s="1557">
        <f t="shared" si="171"/>
        <v>13687.941669523079</v>
      </c>
      <c r="H196" s="1509">
        <f t="shared" si="160"/>
        <v>37737.348443927622</v>
      </c>
      <c r="I196" s="1511">
        <f t="shared" si="136"/>
        <v>23988.684664399058</v>
      </c>
      <c r="J196" s="1504">
        <f t="shared" si="170"/>
        <v>0.4</v>
      </c>
      <c r="K196" s="1512">
        <f t="shared" si="162"/>
        <v>8119.0245727933179</v>
      </c>
      <c r="L196" s="1512">
        <f t="shared" si="137"/>
        <v>0</v>
      </c>
      <c r="M196" s="1511">
        <f t="shared" si="163"/>
        <v>8119.0245727933179</v>
      </c>
      <c r="N196" s="1454">
        <f t="shared" si="169"/>
        <v>0.5</v>
      </c>
      <c r="O196" s="530">
        <f t="shared" si="138"/>
        <v>751.91700000000026</v>
      </c>
      <c r="P196" s="1210">
        <f t="shared" si="166"/>
        <v>8870.9415727933174</v>
      </c>
      <c r="Q196" s="1364">
        <f t="shared" si="139"/>
        <v>42554.348540657382</v>
      </c>
      <c r="R196" s="1364">
        <f t="shared" si="164"/>
        <v>28866.406871134302</v>
      </c>
      <c r="S196" s="576">
        <f t="shared" si="140"/>
        <v>1.0250440566562782</v>
      </c>
      <c r="T196" s="135" t="str">
        <f t="shared" si="141"/>
        <v>No</v>
      </c>
      <c r="U196" s="1526">
        <f t="shared" si="142"/>
        <v>1</v>
      </c>
      <c r="V196" s="1494">
        <f t="shared" si="134"/>
        <v>46215.654262605836</v>
      </c>
      <c r="W196" s="1527">
        <f t="shared" si="135"/>
        <v>0.37862802337948709</v>
      </c>
      <c r="X196" s="527">
        <f t="shared" si="143"/>
        <v>14393.210798639435</v>
      </c>
      <c r="Y196" s="1509">
        <f t="shared" si="144"/>
        <v>13630.459840458792</v>
      </c>
      <c r="Z196" s="1531">
        <f t="shared" si="145"/>
        <v>3028.9302231111574</v>
      </c>
      <c r="AA196" s="1531">
        <f t="shared" si="146"/>
        <v>0</v>
      </c>
      <c r="AB196" s="1531">
        <f t="shared" si="147"/>
        <v>15163.053400396448</v>
      </c>
      <c r="AC196" s="1531">
        <f t="shared" si="148"/>
        <v>46215.654262605836</v>
      </c>
      <c r="AD196" s="1005">
        <f t="shared" si="149"/>
        <v>705.26912911635554</v>
      </c>
      <c r="AE196" s="1454">
        <f t="shared" si="150"/>
        <v>0.31143583334024805</v>
      </c>
      <c r="AF196" s="1504">
        <f t="shared" si="151"/>
        <v>0.29493166456127651</v>
      </c>
      <c r="AG196" s="1504">
        <f t="shared" si="152"/>
        <v>6.5539053193972324E-2</v>
      </c>
      <c r="AH196" s="1504">
        <f t="shared" si="165"/>
        <v>0</v>
      </c>
      <c r="AI196" s="1504">
        <f t="shared" si="153"/>
        <v>0.32809344890450309</v>
      </c>
      <c r="AJ196" s="1504">
        <f t="shared" si="154"/>
        <v>1</v>
      </c>
      <c r="AK196" s="1555">
        <f t="shared" si="155"/>
        <v>14393.210798639437</v>
      </c>
      <c r="AL196" s="1556">
        <f t="shared" si="156"/>
        <v>0</v>
      </c>
      <c r="AM196" s="1556">
        <f t="shared" si="157"/>
        <v>0</v>
      </c>
      <c r="AN196" s="1556">
        <f t="shared" si="158"/>
        <v>14393.210798639437</v>
      </c>
      <c r="AO196" s="1543">
        <f t="shared" si="159"/>
        <v>0</v>
      </c>
    </row>
    <row r="197" spans="1:41">
      <c r="A197" s="873">
        <f>'Input data'!A137</f>
        <v>2037</v>
      </c>
      <c r="B197" s="1551">
        <f>'Input data'!B137</f>
        <v>69.940438284968707</v>
      </c>
      <c r="C197" s="1550">
        <f>'Input data'!C137</f>
        <v>4308.5353934667492</v>
      </c>
      <c r="D197" s="1511">
        <f>'Input data'!E137</f>
        <v>19936802.299321227</v>
      </c>
      <c r="E197" s="1508">
        <f>'Input data'!J137*C197</f>
        <v>51836.185903538128</v>
      </c>
      <c r="F197" s="1509">
        <f>'Input data'!L137</f>
        <v>71772.988202859357</v>
      </c>
      <c r="G197" s="1557">
        <f t="shared" si="171"/>
        <v>13687.941669523079</v>
      </c>
      <c r="H197" s="1509">
        <f t="shared" si="160"/>
        <v>34765.768065045311</v>
      </c>
      <c r="I197" s="1511">
        <f t="shared" si="136"/>
        <v>19936.802299321225</v>
      </c>
      <c r="J197" s="1504">
        <f t="shared" si="170"/>
        <v>0.4</v>
      </c>
      <c r="K197" s="1512">
        <f t="shared" si="162"/>
        <v>6747.6558233863598</v>
      </c>
      <c r="L197" s="1512">
        <f t="shared" si="137"/>
        <v>0</v>
      </c>
      <c r="M197" s="1511">
        <f t="shared" si="163"/>
        <v>6747.6558233863598</v>
      </c>
      <c r="N197" s="1454">
        <f t="shared" si="169"/>
        <v>0.5</v>
      </c>
      <c r="O197" s="530">
        <f t="shared" si="138"/>
        <v>751.91700000000026</v>
      </c>
      <c r="P197" s="1210">
        <f t="shared" si="166"/>
        <v>7499.5728233863601</v>
      </c>
      <c r="Q197" s="1364">
        <f t="shared" si="139"/>
        <v>40954.136911182024</v>
      </c>
      <c r="R197" s="1364">
        <f t="shared" si="164"/>
        <v>27266.195241658945</v>
      </c>
      <c r="S197" s="576">
        <f t="shared" si="140"/>
        <v>0.94047126848077833</v>
      </c>
      <c r="T197" s="135" t="str">
        <f t="shared" si="141"/>
        <v>Yes</v>
      </c>
      <c r="U197" s="1526">
        <f t="shared" si="142"/>
        <v>0.94047126848077833</v>
      </c>
      <c r="V197" s="1494">
        <f t="shared" si="134"/>
        <v>44506.792961200408</v>
      </c>
      <c r="W197" s="1527">
        <f t="shared" si="135"/>
        <v>0.37989494271290059</v>
      </c>
      <c r="X197" s="527">
        <f t="shared" si="143"/>
        <v>13687.941669523079</v>
      </c>
      <c r="Y197" s="1509">
        <f t="shared" si="144"/>
        <v>12125.666334098212</v>
      </c>
      <c r="Z197" s="1531">
        <f t="shared" si="145"/>
        <v>3094.3681649355021</v>
      </c>
      <c r="AA197" s="1531">
        <f t="shared" si="146"/>
        <v>0</v>
      </c>
      <c r="AB197" s="1531">
        <f t="shared" si="147"/>
        <v>15598.816792643614</v>
      </c>
      <c r="AC197" s="1531">
        <f t="shared" si="148"/>
        <v>44506.792961200408</v>
      </c>
      <c r="AD197" s="1005">
        <f t="shared" si="149"/>
        <v>0</v>
      </c>
      <c r="AE197" s="1454">
        <f t="shared" si="150"/>
        <v>0.3075472474832277</v>
      </c>
      <c r="AF197" s="1504">
        <f t="shared" si="151"/>
        <v>0.27244529491641822</v>
      </c>
      <c r="AG197" s="1504">
        <f t="shared" si="152"/>
        <v>6.9525750094666966E-2</v>
      </c>
      <c r="AH197" s="1504">
        <f t="shared" si="165"/>
        <v>0</v>
      </c>
      <c r="AI197" s="1504">
        <f t="shared" si="153"/>
        <v>0.35048170750568708</v>
      </c>
      <c r="AJ197" s="1504">
        <f t="shared" si="154"/>
        <v>1</v>
      </c>
      <c r="AK197" s="1555">
        <f t="shared" si="155"/>
        <v>11962.081379592733</v>
      </c>
      <c r="AL197" s="1556">
        <f t="shared" si="156"/>
        <v>1646.8986151630099</v>
      </c>
      <c r="AM197" s="1556">
        <f t="shared" si="157"/>
        <v>78.961674767334173</v>
      </c>
      <c r="AN197" s="1556">
        <f t="shared" si="158"/>
        <v>13687.941669523078</v>
      </c>
      <c r="AO197" s="1543">
        <f t="shared" si="159"/>
        <v>0</v>
      </c>
    </row>
    <row r="198" spans="1:41">
      <c r="A198" s="873">
        <f>'Input data'!A138</f>
        <v>2038</v>
      </c>
      <c r="B198" s="1551">
        <f>'Input data'!B138</f>
        <v>70.447562472153166</v>
      </c>
      <c r="C198" s="1550">
        <f>'Input data'!C138</f>
        <v>4436.6736831338776</v>
      </c>
      <c r="D198" s="1511">
        <f>'Input data'!E138</f>
        <v>16174143.168204505</v>
      </c>
      <c r="E198" s="1508">
        <f>'Input data'!J138*C198</f>
        <v>53377.823513065159</v>
      </c>
      <c r="F198" s="1509">
        <f>'Input data'!L138</f>
        <v>69551.966681269667</v>
      </c>
      <c r="G198" s="1557">
        <f t="shared" si="171"/>
        <v>13687.941669523079</v>
      </c>
      <c r="H198" s="1509">
        <f t="shared" si="160"/>
        <v>32119.294730958038</v>
      </c>
      <c r="I198" s="1511">
        <f t="shared" si="136"/>
        <v>16174.143168204506</v>
      </c>
      <c r="J198" s="1504">
        <f t="shared" si="170"/>
        <v>0.4</v>
      </c>
      <c r="K198" s="1512">
        <f t="shared" si="162"/>
        <v>5474.1753315643591</v>
      </c>
      <c r="L198" s="1512">
        <f t="shared" si="137"/>
        <v>0</v>
      </c>
      <c r="M198" s="1511">
        <f t="shared" si="163"/>
        <v>5474.1753315643591</v>
      </c>
      <c r="N198" s="1454">
        <f t="shared" si="169"/>
        <v>0.5</v>
      </c>
      <c r="O198" s="530">
        <f t="shared" si="138"/>
        <v>751.91700000000026</v>
      </c>
      <c r="P198" s="1210">
        <f t="shared" si="166"/>
        <v>6226.0923315643595</v>
      </c>
      <c r="Q198" s="1364">
        <f t="shared" si="139"/>
        <v>39581.144068916758</v>
      </c>
      <c r="R198" s="1364">
        <f t="shared" si="164"/>
        <v>25893.202399393678</v>
      </c>
      <c r="S198" s="576">
        <f t="shared" si="140"/>
        <v>0.86666996870259971</v>
      </c>
      <c r="T198" s="135" t="str">
        <f t="shared" si="141"/>
        <v>Yes</v>
      </c>
      <c r="U198" s="1526">
        <f t="shared" si="142"/>
        <v>0.86666996870259971</v>
      </c>
      <c r="V198" s="1494">
        <f t="shared" si="134"/>
        <v>43658.764281876</v>
      </c>
      <c r="W198" s="1527">
        <f t="shared" si="135"/>
        <v>0.37228569708247661</v>
      </c>
      <c r="X198" s="527">
        <f t="shared" si="143"/>
        <v>13687.941669523081</v>
      </c>
      <c r="Y198" s="1509">
        <f t="shared" si="144"/>
        <v>10744.054155835882</v>
      </c>
      <c r="Z198" s="1531">
        <f t="shared" si="145"/>
        <v>3164.033992993629</v>
      </c>
      <c r="AA198" s="1531">
        <f t="shared" si="146"/>
        <v>0</v>
      </c>
      <c r="AB198" s="1531">
        <f t="shared" si="147"/>
        <v>16062.734463523406</v>
      </c>
      <c r="AC198" s="1531">
        <f t="shared" si="148"/>
        <v>43658.764281876</v>
      </c>
      <c r="AD198" s="1005">
        <f t="shared" si="149"/>
        <v>0</v>
      </c>
      <c r="AE198" s="1454">
        <f t="shared" si="150"/>
        <v>0.31352105114906648</v>
      </c>
      <c r="AF198" s="1504">
        <f t="shared" si="151"/>
        <v>0.24609157708790319</v>
      </c>
      <c r="AG198" s="1504">
        <f t="shared" si="152"/>
        <v>7.2471909020730349E-2</v>
      </c>
      <c r="AH198" s="1504">
        <f t="shared" si="165"/>
        <v>0</v>
      </c>
      <c r="AI198" s="1504">
        <f t="shared" si="153"/>
        <v>0.36791546274229997</v>
      </c>
      <c r="AJ198" s="1504">
        <f t="shared" si="154"/>
        <v>1</v>
      </c>
      <c r="AK198" s="1555">
        <f t="shared" si="155"/>
        <v>9704.4859009227039</v>
      </c>
      <c r="AL198" s="1556">
        <f t="shared" si="156"/>
        <v>3798.359264361723</v>
      </c>
      <c r="AM198" s="1556">
        <f t="shared" si="157"/>
        <v>185.0965042386533</v>
      </c>
      <c r="AN198" s="1556">
        <f t="shared" si="158"/>
        <v>13687.941669523079</v>
      </c>
      <c r="AO198" s="1543">
        <f t="shared" si="159"/>
        <v>0</v>
      </c>
    </row>
    <row r="199" spans="1:41">
      <c r="A199" s="873">
        <f>'Input data'!A139</f>
        <v>2039</v>
      </c>
      <c r="B199" s="1551">
        <f>'Input data'!B139</f>
        <v>70.942722252264574</v>
      </c>
      <c r="C199" s="1550">
        <f>'Input data'!C139</f>
        <v>4572.7379558768307</v>
      </c>
      <c r="D199" s="1511">
        <f>'Input data'!E139</f>
        <v>12411484.037087778</v>
      </c>
      <c r="E199" s="1508">
        <f>'Input data'!J139*C199</f>
        <v>55014.818986614788</v>
      </c>
      <c r="F199" s="1509">
        <f>'Input data'!L139</f>
        <v>67426.303023702567</v>
      </c>
      <c r="G199" s="1557">
        <f t="shared" si="171"/>
        <v>13687.941669523079</v>
      </c>
      <c r="H199" s="1509">
        <f t="shared" si="160"/>
        <v>29527.538418170068</v>
      </c>
      <c r="I199" s="1511">
        <f t="shared" si="136"/>
        <v>12411.484037087777</v>
      </c>
      <c r="J199" s="1504">
        <f t="shared" si="170"/>
        <v>0.4</v>
      </c>
      <c r="K199" s="1512">
        <f t="shared" si="162"/>
        <v>4200.6948397423548</v>
      </c>
      <c r="L199" s="1512">
        <f t="shared" si="137"/>
        <v>0</v>
      </c>
      <c r="M199" s="1511">
        <f t="shared" si="163"/>
        <v>4200.6948397423548</v>
      </c>
      <c r="N199" s="1454">
        <f t="shared" si="169"/>
        <v>0.5</v>
      </c>
      <c r="O199" s="530">
        <f t="shared" si="138"/>
        <v>751.91700000000026</v>
      </c>
      <c r="P199" s="1210">
        <f t="shared" si="166"/>
        <v>4952.6118397423552</v>
      </c>
      <c r="Q199" s="1364">
        <f t="shared" si="139"/>
        <v>38262.868247950792</v>
      </c>
      <c r="R199" s="1364">
        <f t="shared" si="164"/>
        <v>24574.926578427712</v>
      </c>
      <c r="S199" s="576">
        <f t="shared" si="140"/>
        <v>0.79747352874631605</v>
      </c>
      <c r="T199" s="135" t="str">
        <f t="shared" si="141"/>
        <v>Yes</v>
      </c>
      <c r="U199" s="1526">
        <f t="shared" si="142"/>
        <v>0.79747352874631605</v>
      </c>
      <c r="V199" s="1494">
        <f t="shared" si="134"/>
        <v>42851.376445274858</v>
      </c>
      <c r="W199" s="1527">
        <f t="shared" si="135"/>
        <v>0.36447091826744249</v>
      </c>
      <c r="X199" s="527">
        <f t="shared" si="143"/>
        <v>13687.941669523079</v>
      </c>
      <c r="Y199" s="1509">
        <f t="shared" si="144"/>
        <v>9370.078058073861</v>
      </c>
      <c r="Z199" s="1531">
        <f t="shared" si="145"/>
        <v>3238.0089949574353</v>
      </c>
      <c r="AA199" s="1531">
        <f t="shared" si="146"/>
        <v>0</v>
      </c>
      <c r="AB199" s="1531">
        <f t="shared" si="147"/>
        <v>16555.347722720482</v>
      </c>
      <c r="AC199" s="1531">
        <f t="shared" si="148"/>
        <v>42851.376445274858</v>
      </c>
      <c r="AD199" s="1005">
        <f t="shared" si="149"/>
        <v>0</v>
      </c>
      <c r="AE199" s="1454">
        <f t="shared" si="150"/>
        <v>0.31942828457339839</v>
      </c>
      <c r="AF199" s="1504">
        <f t="shared" si="151"/>
        <v>0.21866457592185659</v>
      </c>
      <c r="AG199" s="1504">
        <f t="shared" si="152"/>
        <v>7.5563710283441415E-2</v>
      </c>
      <c r="AH199" s="1504">
        <f t="shared" si="165"/>
        <v>0</v>
      </c>
      <c r="AI199" s="1504">
        <f t="shared" si="153"/>
        <v>0.38634342922130355</v>
      </c>
      <c r="AJ199" s="1504">
        <f t="shared" si="154"/>
        <v>1</v>
      </c>
      <c r="AK199" s="1555">
        <f t="shared" si="155"/>
        <v>7446.8904222526671</v>
      </c>
      <c r="AL199" s="1556">
        <f t="shared" si="156"/>
        <v>5946.5993818280394</v>
      </c>
      <c r="AM199" s="1556">
        <f t="shared" si="157"/>
        <v>294.45186544237362</v>
      </c>
      <c r="AN199" s="1556">
        <f t="shared" si="158"/>
        <v>13687.941669523079</v>
      </c>
      <c r="AO199" s="1543">
        <f t="shared" si="159"/>
        <v>0</v>
      </c>
    </row>
    <row r="200" spans="1:41">
      <c r="A200" s="873">
        <f>'Input data'!A140</f>
        <v>2040</v>
      </c>
      <c r="B200" s="1551">
        <f>'Input data'!B140</f>
        <v>71.425610993241406</v>
      </c>
      <c r="C200" s="1550">
        <f>'Input data'!C140</f>
        <v>4714.8820680263625</v>
      </c>
      <c r="D200" s="1511">
        <f>'Input data'!E140</f>
        <v>8648824.905971054</v>
      </c>
      <c r="E200" s="1508">
        <f>'Input data'!J140*C200</f>
        <v>56724.961285468657</v>
      </c>
      <c r="F200" s="1509">
        <f>'Input data'!L140</f>
        <v>65373.786191439707</v>
      </c>
      <c r="G200" s="1557">
        <f t="shared" si="171"/>
        <v>13687.941669523079</v>
      </c>
      <c r="H200" s="1509">
        <f t="shared" si="160"/>
        <v>26977.754274528019</v>
      </c>
      <c r="I200" s="1511">
        <f t="shared" si="136"/>
        <v>8648.8249059710542</v>
      </c>
      <c r="J200" s="1504">
        <f t="shared" si="170"/>
        <v>0.4</v>
      </c>
      <c r="K200" s="1512">
        <f t="shared" si="162"/>
        <v>2927.2143479203532</v>
      </c>
      <c r="L200" s="1512">
        <f t="shared" si="137"/>
        <v>0</v>
      </c>
      <c r="M200" s="1511">
        <f t="shared" si="163"/>
        <v>2927.2143479203532</v>
      </c>
      <c r="N200" s="1454">
        <f t="shared" si="169"/>
        <v>0.5</v>
      </c>
      <c r="O200" s="530">
        <f t="shared" si="138"/>
        <v>751.91700000000026</v>
      </c>
      <c r="P200" s="1210">
        <f t="shared" si="166"/>
        <v>3679.1313479203536</v>
      </c>
      <c r="Q200" s="1364">
        <f t="shared" si="139"/>
        <v>36986.564596130745</v>
      </c>
      <c r="R200" s="1364">
        <f t="shared" si="164"/>
        <v>23298.622926607666</v>
      </c>
      <c r="S200" s="576">
        <f t="shared" si="140"/>
        <v>0.73272400999186427</v>
      </c>
      <c r="T200" s="135" t="str">
        <f t="shared" si="141"/>
        <v>Yes</v>
      </c>
      <c r="U200" s="1526">
        <f t="shared" si="142"/>
        <v>0.73272400999186427</v>
      </c>
      <c r="V200" s="1494">
        <f t="shared" si="134"/>
        <v>42075.163264832052</v>
      </c>
      <c r="W200" s="1527">
        <f t="shared" si="135"/>
        <v>0.35639090656888506</v>
      </c>
      <c r="X200" s="527">
        <f t="shared" si="143"/>
        <v>13687.941669523079</v>
      </c>
      <c r="Y200" s="1509">
        <f t="shared" si="144"/>
        <v>8001.9594221173338</v>
      </c>
      <c r="Z200" s="1531">
        <f t="shared" si="145"/>
        <v>3315.2894651604388</v>
      </c>
      <c r="AA200" s="1531">
        <f t="shared" si="146"/>
        <v>0</v>
      </c>
      <c r="AB200" s="1531">
        <f t="shared" si="147"/>
        <v>17069.9727080312</v>
      </c>
      <c r="AC200" s="1531">
        <f t="shared" si="148"/>
        <v>42075.163264832052</v>
      </c>
      <c r="AD200" s="1005">
        <f t="shared" si="149"/>
        <v>0</v>
      </c>
      <c r="AE200" s="1454">
        <f t="shared" si="150"/>
        <v>0.32532117780191616</v>
      </c>
      <c r="AF200" s="1504">
        <f t="shared" si="151"/>
        <v>0.19018249250159563</v>
      </c>
      <c r="AG200" s="1504">
        <f t="shared" si="152"/>
        <v>7.8794452781873761E-2</v>
      </c>
      <c r="AH200" s="1504">
        <f t="shared" si="165"/>
        <v>0</v>
      </c>
      <c r="AI200" s="1504">
        <f t="shared" si="153"/>
        <v>0.40570187691461446</v>
      </c>
      <c r="AJ200" s="1504">
        <f t="shared" si="154"/>
        <v>1</v>
      </c>
      <c r="AK200" s="1555">
        <f t="shared" si="155"/>
        <v>5189.2949435826322</v>
      </c>
      <c r="AL200" s="1556">
        <f t="shared" si="156"/>
        <v>8091.7294261551242</v>
      </c>
      <c r="AM200" s="1556">
        <f t="shared" si="157"/>
        <v>406.9172997853218</v>
      </c>
      <c r="AN200" s="1556">
        <f t="shared" si="158"/>
        <v>13687.941669523078</v>
      </c>
      <c r="AO200" s="1543">
        <f t="shared" si="159"/>
        <v>0</v>
      </c>
    </row>
    <row r="201" spans="1:41">
      <c r="A201" s="873">
        <f>'Input data'!A141</f>
        <v>2041</v>
      </c>
      <c r="B201" s="1551">
        <f>'Input data'!B141</f>
        <v>71.895928013305991</v>
      </c>
      <c r="C201" s="1550">
        <f>'Input data'!C141</f>
        <v>4861.7822977789338</v>
      </c>
      <c r="D201" s="1511">
        <f>'Input data'!E141</f>
        <v>7702881.2953237193</v>
      </c>
      <c r="E201" s="1508">
        <f>'Input data'!J141*C201</f>
        <v>58492.324652211188</v>
      </c>
      <c r="F201" s="1509">
        <f>'Input data'!L141</f>
        <v>66195.205947534909</v>
      </c>
      <c r="G201" s="1557">
        <f t="shared" si="171"/>
        <v>13687.941669523079</v>
      </c>
      <c r="H201" s="1509">
        <f t="shared" si="160"/>
        <v>27104.157036958171</v>
      </c>
      <c r="I201" s="1511">
        <f t="shared" si="136"/>
        <v>7702.8812953237193</v>
      </c>
      <c r="J201" s="1504">
        <f t="shared" si="170"/>
        <v>0.4</v>
      </c>
      <c r="K201" s="1512">
        <f t="shared" si="162"/>
        <v>2607.0575937353087</v>
      </c>
      <c r="L201" s="1512">
        <f t="shared" si="137"/>
        <v>0</v>
      </c>
      <c r="M201" s="1511">
        <f t="shared" si="163"/>
        <v>2607.0575937353087</v>
      </c>
      <c r="N201" s="1454">
        <f t="shared" si="169"/>
        <v>0.5</v>
      </c>
      <c r="O201" s="530">
        <f t="shared" si="138"/>
        <v>751.91700000000026</v>
      </c>
      <c r="P201" s="1210">
        <f t="shared" si="166"/>
        <v>3358.9745937353091</v>
      </c>
      <c r="Q201" s="1364">
        <f t="shared" si="139"/>
        <v>37433.124112745943</v>
      </c>
      <c r="R201" s="1364">
        <f t="shared" si="164"/>
        <v>23745.182443222864</v>
      </c>
      <c r="S201" s="576">
        <f t="shared" si="140"/>
        <v>0.7236870666543872</v>
      </c>
      <c r="T201" s="135" t="str">
        <f t="shared" si="141"/>
        <v>Yes</v>
      </c>
      <c r="U201" s="1526">
        <f t="shared" si="142"/>
        <v>0.7236870666543872</v>
      </c>
      <c r="V201" s="1494">
        <f t="shared" si="134"/>
        <v>42450.023504312048</v>
      </c>
      <c r="W201" s="1527">
        <f t="shared" si="135"/>
        <v>0.35871453382957752</v>
      </c>
      <c r="X201" s="527">
        <f t="shared" si="143"/>
        <v>13687.941669523079</v>
      </c>
      <c r="Y201" s="1509">
        <f t="shared" si="144"/>
        <v>7765.1091511029153</v>
      </c>
      <c r="Z201" s="1531">
        <f t="shared" si="145"/>
        <v>3395.1557266364357</v>
      </c>
      <c r="AA201" s="1531">
        <f t="shared" si="146"/>
        <v>0</v>
      </c>
      <c r="AB201" s="1531">
        <f t="shared" si="147"/>
        <v>17601.816957049621</v>
      </c>
      <c r="AC201" s="1531">
        <f t="shared" si="148"/>
        <v>42450.023504312048</v>
      </c>
      <c r="AD201" s="1005">
        <f t="shared" si="149"/>
        <v>0</v>
      </c>
      <c r="AE201" s="1454">
        <f t="shared" si="150"/>
        <v>0.32244838847103741</v>
      </c>
      <c r="AF201" s="1504">
        <f t="shared" si="151"/>
        <v>0.18292355363040352</v>
      </c>
      <c r="AG201" s="1504">
        <f t="shared" si="152"/>
        <v>7.9980067061483667E-2</v>
      </c>
      <c r="AH201" s="1504">
        <f t="shared" si="165"/>
        <v>0</v>
      </c>
      <c r="AI201" s="1504">
        <f t="shared" si="153"/>
        <v>0.41464799083707549</v>
      </c>
      <c r="AJ201" s="1504">
        <f t="shared" si="154"/>
        <v>1</v>
      </c>
      <c r="AK201" s="1555">
        <f t="shared" si="155"/>
        <v>4621.728777194231</v>
      </c>
      <c r="AL201" s="1556">
        <f t="shared" si="156"/>
        <v>8625.9570700587101</v>
      </c>
      <c r="AM201" s="1556">
        <f t="shared" si="157"/>
        <v>440.25582227013876</v>
      </c>
      <c r="AN201" s="1556">
        <f t="shared" si="158"/>
        <v>13687.941669523081</v>
      </c>
      <c r="AO201" s="1543">
        <f t="shared" si="159"/>
        <v>0</v>
      </c>
    </row>
    <row r="202" spans="1:41">
      <c r="A202" s="873">
        <f>'Input data'!A142</f>
        <v>2042</v>
      </c>
      <c r="B202" s="1551">
        <f>'Input data'!B142</f>
        <v>72.353378891150228</v>
      </c>
      <c r="C202" s="1550">
        <f>'Input data'!C142</f>
        <v>4999.630924015547</v>
      </c>
      <c r="D202" s="1511">
        <f>'Input data'!E142</f>
        <v>6756937.6846763855</v>
      </c>
      <c r="E202" s="1508">
        <f>'Input data'!J142*C202</f>
        <v>60150.787764057408</v>
      </c>
      <c r="F202" s="1509">
        <f>'Input data'!L142</f>
        <v>66907.725448733792</v>
      </c>
      <c r="G202" s="1557">
        <f t="shared" si="171"/>
        <v>13687.941669523079</v>
      </c>
      <c r="H202" s="1509">
        <f t="shared" si="160"/>
        <v>27168.072057787376</v>
      </c>
      <c r="I202" s="1511">
        <f t="shared" si="136"/>
        <v>6756.9376846763853</v>
      </c>
      <c r="J202" s="1504">
        <f t="shared" si="170"/>
        <v>0.4</v>
      </c>
      <c r="K202" s="1512">
        <f t="shared" si="162"/>
        <v>2286.9008395502651</v>
      </c>
      <c r="L202" s="1512">
        <f t="shared" si="137"/>
        <v>0</v>
      </c>
      <c r="M202" s="1511">
        <f t="shared" si="163"/>
        <v>2286.9008395502651</v>
      </c>
      <c r="N202" s="1454">
        <f t="shared" si="169"/>
        <v>0.5</v>
      </c>
      <c r="O202" s="530">
        <f t="shared" si="138"/>
        <v>751.91700000000026</v>
      </c>
      <c r="P202" s="1210">
        <f t="shared" si="166"/>
        <v>3038.8178395502655</v>
      </c>
      <c r="Q202" s="1364">
        <f t="shared" si="139"/>
        <v>37817.195887760186</v>
      </c>
      <c r="R202" s="1364">
        <f t="shared" si="164"/>
        <v>24129.254218237107</v>
      </c>
      <c r="S202" s="576">
        <f t="shared" si="140"/>
        <v>0.71466488275231543</v>
      </c>
      <c r="T202" s="135" t="str">
        <f t="shared" si="141"/>
        <v>Yes</v>
      </c>
      <c r="U202" s="1526">
        <f t="shared" si="142"/>
        <v>0.71466488275231543</v>
      </c>
      <c r="V202" s="1494">
        <f t="shared" si="134"/>
        <v>42778.471230496682</v>
      </c>
      <c r="W202" s="1527">
        <f t="shared" si="135"/>
        <v>0.36063480048691077</v>
      </c>
      <c r="X202" s="527">
        <f t="shared" si="143"/>
        <v>13687.941669523079</v>
      </c>
      <c r="Y202" s="1509">
        <f t="shared" si="144"/>
        <v>7519.5383500995285</v>
      </c>
      <c r="Z202" s="1531">
        <f t="shared" si="145"/>
        <v>3470.1008403756309</v>
      </c>
      <c r="AA202" s="1531">
        <f t="shared" si="146"/>
        <v>0</v>
      </c>
      <c r="AB202" s="1531">
        <f t="shared" si="147"/>
        <v>18100.890370498448</v>
      </c>
      <c r="AC202" s="1531">
        <f t="shared" si="148"/>
        <v>42778.471230496682</v>
      </c>
      <c r="AD202" s="1005">
        <f t="shared" si="149"/>
        <v>0</v>
      </c>
      <c r="AE202" s="1454">
        <f t="shared" si="150"/>
        <v>0.31997267026608878</v>
      </c>
      <c r="AF202" s="1504">
        <f t="shared" si="151"/>
        <v>0.17577856650330378</v>
      </c>
      <c r="AG202" s="1504">
        <f t="shared" si="152"/>
        <v>8.1117925455498827E-2</v>
      </c>
      <c r="AH202" s="1504">
        <f t="shared" si="165"/>
        <v>0</v>
      </c>
      <c r="AI202" s="1504">
        <f t="shared" si="153"/>
        <v>0.42313083777510874</v>
      </c>
      <c r="AJ202" s="1504">
        <f t="shared" si="154"/>
        <v>1</v>
      </c>
      <c r="AK202" s="1555">
        <f t="shared" si="155"/>
        <v>4054.1626108058308</v>
      </c>
      <c r="AL202" s="1556">
        <f t="shared" si="156"/>
        <v>9160.1743915568513</v>
      </c>
      <c r="AM202" s="1556">
        <f t="shared" si="157"/>
        <v>473.60466716039514</v>
      </c>
      <c r="AN202" s="1556">
        <f t="shared" si="158"/>
        <v>13687.941669523076</v>
      </c>
      <c r="AO202" s="1543">
        <f t="shared" si="159"/>
        <v>0</v>
      </c>
    </row>
    <row r="203" spans="1:41">
      <c r="A203" s="873">
        <f>'Input data'!A143</f>
        <v>2043</v>
      </c>
      <c r="B203" s="1551">
        <f>'Input data'!B143</f>
        <v>72.797675771420302</v>
      </c>
      <c r="C203" s="1550">
        <f>'Input data'!C143</f>
        <v>5140.3990299017887</v>
      </c>
      <c r="D203" s="1511">
        <f>'Input data'!E143</f>
        <v>5810994.0740290517</v>
      </c>
      <c r="E203" s="1508">
        <f>'Input data'!J143*C203</f>
        <v>61844.375268774857</v>
      </c>
      <c r="F203" s="1509">
        <f>'Input data'!L143</f>
        <v>67655.369342803911</v>
      </c>
      <c r="G203" s="1557">
        <f t="shared" si="171"/>
        <v>13687.941669523079</v>
      </c>
      <c r="H203" s="1509">
        <f t="shared" si="160"/>
        <v>27252.141705322621</v>
      </c>
      <c r="I203" s="1511">
        <f t="shared" si="136"/>
        <v>5810.9940740290513</v>
      </c>
      <c r="J203" s="1504">
        <f t="shared" si="170"/>
        <v>0.4</v>
      </c>
      <c r="K203" s="1512">
        <f t="shared" si="162"/>
        <v>1966.7440853652211</v>
      </c>
      <c r="L203" s="1512">
        <f t="shared" si="137"/>
        <v>0</v>
      </c>
      <c r="M203" s="1511">
        <f t="shared" si="163"/>
        <v>1966.7440853652211</v>
      </c>
      <c r="N203" s="1454">
        <f t="shared" si="169"/>
        <v>0.5</v>
      </c>
      <c r="O203" s="530">
        <f t="shared" si="138"/>
        <v>751.91700000000026</v>
      </c>
      <c r="P203" s="1210">
        <f t="shared" si="166"/>
        <v>2718.6610853652214</v>
      </c>
      <c r="Q203" s="1364">
        <f t="shared" si="139"/>
        <v>38221.422289480477</v>
      </c>
      <c r="R203" s="1364">
        <f t="shared" si="164"/>
        <v>24533.480619957398</v>
      </c>
      <c r="S203" s="576">
        <f t="shared" si="140"/>
        <v>0.70630786316276883</v>
      </c>
      <c r="T203" s="135" t="str">
        <f t="shared" si="141"/>
        <v>Yes</v>
      </c>
      <c r="U203" s="1526">
        <f t="shared" si="142"/>
        <v>0.70630786316276883</v>
      </c>
      <c r="V203" s="1494">
        <f t="shared" si="134"/>
        <v>43121.888722846517</v>
      </c>
      <c r="W203" s="1527">
        <f t="shared" si="135"/>
        <v>0.36262429513389205</v>
      </c>
      <c r="X203" s="527">
        <f t="shared" si="143"/>
        <v>13687.941669523079</v>
      </c>
      <c r="Y203" s="1509">
        <f t="shared" si="144"/>
        <v>7276.7802451882635</v>
      </c>
      <c r="Z203" s="1531">
        <f t="shared" si="145"/>
        <v>3546.6332077594516</v>
      </c>
      <c r="AA203" s="1531">
        <f t="shared" si="146"/>
        <v>0</v>
      </c>
      <c r="AB203" s="1531">
        <f t="shared" si="147"/>
        <v>18610.533600375722</v>
      </c>
      <c r="AC203" s="1531">
        <f t="shared" si="148"/>
        <v>43121.888722846517</v>
      </c>
      <c r="AD203" s="1005">
        <f t="shared" si="149"/>
        <v>0</v>
      </c>
      <c r="AE203" s="1454">
        <f t="shared" si="150"/>
        <v>0.3174244467235276</v>
      </c>
      <c r="AF203" s="1504">
        <f t="shared" si="151"/>
        <v>0.1687491077201573</v>
      </c>
      <c r="AG203" s="1504">
        <f t="shared" si="152"/>
        <v>8.2246703769271609E-2</v>
      </c>
      <c r="AH203" s="1504">
        <f t="shared" si="165"/>
        <v>0</v>
      </c>
      <c r="AI203" s="1504">
        <f t="shared" si="153"/>
        <v>0.4315797417870435</v>
      </c>
      <c r="AJ203" s="1504">
        <f t="shared" si="154"/>
        <v>1</v>
      </c>
      <c r="AK203" s="1555">
        <f t="shared" si="155"/>
        <v>3486.5964444174301</v>
      </c>
      <c r="AL203" s="1556">
        <f t="shared" si="156"/>
        <v>9693.9265126235823</v>
      </c>
      <c r="AM203" s="1556">
        <f t="shared" si="157"/>
        <v>507.41871248206621</v>
      </c>
      <c r="AN203" s="1556">
        <f t="shared" si="158"/>
        <v>13687.941669523078</v>
      </c>
      <c r="AO203" s="1543">
        <f t="shared" si="159"/>
        <v>0</v>
      </c>
    </row>
    <row r="204" spans="1:41">
      <c r="A204" s="873">
        <f>'Input data'!A144</f>
        <v>2044</v>
      </c>
      <c r="B204" s="1551">
        <f>'Input data'!B144</f>
        <v>73.228597899236789</v>
      </c>
      <c r="C204" s="1550">
        <f>'Input data'!C144</f>
        <v>5284.2396924773611</v>
      </c>
      <c r="D204" s="1511">
        <f>'Input data'!E144</f>
        <v>4865050.463381717</v>
      </c>
      <c r="E204" s="1508">
        <f>'Input data'!J144*C204</f>
        <v>63574.928843212612</v>
      </c>
      <c r="F204" s="1509">
        <f>'Input data'!L144</f>
        <v>68439.979306594323</v>
      </c>
      <c r="G204" s="1557">
        <f t="shared" si="171"/>
        <v>13687.941669523079</v>
      </c>
      <c r="H204" s="1509">
        <f t="shared" si="160"/>
        <v>27357.42274685216</v>
      </c>
      <c r="I204" s="1511">
        <f t="shared" si="136"/>
        <v>4865.0504633817172</v>
      </c>
      <c r="J204" s="1504">
        <f t="shared" si="170"/>
        <v>0.4</v>
      </c>
      <c r="K204" s="1512">
        <f t="shared" si="162"/>
        <v>1646.587331180177</v>
      </c>
      <c r="L204" s="1512">
        <f t="shared" si="137"/>
        <v>0</v>
      </c>
      <c r="M204" s="1511">
        <f t="shared" si="163"/>
        <v>1646.587331180177</v>
      </c>
      <c r="N204" s="1454">
        <f t="shared" si="169"/>
        <v>0.5</v>
      </c>
      <c r="O204" s="530">
        <f t="shared" si="138"/>
        <v>751.91700000000026</v>
      </c>
      <c r="P204" s="1210">
        <f t="shared" si="166"/>
        <v>2398.5043311801774</v>
      </c>
      <c r="Q204" s="1364">
        <f t="shared" si="139"/>
        <v>38646.860085195061</v>
      </c>
      <c r="R204" s="1364">
        <f t="shared" si="164"/>
        <v>24958.918415671982</v>
      </c>
      <c r="S204" s="576">
        <f t="shared" si="140"/>
        <v>0.69858478811567504</v>
      </c>
      <c r="T204" s="135" t="str">
        <f t="shared" si="141"/>
        <v>Yes</v>
      </c>
      <c r="U204" s="1526">
        <f t="shared" si="142"/>
        <v>0.69858478811567504</v>
      </c>
      <c r="V204" s="1494">
        <f t="shared" si="134"/>
        <v>43481.060890922352</v>
      </c>
      <c r="W204" s="1527">
        <f t="shared" si="135"/>
        <v>0.36468331329941139</v>
      </c>
      <c r="X204" s="527">
        <f t="shared" si="143"/>
        <v>13687.941669523079</v>
      </c>
      <c r="Y204" s="1509">
        <f t="shared" si="144"/>
        <v>7036.9823144278953</v>
      </c>
      <c r="Z204" s="1531">
        <f t="shared" si="145"/>
        <v>3624.8360532382567</v>
      </c>
      <c r="AA204" s="1531">
        <f t="shared" si="146"/>
        <v>0</v>
      </c>
      <c r="AB204" s="1531">
        <f t="shared" si="147"/>
        <v>19131.300853733122</v>
      </c>
      <c r="AC204" s="1531">
        <f t="shared" si="148"/>
        <v>43481.060890922352</v>
      </c>
      <c r="AD204" s="1005">
        <f t="shared" si="149"/>
        <v>0</v>
      </c>
      <c r="AE204" s="1454">
        <f t="shared" si="150"/>
        <v>0.31480238497080332</v>
      </c>
      <c r="AF204" s="1504">
        <f t="shared" si="151"/>
        <v>0.16184017064535386</v>
      </c>
      <c r="AG204" s="1504">
        <f t="shared" si="152"/>
        <v>8.3365860422118229E-2</v>
      </c>
      <c r="AH204" s="1504">
        <f t="shared" si="165"/>
        <v>0</v>
      </c>
      <c r="AI204" s="1504">
        <f t="shared" si="153"/>
        <v>0.43999158396172461</v>
      </c>
      <c r="AJ204" s="1504">
        <f t="shared" si="154"/>
        <v>1</v>
      </c>
      <c r="AK204" s="1555">
        <f t="shared" si="155"/>
        <v>2919.0302780290303</v>
      </c>
      <c r="AL204" s="1556">
        <f t="shared" si="156"/>
        <v>10227.235267639115</v>
      </c>
      <c r="AM204" s="1556">
        <f t="shared" si="157"/>
        <v>541.67612385493453</v>
      </c>
      <c r="AN204" s="1556">
        <f t="shared" si="158"/>
        <v>13687.941669523081</v>
      </c>
      <c r="AO204" s="1543">
        <f t="shared" si="159"/>
        <v>0</v>
      </c>
    </row>
    <row r="205" spans="1:41">
      <c r="A205" s="873">
        <f>'Input data'!A145</f>
        <v>2045</v>
      </c>
      <c r="B205" s="1551">
        <f>'Input data'!B145</f>
        <v>73.645872502840064</v>
      </c>
      <c r="C205" s="1550">
        <f>'Input data'!C145</f>
        <v>5434.6458323535726</v>
      </c>
      <c r="D205" s="1511">
        <f>'Input data'!E145</f>
        <v>3919106.8527343827</v>
      </c>
      <c r="E205" s="1508">
        <f>'Input data'!J145*C205</f>
        <v>65384.471974616165</v>
      </c>
      <c r="F205" s="1509">
        <f>'Input data'!L145</f>
        <v>69303.578827350546</v>
      </c>
      <c r="G205" s="1557">
        <f t="shared" si="171"/>
        <v>13687.941669523079</v>
      </c>
      <c r="H205" s="1509">
        <f t="shared" si="160"/>
        <v>27508.028558553746</v>
      </c>
      <c r="I205" s="1511">
        <f t="shared" si="136"/>
        <v>3919.1068527343828</v>
      </c>
      <c r="J205" s="1504">
        <f t="shared" si="170"/>
        <v>0.4</v>
      </c>
      <c r="K205" s="1512">
        <f t="shared" si="162"/>
        <v>1326.4305769951329</v>
      </c>
      <c r="L205" s="1512">
        <f t="shared" si="137"/>
        <v>0</v>
      </c>
      <c r="M205" s="1511">
        <f t="shared" si="163"/>
        <v>1326.4305769951329</v>
      </c>
      <c r="N205" s="1454">
        <f t="shared" si="169"/>
        <v>0.5</v>
      </c>
      <c r="O205" s="530">
        <f t="shared" si="138"/>
        <v>751.91700000000026</v>
      </c>
      <c r="P205" s="1210">
        <f t="shared" si="166"/>
        <v>2078.3475769951333</v>
      </c>
      <c r="Q205" s="1364">
        <f t="shared" si="139"/>
        <v>39117.622651081692</v>
      </c>
      <c r="R205" s="1364">
        <f t="shared" si="164"/>
        <v>25429.680981558613</v>
      </c>
      <c r="S205" s="576">
        <f t="shared" si="140"/>
        <v>0.69165999364004283</v>
      </c>
      <c r="T205" s="135" t="str">
        <f t="shared" si="141"/>
        <v>Yes</v>
      </c>
      <c r="U205" s="1526">
        <f t="shared" si="142"/>
        <v>0.69165999364004283</v>
      </c>
      <c r="V205" s="1494">
        <f t="shared" si="134"/>
        <v>43873.897845791944</v>
      </c>
      <c r="W205" s="1527">
        <f t="shared" si="135"/>
        <v>0.36693171423237991</v>
      </c>
      <c r="X205" s="527">
        <f t="shared" si="143"/>
        <v>13687.941669523079</v>
      </c>
      <c r="Y205" s="1509">
        <f t="shared" si="144"/>
        <v>6803.5097205640423</v>
      </c>
      <c r="Z205" s="1531">
        <f t="shared" si="145"/>
        <v>3706.6083970608752</v>
      </c>
      <c r="AA205" s="1531">
        <f t="shared" si="146"/>
        <v>0</v>
      </c>
      <c r="AB205" s="1531">
        <f t="shared" si="147"/>
        <v>19675.838058643949</v>
      </c>
      <c r="AC205" s="1531">
        <f t="shared" si="148"/>
        <v>43873.897845791944</v>
      </c>
      <c r="AD205" s="1005">
        <f t="shared" si="149"/>
        <v>0</v>
      </c>
      <c r="AE205" s="1454">
        <f t="shared" si="150"/>
        <v>0.31198371563961519</v>
      </c>
      <c r="AF205" s="1504">
        <f t="shared" si="151"/>
        <v>0.15506964401651821</v>
      </c>
      <c r="AG205" s="1504">
        <f t="shared" si="152"/>
        <v>8.4483225312892624E-2</v>
      </c>
      <c r="AH205" s="1504">
        <f t="shared" si="165"/>
        <v>0</v>
      </c>
      <c r="AI205" s="1504">
        <f t="shared" si="153"/>
        <v>0.44846341503097403</v>
      </c>
      <c r="AJ205" s="1504">
        <f t="shared" si="154"/>
        <v>1</v>
      </c>
      <c r="AK205" s="1555">
        <f t="shared" si="155"/>
        <v>2351.4641116406297</v>
      </c>
      <c r="AL205" s="1556">
        <f t="shared" si="156"/>
        <v>10759.985723811425</v>
      </c>
      <c r="AM205" s="1556">
        <f t="shared" si="157"/>
        <v>576.49183407102225</v>
      </c>
      <c r="AN205" s="1556">
        <f t="shared" si="158"/>
        <v>13687.941669523078</v>
      </c>
      <c r="AO205" s="1543">
        <f t="shared" si="159"/>
        <v>0</v>
      </c>
    </row>
    <row r="206" spans="1:41">
      <c r="A206" s="873">
        <f>'Input data'!A146</f>
        <v>2046</v>
      </c>
      <c r="B206" s="1551">
        <f>'Input data'!B146</f>
        <v>74.049234192071822</v>
      </c>
      <c r="C206" s="1550">
        <f>'Input data'!C146</f>
        <v>5588.9785645796028</v>
      </c>
      <c r="D206" s="1511">
        <f>'Input data'!E146</f>
        <v>3263474.9196310313</v>
      </c>
      <c r="E206" s="1508">
        <f>'Input data'!J146*C206</f>
        <v>67241.256117738274</v>
      </c>
      <c r="F206" s="1509">
        <f>'Input data'!L146</f>
        <v>70504.731037369304</v>
      </c>
      <c r="G206" s="1557">
        <f t="shared" si="171"/>
        <v>13687.941669523079</v>
      </c>
      <c r="H206" s="1509">
        <f t="shared" si="160"/>
        <v>27958.185249426508</v>
      </c>
      <c r="I206" s="1511">
        <f t="shared" si="136"/>
        <v>3263.4749196310313</v>
      </c>
      <c r="J206" s="1504">
        <f t="shared" si="170"/>
        <v>0.4</v>
      </c>
      <c r="K206" s="1512">
        <f t="shared" si="162"/>
        <v>1104.530466587081</v>
      </c>
      <c r="L206" s="1512">
        <f t="shared" si="137"/>
        <v>0</v>
      </c>
      <c r="M206" s="1511">
        <f t="shared" si="163"/>
        <v>1104.530466587081</v>
      </c>
      <c r="N206" s="1454">
        <f t="shared" si="169"/>
        <v>0.5</v>
      </c>
      <c r="O206" s="530">
        <f t="shared" si="138"/>
        <v>751.91700000000026</v>
      </c>
      <c r="P206" s="1210">
        <f t="shared" si="166"/>
        <v>1856.4474665870812</v>
      </c>
      <c r="Q206" s="1364">
        <f t="shared" si="139"/>
        <v>39789.679452362507</v>
      </c>
      <c r="R206" s="1364">
        <f t="shared" si="164"/>
        <v>26101.737782839427</v>
      </c>
      <c r="S206" s="576">
        <f t="shared" si="140"/>
        <v>0.68994548412271062</v>
      </c>
      <c r="T206" s="135" t="str">
        <f t="shared" si="141"/>
        <v>Yes</v>
      </c>
      <c r="U206" s="1526">
        <f t="shared" si="142"/>
        <v>0.68994548412271062</v>
      </c>
      <c r="V206" s="1494">
        <f t="shared" si="134"/>
        <v>44402.99325452988</v>
      </c>
      <c r="W206" s="1527">
        <f t="shared" si="135"/>
        <v>0.37021257153658016</v>
      </c>
      <c r="X206" s="527">
        <f t="shared" si="143"/>
        <v>13687.941669523079</v>
      </c>
      <c r="Y206" s="1509">
        <f t="shared" si="144"/>
        <v>6689.944770124901</v>
      </c>
      <c r="Z206" s="1531">
        <f t="shared" si="145"/>
        <v>3790.5155384385994</v>
      </c>
      <c r="AA206" s="1531">
        <f t="shared" si="146"/>
        <v>0</v>
      </c>
      <c r="AB206" s="1531">
        <f t="shared" si="147"/>
        <v>20234.591276443305</v>
      </c>
      <c r="AC206" s="1531">
        <f t="shared" si="148"/>
        <v>44402.99325452988</v>
      </c>
      <c r="AD206" s="1005">
        <f t="shared" si="149"/>
        <v>0</v>
      </c>
      <c r="AE206" s="649">
        <f t="shared" si="150"/>
        <v>0.30826619257535459</v>
      </c>
      <c r="AF206" s="417">
        <f t="shared" si="151"/>
        <v>0.15066427463068405</v>
      </c>
      <c r="AG206" s="417">
        <f t="shared" si="152"/>
        <v>8.5366216568111677E-2</v>
      </c>
      <c r="AH206" s="417">
        <f t="shared" si="165"/>
        <v>0</v>
      </c>
      <c r="AI206" s="417">
        <f t="shared" si="153"/>
        <v>0.45570331622584981</v>
      </c>
      <c r="AJ206" s="417">
        <f t="shared" si="154"/>
        <v>1</v>
      </c>
      <c r="AK206" s="1497">
        <f t="shared" si="155"/>
        <v>1958.0849517786185</v>
      </c>
      <c r="AL206" s="1498">
        <f t="shared" si="156"/>
        <v>11127.076558311728</v>
      </c>
      <c r="AM206" s="1498">
        <f t="shared" si="157"/>
        <v>602.78015943273238</v>
      </c>
      <c r="AN206" s="1498">
        <f t="shared" si="158"/>
        <v>13687.941669523079</v>
      </c>
      <c r="AO206" s="1184">
        <f t="shared" si="159"/>
        <v>0</v>
      </c>
    </row>
    <row r="207" spans="1:41">
      <c r="A207" s="873">
        <f>'Input data'!A147</f>
        <v>2047</v>
      </c>
      <c r="B207" s="1551">
        <f>'Input data'!B147</f>
        <v>74.438425238522782</v>
      </c>
      <c r="C207" s="1550">
        <f>'Input data'!C147</f>
        <v>5683.8226319462565</v>
      </c>
      <c r="D207" s="1511">
        <f>'Input data'!E147</f>
        <v>2607842.98652768</v>
      </c>
      <c r="E207" s="1508">
        <f>'Input data'!J147*C207</f>
        <v>68382.329419659043</v>
      </c>
      <c r="F207" s="1509">
        <f>'Input data'!L147</f>
        <v>70990.172406186728</v>
      </c>
      <c r="G207" s="1557">
        <f t="shared" si="171"/>
        <v>13687.941669523079</v>
      </c>
      <c r="H207" s="1509">
        <f t="shared" si="160"/>
        <v>27997.661963943221</v>
      </c>
      <c r="I207" s="1511">
        <f t="shared" si="136"/>
        <v>2607.8429865276798</v>
      </c>
      <c r="J207" s="1504">
        <f t="shared" si="170"/>
        <v>0.4</v>
      </c>
      <c r="K207" s="1512">
        <f t="shared" si="162"/>
        <v>882.63035617902892</v>
      </c>
      <c r="L207" s="1512">
        <f t="shared" si="137"/>
        <v>0</v>
      </c>
      <c r="M207" s="1511">
        <f t="shared" si="163"/>
        <v>882.63035617902892</v>
      </c>
      <c r="N207" s="1454">
        <f t="shared" si="169"/>
        <v>0.5</v>
      </c>
      <c r="O207" s="530">
        <f t="shared" si="138"/>
        <v>751.91700000000026</v>
      </c>
      <c r="P207" s="1210">
        <f t="shared" si="166"/>
        <v>1634.5473561790291</v>
      </c>
      <c r="Q207" s="1364">
        <f t="shared" si="139"/>
        <v>40051.056277287273</v>
      </c>
      <c r="R207" s="1364">
        <f t="shared" si="164"/>
        <v>26363.114607764193</v>
      </c>
      <c r="S207" s="576">
        <f t="shared" si="140"/>
        <v>0.68499907825204875</v>
      </c>
      <c r="T207" s="135" t="str">
        <f t="shared" si="141"/>
        <v>Yes</v>
      </c>
      <c r="U207" s="1526">
        <f t="shared" si="142"/>
        <v>0.68499907825204875</v>
      </c>
      <c r="V207" s="1494">
        <f t="shared" si="134"/>
        <v>44627.057798422538</v>
      </c>
      <c r="W207" s="1527">
        <f t="shared" si="135"/>
        <v>0.37136287621505581</v>
      </c>
      <c r="X207" s="527">
        <f t="shared" si="143"/>
        <v>13687.941669523076</v>
      </c>
      <c r="Y207" s="1509">
        <f t="shared" si="144"/>
        <v>6519.0670258812952</v>
      </c>
      <c r="Z207" s="1531">
        <f t="shared" si="145"/>
        <v>3842.0800669387309</v>
      </c>
      <c r="AA207" s="1531">
        <f t="shared" si="146"/>
        <v>0</v>
      </c>
      <c r="AB207" s="1531">
        <f t="shared" si="147"/>
        <v>20577.969036079438</v>
      </c>
      <c r="AC207" s="1531">
        <f t="shared" si="148"/>
        <v>44627.057798422538</v>
      </c>
      <c r="AD207" s="1487">
        <f t="shared" si="149"/>
        <v>0</v>
      </c>
      <c r="AE207" s="649">
        <f t="shared" si="150"/>
        <v>0.30671844268449427</v>
      </c>
      <c r="AF207" s="417">
        <f t="shared" si="151"/>
        <v>0.14607879944332178</v>
      </c>
      <c r="AG207" s="417">
        <f t="shared" si="152"/>
        <v>8.6093062291786107E-2</v>
      </c>
      <c r="AH207" s="417">
        <f t="shared" si="165"/>
        <v>0</v>
      </c>
      <c r="AI207" s="417">
        <f t="shared" si="153"/>
        <v>0.46110969558039788</v>
      </c>
      <c r="AJ207" s="417">
        <f t="shared" si="154"/>
        <v>1</v>
      </c>
      <c r="AK207" s="1497">
        <f t="shared" si="155"/>
        <v>1564.705791916608</v>
      </c>
      <c r="AL207" s="1498">
        <f t="shared" si="156"/>
        <v>11496.427705864822</v>
      </c>
      <c r="AM207" s="1498">
        <f t="shared" si="157"/>
        <v>626.80817174164554</v>
      </c>
      <c r="AN207" s="1498">
        <f t="shared" si="158"/>
        <v>13687.941669523076</v>
      </c>
      <c r="AO207" s="1184">
        <f t="shared" si="159"/>
        <v>0</v>
      </c>
    </row>
    <row r="208" spans="1:41">
      <c r="A208" s="873">
        <f>'Input data'!A148</f>
        <v>2048</v>
      </c>
      <c r="B208" s="1551">
        <f>'Input data'!B148</f>
        <v>74.813195848926668</v>
      </c>
      <c r="C208" s="1550">
        <f>'Input data'!C148</f>
        <v>5769.8658364340272</v>
      </c>
      <c r="D208" s="1511">
        <f>'Input data'!E148</f>
        <v>1952211.0534243288</v>
      </c>
      <c r="E208" s="1508">
        <f>'Input data'!J148*C208</f>
        <v>69417.519138728632</v>
      </c>
      <c r="F208" s="1509">
        <f>'Input data'!L148</f>
        <v>71369.730192152958</v>
      </c>
      <c r="G208" s="1557">
        <f t="shared" si="171"/>
        <v>13687.941669523079</v>
      </c>
      <c r="H208" s="1509">
        <f t="shared" si="160"/>
        <v>27976.381924756399</v>
      </c>
      <c r="I208" s="1511">
        <f t="shared" si="136"/>
        <v>1952.2110534243288</v>
      </c>
      <c r="J208" s="1504">
        <f t="shared" si="170"/>
        <v>0.4</v>
      </c>
      <c r="K208" s="1512">
        <f t="shared" si="162"/>
        <v>660.73024577097704</v>
      </c>
      <c r="L208" s="1512">
        <f t="shared" si="137"/>
        <v>0</v>
      </c>
      <c r="M208" s="1511">
        <f t="shared" si="163"/>
        <v>660.73024577097704</v>
      </c>
      <c r="N208" s="1454">
        <f t="shared" si="169"/>
        <v>0.5</v>
      </c>
      <c r="O208" s="530">
        <f t="shared" si="138"/>
        <v>751.91700000000026</v>
      </c>
      <c r="P208" s="1210">
        <f t="shared" si="166"/>
        <v>1412.6472457709774</v>
      </c>
      <c r="Q208" s="1364">
        <f t="shared" si="139"/>
        <v>40251.676348508503</v>
      </c>
      <c r="R208" s="1364">
        <f t="shared" si="164"/>
        <v>26563.734678985424</v>
      </c>
      <c r="S208" s="576">
        <f t="shared" si="140"/>
        <v>0.67972100740442853</v>
      </c>
      <c r="T208" s="135" t="str">
        <f t="shared" si="141"/>
        <v>Yes</v>
      </c>
      <c r="U208" s="1526">
        <f t="shared" si="142"/>
        <v>0.67972100740442853</v>
      </c>
      <c r="V208" s="1494">
        <f t="shared" si="134"/>
        <v>44805.995513167552</v>
      </c>
      <c r="W208" s="1527">
        <f t="shared" si="135"/>
        <v>0.37219889450984733</v>
      </c>
      <c r="X208" s="527">
        <f t="shared" si="143"/>
        <v>13687.941669523079</v>
      </c>
      <c r="Y208" s="1509">
        <f t="shared" si="144"/>
        <v>6339.7103211387221</v>
      </c>
      <c r="Z208" s="1531">
        <f t="shared" si="145"/>
        <v>3888.8597695942517</v>
      </c>
      <c r="AA208" s="1531">
        <f t="shared" si="146"/>
        <v>0</v>
      </c>
      <c r="AB208" s="1531">
        <f t="shared" si="147"/>
        <v>20889.483752911496</v>
      </c>
      <c r="AC208" s="1531">
        <f t="shared" si="148"/>
        <v>44805.995513167552</v>
      </c>
      <c r="AD208" s="1487">
        <f t="shared" si="149"/>
        <v>0</v>
      </c>
      <c r="AE208" s="649">
        <f t="shared" si="150"/>
        <v>0.30549352855022444</v>
      </c>
      <c r="AF208" s="417">
        <f t="shared" si="151"/>
        <v>0.14149245538525335</v>
      </c>
      <c r="AG208" s="417">
        <f t="shared" si="152"/>
        <v>8.6793290162505074E-2</v>
      </c>
      <c r="AH208" s="417">
        <f t="shared" si="165"/>
        <v>0</v>
      </c>
      <c r="AI208" s="417">
        <f t="shared" si="153"/>
        <v>0.46622072590201707</v>
      </c>
      <c r="AJ208" s="417">
        <f t="shared" si="154"/>
        <v>1</v>
      </c>
      <c r="AK208" s="1497">
        <f t="shared" si="155"/>
        <v>1171.3266320545972</v>
      </c>
      <c r="AL208" s="1498">
        <f t="shared" si="156"/>
        <v>11866.01081217978</v>
      </c>
      <c r="AM208" s="1498">
        <f t="shared" si="157"/>
        <v>650.60422528870004</v>
      </c>
      <c r="AN208" s="1498">
        <f t="shared" si="158"/>
        <v>13687.941669523078</v>
      </c>
      <c r="AO208" s="1184">
        <f t="shared" si="159"/>
        <v>0</v>
      </c>
    </row>
    <row r="209" spans="1:41">
      <c r="A209" s="873">
        <f>'Input data'!A149</f>
        <v>2049</v>
      </c>
      <c r="B209" s="1551">
        <f>'Input data'!B149</f>
        <v>75.173102421925719</v>
      </c>
      <c r="C209" s="1550">
        <f>'Input data'!C149</f>
        <v>5861.5540552090788</v>
      </c>
      <c r="D209" s="1511">
        <f>'Input data'!E149</f>
        <v>1296579.1203209779</v>
      </c>
      <c r="E209" s="1508">
        <f>'Input data'!J149*C209</f>
        <v>70520.624282252509</v>
      </c>
      <c r="F209" s="1509">
        <f>'Input data'!L149</f>
        <v>71817.20340257349</v>
      </c>
      <c r="G209" s="1557">
        <f t="shared" si="171"/>
        <v>13687.941669523079</v>
      </c>
      <c r="H209" s="1509">
        <f t="shared" si="160"/>
        <v>27994.072239661571</v>
      </c>
      <c r="I209" s="1511">
        <f t="shared" si="136"/>
        <v>1296.5791203209778</v>
      </c>
      <c r="J209" s="1504">
        <f t="shared" si="170"/>
        <v>0.4</v>
      </c>
      <c r="K209" s="1512">
        <f t="shared" si="162"/>
        <v>438.83013536292509</v>
      </c>
      <c r="L209" s="1512">
        <f t="shared" si="137"/>
        <v>0</v>
      </c>
      <c r="M209" s="1511">
        <f t="shared" si="163"/>
        <v>438.83013536292509</v>
      </c>
      <c r="N209" s="1454">
        <f t="shared" si="169"/>
        <v>0.5</v>
      </c>
      <c r="O209" s="530">
        <f t="shared" si="138"/>
        <v>751.91700000000026</v>
      </c>
      <c r="P209" s="1210">
        <f t="shared" si="166"/>
        <v>1190.7471353629253</v>
      </c>
      <c r="Q209" s="1364">
        <f t="shared" si="139"/>
        <v>40491.266773821728</v>
      </c>
      <c r="R209" s="1364">
        <f t="shared" si="164"/>
        <v>26803.325104298649</v>
      </c>
      <c r="S209" s="576">
        <f t="shared" si="140"/>
        <v>0.67492029313195956</v>
      </c>
      <c r="T209" s="135" t="str">
        <f t="shared" si="141"/>
        <v>Yes</v>
      </c>
      <c r="U209" s="1526">
        <f t="shared" si="142"/>
        <v>0.67492029313195956</v>
      </c>
      <c r="V209" s="1494">
        <f t="shared" si="134"/>
        <v>45013.878298274853</v>
      </c>
      <c r="W209" s="1527">
        <f t="shared" si="135"/>
        <v>0.37321594039316452</v>
      </c>
      <c r="X209" s="527">
        <f t="shared" si="143"/>
        <v>13687.941669523081</v>
      </c>
      <c r="Y209" s="1509">
        <f t="shared" si="144"/>
        <v>6165.7921573456742</v>
      </c>
      <c r="Z209" s="1531">
        <f t="shared" si="145"/>
        <v>3938.7085361162012</v>
      </c>
      <c r="AA209" s="1531">
        <f t="shared" si="146"/>
        <v>0</v>
      </c>
      <c r="AB209" s="1531">
        <f t="shared" si="147"/>
        <v>21221.435935289894</v>
      </c>
      <c r="AC209" s="1531">
        <f t="shared" si="148"/>
        <v>45013.878298274853</v>
      </c>
      <c r="AD209" s="1487">
        <f t="shared" si="149"/>
        <v>0</v>
      </c>
      <c r="AE209" s="649">
        <f t="shared" si="150"/>
        <v>0.30408270042458591</v>
      </c>
      <c r="AF209" s="417">
        <f t="shared" si="151"/>
        <v>0.13697535938781744</v>
      </c>
      <c r="AG209" s="417">
        <f t="shared" si="152"/>
        <v>8.7499870817999509E-2</v>
      </c>
      <c r="AH209" s="417">
        <f t="shared" si="165"/>
        <v>0</v>
      </c>
      <c r="AI209" s="417">
        <f t="shared" si="153"/>
        <v>0.47144206936959709</v>
      </c>
      <c r="AJ209" s="417">
        <f t="shared" si="154"/>
        <v>0.99999999999999989</v>
      </c>
      <c r="AK209" s="1497">
        <f t="shared" si="155"/>
        <v>777.9474721925867</v>
      </c>
      <c r="AL209" s="1498">
        <f t="shared" si="156"/>
        <v>12235.260066421621</v>
      </c>
      <c r="AM209" s="1498">
        <f t="shared" si="157"/>
        <v>674.73413090886982</v>
      </c>
      <c r="AN209" s="1498">
        <f t="shared" si="158"/>
        <v>13687.941669523078</v>
      </c>
      <c r="AO209" s="1184">
        <f t="shared" si="159"/>
        <v>0</v>
      </c>
    </row>
    <row r="210" spans="1:41" ht="15.75" thickBot="1">
      <c r="A210" s="172">
        <f>'Input data'!A150</f>
        <v>2050</v>
      </c>
      <c r="B210" s="664">
        <f>'Input data'!B150</f>
        <v>75.517908954390194</v>
      </c>
      <c r="C210" s="239">
        <f>'Input data'!C150</f>
        <v>5947.0928685667695</v>
      </c>
      <c r="D210" s="1520">
        <f>'Input data'!E150</f>
        <v>640947.1872176266</v>
      </c>
      <c r="E210" s="670">
        <f>'Input data'!J150*C210</f>
        <v>71549.745648622338</v>
      </c>
      <c r="F210" s="667">
        <f>'Input data'!L150</f>
        <v>72190.69283583996</v>
      </c>
      <c r="G210" s="1475">
        <f t="shared" si="171"/>
        <v>13687.941669523079</v>
      </c>
      <c r="H210" s="1518">
        <f t="shared" si="160"/>
        <v>27969.310136490534</v>
      </c>
      <c r="I210" s="1520">
        <f t="shared" si="136"/>
        <v>640.94718721762661</v>
      </c>
      <c r="J210" s="651">
        <f t="shared" si="170"/>
        <v>0.4</v>
      </c>
      <c r="K210" s="1518">
        <f t="shared" si="162"/>
        <v>216.93002495487315</v>
      </c>
      <c r="L210" s="1518">
        <f t="shared" si="137"/>
        <v>0</v>
      </c>
      <c r="M210" s="1520">
        <f t="shared" si="163"/>
        <v>216.93002495487315</v>
      </c>
      <c r="N210" s="650">
        <f t="shared" si="169"/>
        <v>0.5</v>
      </c>
      <c r="O210" s="659">
        <f t="shared" si="138"/>
        <v>751.91700000000026</v>
      </c>
      <c r="P210" s="1695">
        <f t="shared" si="166"/>
        <v>968.8470249548734</v>
      </c>
      <c r="Q210" s="1485">
        <f t="shared" si="139"/>
        <v>40688.404781058744</v>
      </c>
      <c r="R210" s="1485">
        <f t="shared" si="164"/>
        <v>27000.463111535664</v>
      </c>
      <c r="S210" s="578">
        <f t="shared" si="140"/>
        <v>0.66992290256252363</v>
      </c>
      <c r="T210" s="1105" t="str">
        <f t="shared" si="141"/>
        <v>Yes</v>
      </c>
      <c r="U210" s="1528">
        <f t="shared" si="142"/>
        <v>0.66992290256252363</v>
      </c>
      <c r="V210" s="1495">
        <f t="shared" si="134"/>
        <v>45190.229724304314</v>
      </c>
      <c r="W210" s="1529">
        <f t="shared" si="135"/>
        <v>0.37401584679252353</v>
      </c>
      <c r="X210" s="670">
        <f t="shared" si="143"/>
        <v>13687.941669523076</v>
      </c>
      <c r="Y210" s="1518">
        <f t="shared" si="144"/>
        <v>5985.9495101987231</v>
      </c>
      <c r="Z210" s="1532">
        <f t="shared" si="145"/>
        <v>3985.2140129658874</v>
      </c>
      <c r="AA210" s="1532">
        <f t="shared" si="146"/>
        <v>0</v>
      </c>
      <c r="AB210" s="1532">
        <f t="shared" si="147"/>
        <v>21531.124531616624</v>
      </c>
      <c r="AC210" s="1532">
        <f t="shared" si="148"/>
        <v>45190.229724304314</v>
      </c>
      <c r="AD210" s="1488">
        <f t="shared" si="149"/>
        <v>0</v>
      </c>
      <c r="AE210" s="650">
        <f t="shared" si="150"/>
        <v>0.30289604087056443</v>
      </c>
      <c r="AF210" s="651">
        <f t="shared" si="151"/>
        <v>0.1324611436303309</v>
      </c>
      <c r="AG210" s="651">
        <f t="shared" si="152"/>
        <v>8.8187513922341282E-2</v>
      </c>
      <c r="AH210" s="651">
        <f t="shared" si="165"/>
        <v>0</v>
      </c>
      <c r="AI210" s="651">
        <f>AB210/AC210</f>
        <v>0.4764553015767633</v>
      </c>
      <c r="AJ210" s="651">
        <f t="shared" si="154"/>
        <v>0.99999999999999989</v>
      </c>
      <c r="AK210" s="1499">
        <f t="shared" si="155"/>
        <v>384.56831233057596</v>
      </c>
      <c r="AL210" s="1500">
        <f t="shared" si="156"/>
        <v>12604.646871485826</v>
      </c>
      <c r="AM210" s="1500">
        <f t="shared" si="157"/>
        <v>698.7264857066707</v>
      </c>
      <c r="AN210" s="1500">
        <f t="shared" si="158"/>
        <v>13687.941669523072</v>
      </c>
      <c r="AO210" s="1185">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75">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5">
      <c r="A4" s="349" t="s">
        <v>352</v>
      </c>
      <c r="B4" s="349"/>
      <c r="C4" s="349" t="s">
        <v>353</v>
      </c>
      <c r="D4" s="350" t="s">
        <v>381</v>
      </c>
      <c r="E4" s="351" t="s">
        <v>382</v>
      </c>
      <c r="F4" s="352" t="s">
        <v>383</v>
      </c>
      <c r="G4" s="352"/>
      <c r="H4" s="352"/>
      <c r="I4" s="351" t="s">
        <v>384</v>
      </c>
      <c r="J4" s="1931" t="s">
        <v>545</v>
      </c>
      <c r="K4" s="1930" t="s">
        <v>546</v>
      </c>
      <c r="L4" s="1930" t="s">
        <v>547</v>
      </c>
      <c r="M4" s="1930" t="s">
        <v>548</v>
      </c>
      <c r="N4" s="1930" t="s">
        <v>498</v>
      </c>
      <c r="O4" s="1930"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31" t="s">
        <v>355</v>
      </c>
      <c r="K5" s="1930"/>
      <c r="L5" s="1930"/>
      <c r="M5" s="1930"/>
      <c r="N5" s="1930"/>
      <c r="O5" s="1930"/>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75">
      <c r="A6" s="1932"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75">
      <c r="A7" s="1932"/>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75">
      <c r="A8" s="1932"/>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3"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3"/>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3"/>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75">
      <c r="A12" s="1933"/>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3"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3"/>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30">
      <c r="A15" s="1933"/>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75">
      <c r="A16" s="1933"/>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75">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75">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75">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75">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75">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75">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75">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75">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75">
      <c r="C25" s="366" t="s">
        <v>761</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75">
      <c r="C26" s="366" t="s">
        <v>727</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75">
      <c r="C27" s="366" t="s">
        <v>734</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75">
      <c r="A28" s="370"/>
      <c r="C28" s="366" t="s">
        <v>760</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75">
      <c r="A29" s="369" t="s">
        <v>389</v>
      </c>
      <c r="B29" s="371"/>
      <c r="C29" s="366" t="s">
        <v>762</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75">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75">
      <c r="A31" s="373">
        <v>2017</v>
      </c>
      <c r="B31" s="1405">
        <f>'Input data'!C117</f>
        <v>3117.5115237718705</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75">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75">
      <c r="A33" s="1934" t="s">
        <v>392</v>
      </c>
      <c r="B33" s="1934"/>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75">
      <c r="A34" s="374">
        <v>2017</v>
      </c>
      <c r="B34" s="375">
        <f>($J$19/1000)/(B31)</f>
        <v>28.06789123869763</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75">
      <c r="A35" s="376"/>
      <c r="B35" s="1171"/>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75">
      <c r="A36" s="374">
        <v>2017</v>
      </c>
      <c r="B36" s="375">
        <f>J23/1000/B31</f>
        <v>12.031045626813224</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75">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75">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35"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35"/>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35"/>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35"/>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35"/>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75">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75">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75">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75">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75">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75">
      <c r="A50" s="355"/>
      <c r="B50" s="355" t="s">
        <v>341</v>
      </c>
      <c r="C50" s="355" t="s">
        <v>755</v>
      </c>
      <c r="D50" s="355" t="s">
        <v>401</v>
      </c>
      <c r="E50" s="355"/>
      <c r="F50" s="355"/>
      <c r="G50" s="355"/>
      <c r="H50" s="355"/>
      <c r="I50" s="355"/>
      <c r="J50" s="378">
        <v>14408453</v>
      </c>
      <c r="K50" s="378">
        <v>11209700</v>
      </c>
      <c r="L50" s="378">
        <v>1503834</v>
      </c>
      <c r="M50" s="355">
        <v>0</v>
      </c>
      <c r="N50" s="378">
        <v>0</v>
      </c>
      <c r="O50" s="378">
        <v>1694919</v>
      </c>
      <c r="P50" t="s">
        <v>756</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75">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75">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75">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75">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75">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75">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75">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75">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30">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75">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75">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75">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75">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75">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75">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75">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75">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75">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75">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75">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75">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75">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75">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75">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36" t="s">
        <v>184</v>
      </c>
      <c r="H71" s="104"/>
      <c r="I71" s="104"/>
      <c r="J71" s="130"/>
    </row>
    <row r="72" spans="2:16">
      <c r="B72" s="127" t="s">
        <v>180</v>
      </c>
      <c r="C72" s="104" t="s">
        <v>179</v>
      </c>
      <c r="D72" s="104">
        <v>2</v>
      </c>
      <c r="E72" s="104">
        <v>0.8</v>
      </c>
      <c r="F72" s="104"/>
      <c r="G72" s="1936"/>
      <c r="H72" s="104"/>
      <c r="I72" s="104"/>
      <c r="J72" s="130"/>
    </row>
    <row r="73" spans="2:16">
      <c r="B73" s="157" t="s">
        <v>181</v>
      </c>
      <c r="C73" s="104"/>
      <c r="D73" s="104"/>
      <c r="E73" s="104"/>
      <c r="F73" s="104"/>
      <c r="G73" s="1936"/>
      <c r="H73" s="104"/>
      <c r="I73" s="104"/>
      <c r="J73" s="130"/>
    </row>
    <row r="74" spans="2:16">
      <c r="B74" s="127" t="s">
        <v>176</v>
      </c>
      <c r="C74" s="104" t="s">
        <v>183</v>
      </c>
      <c r="D74" s="104">
        <v>0.6</v>
      </c>
      <c r="E74" s="104">
        <v>0.24</v>
      </c>
      <c r="F74" s="104"/>
      <c r="G74" s="1936"/>
      <c r="H74" s="104"/>
      <c r="I74" s="104"/>
      <c r="J74" s="130"/>
    </row>
    <row r="75" spans="2:16">
      <c r="B75" s="127" t="s">
        <v>180</v>
      </c>
      <c r="C75" s="104" t="s">
        <v>183</v>
      </c>
      <c r="D75" s="169" t="s">
        <v>182</v>
      </c>
      <c r="E75" s="169" t="s">
        <v>182</v>
      </c>
      <c r="F75" s="104"/>
      <c r="G75" s="1936"/>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75">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7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75">
      <c r="C105" s="112" t="s">
        <v>261</v>
      </c>
      <c r="Q105" s="1937" t="s">
        <v>262</v>
      </c>
      <c r="R105" s="1937"/>
      <c r="S105" s="1937"/>
      <c r="T105" s="1937"/>
    </row>
    <row r="107" spans="2:20">
      <c r="C107" t="s">
        <v>263</v>
      </c>
    </row>
    <row r="108" spans="2:20">
      <c r="C108" t="s">
        <v>264</v>
      </c>
    </row>
    <row r="109" spans="2:20">
      <c r="C109" t="s">
        <v>265</v>
      </c>
    </row>
    <row r="110" spans="2:20">
      <c r="C110" t="s">
        <v>266</v>
      </c>
    </row>
    <row r="111" spans="2:20" ht="15.75" thickBot="1"/>
    <row r="112" spans="2:20" ht="15.75" thickBot="1">
      <c r="B112" s="4"/>
      <c r="C112" s="1938" t="s">
        <v>267</v>
      </c>
      <c r="D112" s="1939"/>
      <c r="E112" s="1939"/>
      <c r="F112" s="1939"/>
      <c r="G112" s="1939"/>
      <c r="H112" s="1940"/>
      <c r="I112" s="1938" t="s">
        <v>268</v>
      </c>
      <c r="J112" s="1939"/>
      <c r="K112" s="1939"/>
      <c r="L112" s="1939"/>
      <c r="M112" s="1939"/>
      <c r="N112" s="1940"/>
      <c r="O112" s="4"/>
      <c r="R112" s="288" t="s">
        <v>267</v>
      </c>
      <c r="S112" s="289"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1" t="s">
        <v>276</v>
      </c>
      <c r="S113" s="1941"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2"/>
      <c r="S114" s="1942"/>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2"/>
      <c r="S115" s="1942"/>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2"/>
      <c r="S116" s="1942"/>
      <c r="T116" s="5"/>
    </row>
    <row r="117" spans="2:20" ht="15.75" thickBot="1">
      <c r="B117" s="267"/>
      <c r="C117" s="267"/>
      <c r="D117" s="268"/>
      <c r="E117" s="268"/>
      <c r="F117" s="268"/>
      <c r="G117" s="268"/>
      <c r="H117" s="269"/>
      <c r="I117" s="267"/>
      <c r="J117" s="268"/>
      <c r="K117" s="268"/>
      <c r="L117" s="268"/>
      <c r="M117" s="268"/>
      <c r="N117" s="269"/>
      <c r="O117" s="270"/>
      <c r="P117" s="5"/>
      <c r="Q117" s="5"/>
      <c r="R117" s="1942"/>
      <c r="S117" s="1942"/>
      <c r="T117" s="5"/>
    </row>
    <row r="118" spans="2:20" ht="15.75" thickBot="1">
      <c r="B118" s="283"/>
      <c r="C118" s="1944" t="s">
        <v>280</v>
      </c>
      <c r="D118" s="1945"/>
      <c r="E118" s="1945"/>
      <c r="F118" s="1945"/>
      <c r="G118" s="1945"/>
      <c r="H118" s="1946"/>
      <c r="I118" s="1944" t="s">
        <v>280</v>
      </c>
      <c r="J118" s="1945"/>
      <c r="K118" s="1945"/>
      <c r="L118" s="1945"/>
      <c r="M118" s="1945"/>
      <c r="N118" s="1946"/>
      <c r="O118" s="284"/>
      <c r="P118" s="5"/>
      <c r="Q118" s="5"/>
      <c r="R118" s="1942"/>
      <c r="S118" s="1942"/>
      <c r="T118" s="5"/>
    </row>
    <row r="119" spans="2:20" ht="15.75" thickBot="1">
      <c r="B119" s="282" t="s">
        <v>281</v>
      </c>
      <c r="C119" s="271">
        <v>0</v>
      </c>
      <c r="D119" s="272">
        <v>0</v>
      </c>
      <c r="E119" s="272">
        <v>1</v>
      </c>
      <c r="F119" s="272">
        <v>0</v>
      </c>
      <c r="G119" s="272">
        <v>0</v>
      </c>
      <c r="H119" s="1947" t="s">
        <v>282</v>
      </c>
      <c r="I119" s="271">
        <v>0.2</v>
      </c>
      <c r="J119" s="272">
        <v>0.3</v>
      </c>
      <c r="K119" s="272">
        <v>0.25</v>
      </c>
      <c r="L119" s="272">
        <v>0.05</v>
      </c>
      <c r="M119" s="272">
        <v>0.2</v>
      </c>
      <c r="N119" s="1947" t="s">
        <v>282</v>
      </c>
      <c r="O119" s="285"/>
      <c r="P119" s="5"/>
      <c r="Q119" s="5"/>
      <c r="R119" s="1943"/>
      <c r="S119" s="1943"/>
      <c r="T119" s="5"/>
    </row>
    <row r="120" spans="2:20" ht="15.75" thickBot="1">
      <c r="B120" s="278" t="s">
        <v>217</v>
      </c>
      <c r="C120" s="810" t="s">
        <v>229</v>
      </c>
      <c r="D120" s="811" t="s">
        <v>229</v>
      </c>
      <c r="E120" s="811" t="s">
        <v>229</v>
      </c>
      <c r="F120" s="811" t="s">
        <v>229</v>
      </c>
      <c r="G120" s="811" t="s">
        <v>229</v>
      </c>
      <c r="H120" s="1948"/>
      <c r="I120" s="810" t="s">
        <v>229</v>
      </c>
      <c r="J120" s="811" t="s">
        <v>229</v>
      </c>
      <c r="K120" s="811" t="s">
        <v>229</v>
      </c>
      <c r="L120" s="811" t="s">
        <v>229</v>
      </c>
      <c r="M120" s="811" t="s">
        <v>229</v>
      </c>
      <c r="N120" s="1948"/>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7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7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7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7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7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7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632" t="s">
        <v>315</v>
      </c>
      <c r="E1" s="1172" t="s">
        <v>320</v>
      </c>
      <c r="F1" s="104"/>
    </row>
    <row r="2" spans="1:66">
      <c r="A2" s="150"/>
      <c r="B2" s="99"/>
      <c r="C2" s="99"/>
      <c r="D2" s="104"/>
      <c r="E2" s="130"/>
      <c r="F2" s="104"/>
    </row>
    <row r="3" spans="1:66">
      <c r="A3" s="150" t="s">
        <v>316</v>
      </c>
      <c r="B3" s="99"/>
      <c r="C3" s="99" t="str">
        <f>Parameters!D94</f>
        <v>varies</v>
      </c>
      <c r="D3" s="99">
        <v>0.4</v>
      </c>
      <c r="E3" s="1173">
        <f>Parameters!F94</f>
        <v>0.05</v>
      </c>
      <c r="F3" s="104"/>
    </row>
    <row r="4" spans="1:66">
      <c r="A4" s="150" t="s">
        <v>260</v>
      </c>
      <c r="B4" s="99"/>
      <c r="C4" s="99">
        <f>Parameters!D95</f>
        <v>0.5</v>
      </c>
      <c r="D4" s="99">
        <f>Parameters!E95</f>
        <v>0.5</v>
      </c>
      <c r="E4" s="1173">
        <f>Parameters!F95</f>
        <v>0.5</v>
      </c>
      <c r="F4" s="104"/>
    </row>
    <row r="5" spans="1:66">
      <c r="A5" s="174" t="s">
        <v>257</v>
      </c>
      <c r="B5" s="175"/>
      <c r="C5" s="175">
        <f>Parameters!D96</f>
        <v>0.05</v>
      </c>
      <c r="D5" s="99">
        <f>Parameters!E96</f>
        <v>0.05</v>
      </c>
      <c r="E5" s="1173">
        <f>Parameters!F96</f>
        <v>0.06</v>
      </c>
      <c r="F5" s="104"/>
    </row>
    <row r="6" spans="1:66">
      <c r="A6" s="150" t="s">
        <v>258</v>
      </c>
      <c r="B6" s="107" t="s">
        <v>211</v>
      </c>
      <c r="C6" s="106">
        <f>Parameters!D97</f>
        <v>13.862943611198904</v>
      </c>
      <c r="D6" s="106">
        <f>Parameters!E97</f>
        <v>13.862943611198904</v>
      </c>
      <c r="E6" s="1174">
        <f>Parameters!F97</f>
        <v>11.552453009332423</v>
      </c>
      <c r="F6" s="104"/>
    </row>
    <row r="7" spans="1:66">
      <c r="A7" s="150" t="s">
        <v>255</v>
      </c>
      <c r="B7" s="107" t="s">
        <v>256</v>
      </c>
      <c r="C7" s="99">
        <f>Parameters!D98</f>
        <v>6</v>
      </c>
      <c r="D7" s="99">
        <f>Parameters!E98</f>
        <v>6</v>
      </c>
      <c r="E7" s="1173">
        <f>Parameters!F98</f>
        <v>6</v>
      </c>
      <c r="F7" s="104"/>
    </row>
    <row r="8" spans="1:66">
      <c r="A8" s="151" t="s">
        <v>248</v>
      </c>
      <c r="B8" s="108" t="s">
        <v>249</v>
      </c>
      <c r="C8" s="158">
        <f>Parameters!D99</f>
        <v>0.95122942450071402</v>
      </c>
      <c r="D8" s="158">
        <f>Parameters!E99</f>
        <v>0.95122942450071402</v>
      </c>
      <c r="E8" s="1175">
        <f>Parameters!F99</f>
        <v>0.94176453358424872</v>
      </c>
      <c r="F8" s="104"/>
    </row>
    <row r="9" spans="1:66">
      <c r="A9" s="151" t="s">
        <v>250</v>
      </c>
      <c r="B9" s="108" t="s">
        <v>251</v>
      </c>
      <c r="C9" s="99">
        <f>Parameters!D100</f>
        <v>13</v>
      </c>
      <c r="D9" s="99">
        <f>Parameters!E100</f>
        <v>13</v>
      </c>
      <c r="E9" s="1173">
        <f>Parameters!F100</f>
        <v>13</v>
      </c>
      <c r="F9" s="104"/>
      <c r="H9" s="561"/>
    </row>
    <row r="10" spans="1:66">
      <c r="A10" s="151" t="s">
        <v>252</v>
      </c>
      <c r="B10" s="108" t="s">
        <v>253</v>
      </c>
      <c r="C10" s="99">
        <f>Parameters!D101</f>
        <v>1</v>
      </c>
      <c r="D10" s="99">
        <f>Parameters!E101</f>
        <v>1</v>
      </c>
      <c r="E10" s="1173">
        <f>Parameters!F101</f>
        <v>1</v>
      </c>
      <c r="F10" s="104"/>
    </row>
    <row r="11" spans="1:66">
      <c r="A11" s="151" t="s">
        <v>259</v>
      </c>
      <c r="B11" s="108" t="s">
        <v>254</v>
      </c>
      <c r="C11" s="175">
        <f>Parameters!D102</f>
        <v>0.5</v>
      </c>
      <c r="D11" s="99">
        <f>Parameters!E102</f>
        <v>0.5</v>
      </c>
      <c r="E11" s="1173">
        <f>Parameters!F102</f>
        <v>0.5</v>
      </c>
      <c r="F11" s="104"/>
    </row>
    <row r="12" spans="1:66">
      <c r="A12" s="151" t="s">
        <v>729</v>
      </c>
      <c r="B12" s="108">
        <v>2002</v>
      </c>
      <c r="C12" s="108"/>
      <c r="D12" s="1444">
        <f>'Waste Summary 2017 SASOW'!L29</f>
        <v>0.13527885904981399</v>
      </c>
      <c r="E12" s="1173"/>
      <c r="F12" s="104"/>
    </row>
    <row r="13" spans="1:66">
      <c r="A13" s="151" t="s">
        <v>729</v>
      </c>
      <c r="B13" s="108">
        <v>2017</v>
      </c>
      <c r="C13" s="108"/>
      <c r="D13" s="1444">
        <f>'Waste Summary 2017 SASOW'!$L$25</f>
        <v>2.197312110627072E-2</v>
      </c>
      <c r="E13" s="1173"/>
      <c r="F13" s="104"/>
    </row>
    <row r="14" spans="1:66" ht="15.75" thickBot="1">
      <c r="A14" s="152" t="s">
        <v>728</v>
      </c>
      <c r="B14" s="163"/>
      <c r="C14" s="163"/>
      <c r="D14" s="683">
        <f>'Waste Summary 2017 SASOW'!$L$26</f>
        <v>6.9875113374971584E-2</v>
      </c>
      <c r="E14" s="140"/>
      <c r="F14" s="104"/>
      <c r="X14" s="1" t="s">
        <v>643</v>
      </c>
      <c r="AH14" s="1" t="s">
        <v>641</v>
      </c>
      <c r="BB14" s="314" t="s">
        <v>643</v>
      </c>
      <c r="BI14" t="s">
        <v>641</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31" t="s">
        <v>319</v>
      </c>
      <c r="BC15" s="1732"/>
      <c r="BD15" s="1732"/>
      <c r="BE15" s="1732"/>
      <c r="BF15" s="1732"/>
      <c r="BG15" s="1733"/>
      <c r="BI15" s="1731" t="s">
        <v>319</v>
      </c>
      <c r="BJ15" s="1732"/>
      <c r="BK15" s="1732"/>
      <c r="BL15" s="1732"/>
      <c r="BM15" s="1732"/>
      <c r="BN15" s="1733"/>
    </row>
    <row r="16" spans="1:66" ht="60">
      <c r="A16" s="1961" t="s">
        <v>217</v>
      </c>
      <c r="B16" s="1964" t="s">
        <v>218</v>
      </c>
      <c r="C16" s="1964" t="s">
        <v>219</v>
      </c>
      <c r="D16" s="1961" t="s">
        <v>220</v>
      </c>
      <c r="E16" s="1961" t="s">
        <v>221</v>
      </c>
      <c r="F16" s="1966" t="s">
        <v>85</v>
      </c>
      <c r="G16" s="1966" t="s">
        <v>87</v>
      </c>
      <c r="H16" s="1966" t="s">
        <v>222</v>
      </c>
      <c r="I16" s="1966" t="s">
        <v>115</v>
      </c>
      <c r="J16" s="1966" t="s">
        <v>223</v>
      </c>
      <c r="K16" s="1966" t="s">
        <v>224</v>
      </c>
      <c r="L16" s="1959" t="s">
        <v>225</v>
      </c>
      <c r="M16" s="294"/>
      <c r="N16" s="213" t="s">
        <v>235</v>
      </c>
      <c r="O16" s="214" t="s">
        <v>22</v>
      </c>
      <c r="P16" s="214" t="s">
        <v>236</v>
      </c>
      <c r="Q16" s="215" t="s">
        <v>237</v>
      </c>
      <c r="R16" s="215" t="s">
        <v>238</v>
      </c>
      <c r="S16" s="215" t="s">
        <v>239</v>
      </c>
      <c r="T16" s="215" t="s">
        <v>240</v>
      </c>
      <c r="U16" s="215" t="s">
        <v>241</v>
      </c>
      <c r="V16" s="221" t="s">
        <v>300</v>
      </c>
      <c r="W16" s="1742" t="s">
        <v>729</v>
      </c>
      <c r="X16" s="213" t="s">
        <v>726</v>
      </c>
      <c r="Y16" s="214" t="s">
        <v>22</v>
      </c>
      <c r="Z16" s="214" t="s">
        <v>236</v>
      </c>
      <c r="AA16" s="215" t="s">
        <v>237</v>
      </c>
      <c r="AB16" s="215" t="s">
        <v>238</v>
      </c>
      <c r="AC16" s="215" t="s">
        <v>239</v>
      </c>
      <c r="AD16" s="215" t="s">
        <v>240</v>
      </c>
      <c r="AE16" s="215" t="s">
        <v>241</v>
      </c>
      <c r="AF16" s="221" t="s">
        <v>300</v>
      </c>
      <c r="AG16" s="1742"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1" t="s">
        <v>267</v>
      </c>
      <c r="BC16" s="1953" t="s">
        <v>315</v>
      </c>
      <c r="BD16" s="1955" t="s">
        <v>320</v>
      </c>
      <c r="BE16" s="1953" t="s">
        <v>225</v>
      </c>
      <c r="BF16" s="1953" t="s">
        <v>321</v>
      </c>
      <c r="BG16" s="1957" t="s">
        <v>322</v>
      </c>
      <c r="BI16" s="1951" t="s">
        <v>267</v>
      </c>
      <c r="BJ16" s="1953" t="s">
        <v>315</v>
      </c>
      <c r="BK16" s="1955" t="s">
        <v>320</v>
      </c>
      <c r="BL16" s="1953" t="s">
        <v>225</v>
      </c>
      <c r="BM16" s="1953" t="s">
        <v>321</v>
      </c>
      <c r="BN16" s="1957" t="s">
        <v>322</v>
      </c>
    </row>
    <row r="17" spans="1:66" ht="24.75">
      <c r="A17" s="1962"/>
      <c r="B17" s="1965"/>
      <c r="C17" s="1965"/>
      <c r="D17" s="1962"/>
      <c r="E17" s="1962"/>
      <c r="F17" s="1967"/>
      <c r="G17" s="1967"/>
      <c r="H17" s="1967"/>
      <c r="I17" s="1967"/>
      <c r="J17" s="1967"/>
      <c r="K17" s="1967"/>
      <c r="L17" s="1960"/>
      <c r="M17" s="295"/>
      <c r="N17" s="222" t="s">
        <v>242</v>
      </c>
      <c r="O17" s="223" t="s">
        <v>22</v>
      </c>
      <c r="P17" s="223" t="s">
        <v>236</v>
      </c>
      <c r="Q17" s="224" t="s">
        <v>243</v>
      </c>
      <c r="R17" s="224" t="s">
        <v>244</v>
      </c>
      <c r="S17" s="224" t="s">
        <v>245</v>
      </c>
      <c r="T17" s="224" t="s">
        <v>301</v>
      </c>
      <c r="U17" s="224" t="s">
        <v>302</v>
      </c>
      <c r="V17" s="225" t="s">
        <v>246</v>
      </c>
      <c r="W17" s="1949"/>
      <c r="X17" s="222" t="s">
        <v>242</v>
      </c>
      <c r="Y17" s="223" t="s">
        <v>22</v>
      </c>
      <c r="Z17" s="223" t="s">
        <v>236</v>
      </c>
      <c r="AA17" s="224" t="s">
        <v>243</v>
      </c>
      <c r="AB17" s="224" t="s">
        <v>244</v>
      </c>
      <c r="AC17" s="224" t="s">
        <v>245</v>
      </c>
      <c r="AD17" s="224" t="s">
        <v>301</v>
      </c>
      <c r="AE17" s="224" t="s">
        <v>302</v>
      </c>
      <c r="AF17" s="225" t="s">
        <v>246</v>
      </c>
      <c r="AG17" s="1949"/>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2"/>
      <c r="BC17" s="1954"/>
      <c r="BD17" s="1956"/>
      <c r="BE17" s="1954"/>
      <c r="BF17" s="1954"/>
      <c r="BG17" s="1958"/>
      <c r="BI17" s="1952"/>
      <c r="BJ17" s="1954"/>
      <c r="BK17" s="1956"/>
      <c r="BL17" s="1954"/>
      <c r="BM17" s="1954"/>
      <c r="BN17" s="1958"/>
    </row>
    <row r="18" spans="1:66" ht="15.75" thickBot="1">
      <c r="A18" s="1963"/>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0"/>
      <c r="X18" s="217" t="s">
        <v>228</v>
      </c>
      <c r="Y18" s="218" t="s">
        <v>41</v>
      </c>
      <c r="Z18" s="218" t="s">
        <v>41</v>
      </c>
      <c r="AA18" s="219" t="s">
        <v>228</v>
      </c>
      <c r="AB18" s="219" t="s">
        <v>228</v>
      </c>
      <c r="AC18" s="219" t="s">
        <v>228</v>
      </c>
      <c r="AD18" s="219" t="s">
        <v>228</v>
      </c>
      <c r="AE18" s="219" t="s">
        <v>228</v>
      </c>
      <c r="AF18" s="220" t="s">
        <v>228</v>
      </c>
      <c r="AG18" s="1950"/>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48">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6">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48">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6">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48">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6">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48">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6">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48">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6">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48">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6">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48">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6">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48">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6">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48">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6">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48">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6">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48">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6">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48">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46">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48">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46">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48">
        <f t="shared" si="8"/>
        <v>0.13527885904981399</v>
      </c>
      <c r="X33" s="914">
        <f>'Baseline data (from input)'!AS19*W33</f>
        <v>2296.1168290381702</v>
      </c>
      <c r="Y33" s="907">
        <f>Parameters!S134</f>
        <v>0.71500000000000008</v>
      </c>
      <c r="Z33" s="907">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46">
        <f t="shared" si="16"/>
        <v>0.13527885904981399</v>
      </c>
      <c r="AH33" s="914">
        <f>'Baseline data (from input)'!AS19*AG33</f>
        <v>2296.1168290381702</v>
      </c>
      <c r="AI33" s="907">
        <f>Parameters!S134</f>
        <v>0.71500000000000008</v>
      </c>
      <c r="AJ33" s="907">
        <f t="shared" si="17"/>
        <v>0.4</v>
      </c>
      <c r="AK33" s="906">
        <f t="shared" si="18"/>
        <v>328.34470655245843</v>
      </c>
      <c r="AL33" s="906">
        <f t="shared" si="19"/>
        <v>328.34470655245843</v>
      </c>
      <c r="AM33" s="286">
        <f t="shared" si="20"/>
        <v>0</v>
      </c>
      <c r="AN33" s="906">
        <f t="shared" si="21"/>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48">
        <f t="shared" si="8"/>
        <v>0.13527885904981399</v>
      </c>
      <c r="X34" s="914">
        <f>'Baseline data (from input)'!AS20*W34</f>
        <v>2478.4234921289667</v>
      </c>
      <c r="Y34" s="907">
        <f>Parameters!S135</f>
        <v>0.71500000000000008</v>
      </c>
      <c r="Z34" s="907">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46">
        <f t="shared" si="16"/>
        <v>0.13527885904981399</v>
      </c>
      <c r="AH34" s="914">
        <f>'Baseline data (from input)'!AS20*AG34</f>
        <v>2478.4234921289667</v>
      </c>
      <c r="AI34" s="907">
        <f>Parameters!S135</f>
        <v>0.71500000000000008</v>
      </c>
      <c r="AJ34" s="907">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48">
        <f t="shared" si="8"/>
        <v>0.13527885904981399</v>
      </c>
      <c r="X35" s="914">
        <f>'Baseline data (from input)'!AS21*W35</f>
        <v>2630.1714348322043</v>
      </c>
      <c r="Y35" s="907">
        <f>Parameters!S136</f>
        <v>0.71500000000000008</v>
      </c>
      <c r="Z35" s="907">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46">
        <f t="shared" si="16"/>
        <v>0.13527885904981399</v>
      </c>
      <c r="AH35" s="914">
        <f>'Baseline data (from input)'!AS21*AG35</f>
        <v>2630.1714348322043</v>
      </c>
      <c r="AI35" s="907">
        <f>Parameters!S136</f>
        <v>0.71500000000000008</v>
      </c>
      <c r="AJ35" s="907">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48">
        <f t="shared" si="8"/>
        <v>0.13527885904981399</v>
      </c>
      <c r="X36" s="914">
        <f>'Baseline data (from input)'!AS22*W36</f>
        <v>2746.9065510606351</v>
      </c>
      <c r="Y36" s="907">
        <f>Parameters!S137</f>
        <v>0.71500000000000008</v>
      </c>
      <c r="Z36" s="907">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46">
        <f t="shared" si="16"/>
        <v>0.13527885904981399</v>
      </c>
      <c r="AH36" s="914">
        <f>'Baseline data (from input)'!AS22*AG36</f>
        <v>2746.9065510606351</v>
      </c>
      <c r="AI36" s="907">
        <f>Parameters!S137</f>
        <v>0.71500000000000008</v>
      </c>
      <c r="AJ36" s="907">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48">
        <f t="shared" si="8"/>
        <v>0.13527885904981399</v>
      </c>
      <c r="X37" s="914">
        <f>'Baseline data (from input)'!AS23*W37</f>
        <v>2944.5897670360177</v>
      </c>
      <c r="Y37" s="907">
        <f>Parameters!S138</f>
        <v>0.71500000000000008</v>
      </c>
      <c r="Z37" s="907">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46">
        <f t="shared" si="16"/>
        <v>0.13527885904981399</v>
      </c>
      <c r="AH37" s="914">
        <f>'Baseline data (from input)'!AS23*AG37</f>
        <v>2944.5897670360177</v>
      </c>
      <c r="AI37" s="907">
        <f>Parameters!S138</f>
        <v>0.71500000000000008</v>
      </c>
      <c r="AJ37" s="907">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48">
        <f t="shared" si="8"/>
        <v>0.13527885904981399</v>
      </c>
      <c r="X38" s="914">
        <f>'Baseline data (from input)'!AS24*W38</f>
        <v>3066.8916780085497</v>
      </c>
      <c r="Y38" s="907">
        <f>Parameters!S139</f>
        <v>0.71500000000000008</v>
      </c>
      <c r="Z38" s="907">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46">
        <f t="shared" si="16"/>
        <v>0.13527885904981399</v>
      </c>
      <c r="AH38" s="914">
        <f>'Baseline data (from input)'!AS24*AG38</f>
        <v>3066.8916780085497</v>
      </c>
      <c r="AI38" s="907">
        <f>Parameters!S139</f>
        <v>0.71500000000000008</v>
      </c>
      <c r="AJ38" s="907">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48">
        <f t="shared" si="8"/>
        <v>0.13527885904981399</v>
      </c>
      <c r="X39" s="914">
        <f>'Baseline data (from input)'!AS25*W39</f>
        <v>3211.5210945049507</v>
      </c>
      <c r="Y39" s="907">
        <f>Parameters!S140</f>
        <v>0.71500000000000008</v>
      </c>
      <c r="Z39" s="907">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46">
        <f t="shared" si="16"/>
        <v>0.13527885904981399</v>
      </c>
      <c r="AH39" s="914">
        <f>'Baseline data (from input)'!AS25*AG39</f>
        <v>3211.5210945049507</v>
      </c>
      <c r="AI39" s="907">
        <f>Parameters!S140</f>
        <v>0.71500000000000008</v>
      </c>
      <c r="AJ39" s="907">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48">
        <f t="shared" si="8"/>
        <v>0.13527885904981399</v>
      </c>
      <c r="X40" s="914">
        <f>'Baseline data (from input)'!AS26*W40</f>
        <v>3380.0833715323015</v>
      </c>
      <c r="Y40" s="907">
        <f>Parameters!S141</f>
        <v>0.71500000000000008</v>
      </c>
      <c r="Z40" s="907">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46">
        <f t="shared" si="16"/>
        <v>0.13527885904981399</v>
      </c>
      <c r="AH40" s="914">
        <f>'Baseline data (from input)'!AS26*AG40</f>
        <v>3380.0833715323015</v>
      </c>
      <c r="AI40" s="907">
        <f>Parameters!S141</f>
        <v>0.71500000000000008</v>
      </c>
      <c r="AJ40" s="907">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48">
        <f t="shared" si="8"/>
        <v>0.13527885904981399</v>
      </c>
      <c r="X41" s="914">
        <f>'Baseline data (from input)'!AS27*W41</f>
        <v>3524.716139475715</v>
      </c>
      <c r="Y41" s="907">
        <f>Parameters!S142</f>
        <v>0.71500000000000008</v>
      </c>
      <c r="Z41" s="907">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46">
        <f t="shared" si="16"/>
        <v>0.13527885904981399</v>
      </c>
      <c r="AH41" s="914">
        <f>'Baseline data (from input)'!AS27*AG41</f>
        <v>3524.716139475715</v>
      </c>
      <c r="AI41" s="907">
        <f>Parameters!S142</f>
        <v>0.71500000000000008</v>
      </c>
      <c r="AJ41" s="907">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48">
        <f t="shared" si="8"/>
        <v>0.13527885904981399</v>
      </c>
      <c r="X42" s="914">
        <f>'Baseline data (from input)'!AS28*W42</f>
        <v>3583.0418042047595</v>
      </c>
      <c r="Y42" s="907">
        <f>Parameters!S143</f>
        <v>0.71500000000000008</v>
      </c>
      <c r="Z42" s="907">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46">
        <f t="shared" si="16"/>
        <v>0.13527885904981399</v>
      </c>
      <c r="AH42" s="914">
        <f>'Baseline data (from input)'!AS28*AG42</f>
        <v>3583.0418042047595</v>
      </c>
      <c r="AI42" s="907">
        <f>Parameters!S143</f>
        <v>0.71500000000000008</v>
      </c>
      <c r="AJ42" s="907">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48">
        <f t="shared" si="8"/>
        <v>0.13527885904981399</v>
      </c>
      <c r="X43" s="914">
        <f>'Baseline data (from input)'!AS29*W43</f>
        <v>3746.8583970602153</v>
      </c>
      <c r="Y43" s="907">
        <f>Parameters!S144</f>
        <v>0.71500000000000008</v>
      </c>
      <c r="Z43" s="907">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46">
        <f t="shared" si="16"/>
        <v>0.13527885904981399</v>
      </c>
      <c r="AH43" s="914">
        <f>'Baseline data (from input)'!AS29*AG43</f>
        <v>3746.8583970602153</v>
      </c>
      <c r="AI43" s="907">
        <f>Parameters!S144</f>
        <v>0.71500000000000008</v>
      </c>
      <c r="AJ43" s="907">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48">
        <f t="shared" si="8"/>
        <v>0.13527885904981399</v>
      </c>
      <c r="X44" s="914">
        <f>'Baseline data (from input)'!AS30*W44</f>
        <v>3975.8309542811171</v>
      </c>
      <c r="Y44" s="907">
        <f>Parameters!S145</f>
        <v>0.71500000000000008</v>
      </c>
      <c r="Z44" s="907">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46">
        <f t="shared" si="16"/>
        <v>0.13527885904981399</v>
      </c>
      <c r="AH44" s="914">
        <f>'Baseline data (from input)'!AS30*AG44</f>
        <v>3975.8309542811171</v>
      </c>
      <c r="AI44" s="907">
        <f>Parameters!S145</f>
        <v>0.71500000000000008</v>
      </c>
      <c r="AJ44" s="907">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48">
        <f t="shared" si="8"/>
        <v>0.13527885904981399</v>
      </c>
      <c r="X45" s="914">
        <f>'Baseline data (from input)'!AS31*W45</f>
        <v>4043.2391077160787</v>
      </c>
      <c r="Y45" s="907">
        <f>Parameters!S146</f>
        <v>0.71500000000000008</v>
      </c>
      <c r="Z45" s="907">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46">
        <f t="shared" si="16"/>
        <v>0.13527885904981399</v>
      </c>
      <c r="AH45" s="914">
        <f>'Baseline data (from input)'!AS31*AG45</f>
        <v>4043.2391077160787</v>
      </c>
      <c r="AI45" s="907">
        <f>Parameters!S146</f>
        <v>0.71500000000000008</v>
      </c>
      <c r="AJ45" s="907">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48">
        <f t="shared" si="8"/>
        <v>0.13527885904981399</v>
      </c>
      <c r="X46" s="914">
        <f>'Baseline data (from input)'!AS32*W46</f>
        <v>4134.2081083134963</v>
      </c>
      <c r="Y46" s="907">
        <f>Parameters!S147</f>
        <v>0.71500000000000008</v>
      </c>
      <c r="Z46" s="907">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46">
        <f t="shared" si="16"/>
        <v>0.13527885904981399</v>
      </c>
      <c r="AH46" s="914">
        <f>'Baseline data (from input)'!AS32*AG46</f>
        <v>4134.2081083134963</v>
      </c>
      <c r="AI46" s="907">
        <f>Parameters!S147</f>
        <v>0.71500000000000008</v>
      </c>
      <c r="AJ46" s="907">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48">
        <f t="shared" si="8"/>
        <v>0.13527885904981399</v>
      </c>
      <c r="X47" s="914">
        <f>'Baseline data (from input)'!AS33*W47</f>
        <v>4130.3204009580104</v>
      </c>
      <c r="Y47" s="907">
        <f>Parameters!S148</f>
        <v>0.71500000000000008</v>
      </c>
      <c r="Z47" s="907">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46">
        <f t="shared" si="16"/>
        <v>0.13527885904981399</v>
      </c>
      <c r="AH47" s="914">
        <f>'Baseline data (from input)'!AS33*AG47</f>
        <v>4130.3204009580104</v>
      </c>
      <c r="AI47" s="907">
        <f>Parameters!S148</f>
        <v>0.71500000000000008</v>
      </c>
      <c r="AJ47" s="907">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48">
        <f t="shared" si="8"/>
        <v>0.13527885904981399</v>
      </c>
      <c r="X48" s="914">
        <f>'Baseline data (from input)'!AS34*W48</f>
        <v>4254.8309318975771</v>
      </c>
      <c r="Y48" s="907">
        <f>Parameters!S149</f>
        <v>0.71500000000000008</v>
      </c>
      <c r="Z48" s="907">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46">
        <f t="shared" si="16"/>
        <v>0.13527885904981399</v>
      </c>
      <c r="AH48" s="914">
        <f>'Baseline data (from input)'!AS34*AG48</f>
        <v>4254.8309318975771</v>
      </c>
      <c r="AI48" s="907">
        <f>Parameters!S149</f>
        <v>0.71500000000000008</v>
      </c>
      <c r="AJ48" s="907">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48">
        <f t="shared" si="8"/>
        <v>0.13527885904981399</v>
      </c>
      <c r="X49" s="914">
        <f>'Baseline data (from input)'!AS35*W49</f>
        <v>4416.110460565309</v>
      </c>
      <c r="Y49" s="907">
        <f>Parameters!S150</f>
        <v>0.71500000000000008</v>
      </c>
      <c r="Z49" s="907">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46">
        <f t="shared" si="16"/>
        <v>0.13527885904981399</v>
      </c>
      <c r="AH49" s="914">
        <f>'Baseline data (from input)'!AS35*AG49</f>
        <v>4416.110460565309</v>
      </c>
      <c r="AI49" s="907">
        <f>Parameters!S150</f>
        <v>0.71500000000000008</v>
      </c>
      <c r="AJ49" s="907">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48">
        <f t="shared" si="8"/>
        <v>0.13527885904981399</v>
      </c>
      <c r="X50" s="914">
        <f>'Baseline data (from input)'!AS36*W50</f>
        <v>4708.4828108779766</v>
      </c>
      <c r="Y50" s="907">
        <f>Parameters!S151</f>
        <v>0.71500000000000008</v>
      </c>
      <c r="Z50" s="907">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46">
        <f t="shared" si="16"/>
        <v>0.13527885904981399</v>
      </c>
      <c r="AH50" s="914">
        <f>'Baseline data (from input)'!AS36*AG50</f>
        <v>4708.4828108779766</v>
      </c>
      <c r="AI50" s="907">
        <f>Parameters!S151</f>
        <v>0.71500000000000008</v>
      </c>
      <c r="AJ50" s="907">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48">
        <f t="shared" si="8"/>
        <v>0.13527885904981399</v>
      </c>
      <c r="X51" s="914">
        <f>'Baseline data (from input)'!AS37*W51</f>
        <v>4960.8922107878961</v>
      </c>
      <c r="Y51" s="907">
        <f>Parameters!S152</f>
        <v>0.71500000000000008</v>
      </c>
      <c r="Z51" s="907">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46">
        <f t="shared" si="16"/>
        <v>0.13527885904981399</v>
      </c>
      <c r="AH51" s="914">
        <f>'Baseline data (from input)'!AS37*AG51</f>
        <v>4960.8922107878961</v>
      </c>
      <c r="AI51" s="907">
        <f>Parameters!S152</f>
        <v>0.71500000000000008</v>
      </c>
      <c r="AJ51" s="907">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48">
        <f t="shared" si="8"/>
        <v>0.13527885904981399</v>
      </c>
      <c r="X52" s="914">
        <f>'Baseline data (from input)'!AS38*W52</f>
        <v>4941.8726079916951</v>
      </c>
      <c r="Y52" s="907">
        <f>Parameters!S153</f>
        <v>0.71500000000000008</v>
      </c>
      <c r="Z52" s="907">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46">
        <f t="shared" si="16"/>
        <v>0.13527885904981399</v>
      </c>
      <c r="AH52" s="914">
        <f>'Baseline data (from input)'!AS38*AG52</f>
        <v>4941.8726079916951</v>
      </c>
      <c r="AI52" s="907">
        <f>Parameters!S153</f>
        <v>0.71500000000000008</v>
      </c>
      <c r="AJ52" s="907">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48">
        <f t="shared" si="8"/>
        <v>0.13527885904981399</v>
      </c>
      <c r="X53" s="914">
        <f>'Baseline data (from input)'!AS39*W53</f>
        <v>4850.6187322884489</v>
      </c>
      <c r="Y53" s="907">
        <f>Parameters!S154</f>
        <v>0.71500000000000008</v>
      </c>
      <c r="Z53" s="907">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46">
        <f t="shared" si="16"/>
        <v>0.13527885904981399</v>
      </c>
      <c r="AH53" s="914">
        <f>'Baseline data (from input)'!AS39*AG53</f>
        <v>4850.6187322884489</v>
      </c>
      <c r="AI53" s="907">
        <f>Parameters!S154</f>
        <v>0.71500000000000008</v>
      </c>
      <c r="AJ53" s="907">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48">
        <f t="shared" si="8"/>
        <v>0.13527885904981399</v>
      </c>
      <c r="X54" s="914">
        <f>'Baseline data (from input)'!AS40*W54</f>
        <v>5097.9573552938209</v>
      </c>
      <c r="Y54" s="907">
        <f>Parameters!S155</f>
        <v>0.71500000000000008</v>
      </c>
      <c r="Z54" s="907">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46">
        <f t="shared" si="16"/>
        <v>0.13527885904981399</v>
      </c>
      <c r="AH54" s="914">
        <f>'Baseline data (from input)'!AS40*AG54</f>
        <v>5097.9573552938209</v>
      </c>
      <c r="AI54" s="907">
        <f>Parameters!S155</f>
        <v>0.71500000000000008</v>
      </c>
      <c r="AJ54" s="907">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48">
        <f t="shared" si="8"/>
        <v>0.13527885904981399</v>
      </c>
      <c r="X55" s="914">
        <f>'Baseline data (from input)'!AS41*W55</f>
        <v>5036.1964319328727</v>
      </c>
      <c r="Y55" s="907">
        <f>Parameters!S156</f>
        <v>0.71500000000000008</v>
      </c>
      <c r="Z55" s="907">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46">
        <f t="shared" si="16"/>
        <v>0.13527885904981399</v>
      </c>
      <c r="AH55" s="914">
        <f>'Baseline data (from input)'!AS41*AG55</f>
        <v>5036.1964319328727</v>
      </c>
      <c r="AI55" s="907">
        <f>Parameters!S156</f>
        <v>0.71500000000000008</v>
      </c>
      <c r="AJ55" s="907">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48">
        <f t="shared" si="8"/>
        <v>0.13527885904981399</v>
      </c>
      <c r="X56" s="914">
        <f>'Baseline data (from input)'!AS42*W56</f>
        <v>5037.0946263861515</v>
      </c>
      <c r="Y56" s="907">
        <f>Parameters!S157</f>
        <v>0.71500000000000008</v>
      </c>
      <c r="Z56" s="907">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46">
        <f t="shared" si="16"/>
        <v>0.13527885904981399</v>
      </c>
      <c r="AH56" s="914">
        <f>'Baseline data (from input)'!AS42*AG56</f>
        <v>5037.0946263861515</v>
      </c>
      <c r="AI56" s="907">
        <f>Parameters!S157</f>
        <v>0.71500000000000008</v>
      </c>
      <c r="AJ56" s="907">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48">
        <f t="shared" si="8"/>
        <v>0.13527885904981399</v>
      </c>
      <c r="X57" s="914">
        <f>'Baseline data (from input)'!AS43*W57</f>
        <v>5142.9106473177444</v>
      </c>
      <c r="Y57" s="907">
        <f>Parameters!S158</f>
        <v>0.71500000000000008</v>
      </c>
      <c r="Z57" s="907">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46">
        <f t="shared" si="16"/>
        <v>0.13527885904981399</v>
      </c>
      <c r="AH57" s="914">
        <f>'Baseline data (from input)'!AS43*AG57</f>
        <v>5142.9106473177444</v>
      </c>
      <c r="AI57" s="907">
        <f>Parameters!S158</f>
        <v>0.71500000000000008</v>
      </c>
      <c r="AJ57" s="907">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48">
        <f t="shared" si="8"/>
        <v>0.13527885904981399</v>
      </c>
      <c r="X58" s="914">
        <f>'Baseline data (from input)'!AS44*W58</f>
        <v>5358.9197113817227</v>
      </c>
      <c r="Y58" s="907">
        <f>Parameters!S159</f>
        <v>0.71500000000000008</v>
      </c>
      <c r="Z58" s="907">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46">
        <f t="shared" si="16"/>
        <v>0.13527885904981399</v>
      </c>
      <c r="AH58" s="914">
        <f>'Baseline data (from input)'!AS44*AG58</f>
        <v>5358.9197113817227</v>
      </c>
      <c r="AI58" s="907">
        <f>Parameters!S159</f>
        <v>0.71500000000000008</v>
      </c>
      <c r="AJ58" s="907">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48">
        <f t="shared" si="8"/>
        <v>0.13527885904981399</v>
      </c>
      <c r="X59" s="914">
        <f>'Baseline data (from input)'!AS45*W59</f>
        <v>5487.2542717234219</v>
      </c>
      <c r="Y59" s="907">
        <f>Parameters!S160</f>
        <v>0.71500000000000008</v>
      </c>
      <c r="Z59" s="907">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46">
        <f t="shared" si="16"/>
        <v>0.13527885904981399</v>
      </c>
      <c r="AH59" s="914">
        <f>'Baseline data (from input)'!AS45*AG59</f>
        <v>5487.2542717234219</v>
      </c>
      <c r="AI59" s="907">
        <f>Parameters!S160</f>
        <v>0.71500000000000008</v>
      </c>
      <c r="AJ59" s="907">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48">
        <f t="shared" si="8"/>
        <v>0.13527885904981399</v>
      </c>
      <c r="X60" s="914">
        <f>'Baseline data (from input)'!AS46*W60</f>
        <v>5469.8165636421863</v>
      </c>
      <c r="Y60" s="907">
        <f>Parameters!S161</f>
        <v>0.71500000000000008</v>
      </c>
      <c r="Z60" s="907">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46">
        <f t="shared" si="16"/>
        <v>0.13527885904981399</v>
      </c>
      <c r="AH60" s="914">
        <f>'Baseline data (from input)'!AS46*AG60</f>
        <v>5469.8165636421863</v>
      </c>
      <c r="AI60" s="907">
        <f>Parameters!S161</f>
        <v>0.71500000000000008</v>
      </c>
      <c r="AJ60" s="907">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48">
        <f t="shared" si="8"/>
        <v>0.13527885904981399</v>
      </c>
      <c r="X61" s="914">
        <f>'Baseline data (from input)'!AS47*W61</f>
        <v>5414.1218043745357</v>
      </c>
      <c r="Y61" s="907">
        <f>Parameters!S162</f>
        <v>0.71500000000000008</v>
      </c>
      <c r="Z61" s="907">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46">
        <f t="shared" si="16"/>
        <v>0.13527885904981399</v>
      </c>
      <c r="AH61" s="914">
        <f>'Baseline data (from input)'!AS47*AG61</f>
        <v>5414.1218043745357</v>
      </c>
      <c r="AI61" s="907">
        <f>Parameters!S162</f>
        <v>0.71500000000000008</v>
      </c>
      <c r="AJ61" s="907">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48">
        <f t="shared" si="8"/>
        <v>0.13527885904981399</v>
      </c>
      <c r="X62" s="914">
        <f>'Baseline data (from input)'!AS48*W62</f>
        <v>5298.4189413752983</v>
      </c>
      <c r="Y62" s="907">
        <f>Parameters!S163</f>
        <v>0.71500000000000008</v>
      </c>
      <c r="Z62" s="907">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46">
        <f t="shared" si="16"/>
        <v>0.13527885904981399</v>
      </c>
      <c r="AH62" s="914">
        <f>'Baseline data (from input)'!AS48*AG62</f>
        <v>5298.4189413752983</v>
      </c>
      <c r="AI62" s="907">
        <f>Parameters!S163</f>
        <v>0.71500000000000008</v>
      </c>
      <c r="AJ62" s="907">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48">
        <f t="shared" si="8"/>
        <v>0.13527885904981399</v>
      </c>
      <c r="X63" s="914">
        <f>'Baseline data (from input)'!AS49*W63</f>
        <v>5363.7759940913274</v>
      </c>
      <c r="Y63" s="907">
        <f>Parameters!S164</f>
        <v>0.71500000000000008</v>
      </c>
      <c r="Z63" s="907">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46">
        <f t="shared" si="16"/>
        <v>0.13527885904981399</v>
      </c>
      <c r="AH63" s="914">
        <f>'Baseline data (from input)'!AS49*AG63</f>
        <v>5363.7759940913274</v>
      </c>
      <c r="AI63" s="907">
        <f>Parameters!S164</f>
        <v>0.71500000000000008</v>
      </c>
      <c r="AJ63" s="907">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48">
        <f t="shared" si="8"/>
        <v>0.13527885904981399</v>
      </c>
      <c r="X64" s="914">
        <f>'Baseline data (from input)'!AS50*W64</f>
        <v>5535.4168821682597</v>
      </c>
      <c r="Y64" s="907">
        <f>Parameters!S165</f>
        <v>0.71500000000000008</v>
      </c>
      <c r="Z64" s="907">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46">
        <f t="shared" si="16"/>
        <v>0.13527885904981399</v>
      </c>
      <c r="AH64" s="914">
        <f>'Baseline data (from input)'!AS50*AG64</f>
        <v>5535.4168821682597</v>
      </c>
      <c r="AI64" s="907">
        <f>Parameters!S165</f>
        <v>0.71500000000000008</v>
      </c>
      <c r="AJ64" s="907">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48">
        <f t="shared" si="8"/>
        <v>0.13527885904981399</v>
      </c>
      <c r="X65" s="914">
        <f>'Baseline data (from input)'!AS51*W65</f>
        <v>5707.014551882673</v>
      </c>
      <c r="Y65" s="907">
        <f>Parameters!S166</f>
        <v>0.71500000000000008</v>
      </c>
      <c r="Z65" s="907">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46">
        <f t="shared" si="16"/>
        <v>0.13527885904981399</v>
      </c>
      <c r="AH65" s="914">
        <f>'Baseline data (from input)'!AS51*AG65</f>
        <v>5707.014551882673</v>
      </c>
      <c r="AI65" s="907">
        <f>Parameters!S166</f>
        <v>0.71500000000000008</v>
      </c>
      <c r="AJ65" s="907">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48">
        <f t="shared" si="8"/>
        <v>0.13527885904981399</v>
      </c>
      <c r="X66" s="914">
        <f>'Baseline data (from input)'!AS52*W66</f>
        <v>5952.4161183177466</v>
      </c>
      <c r="Y66" s="907">
        <f>Parameters!S167</f>
        <v>0.71500000000000008</v>
      </c>
      <c r="Z66" s="907">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46">
        <f t="shared" si="16"/>
        <v>0.13527885904981399</v>
      </c>
      <c r="AH66" s="914">
        <f>'Baseline data (from input)'!AS52*AG66</f>
        <v>5952.4161183177466</v>
      </c>
      <c r="AI66" s="907">
        <f>Parameters!S167</f>
        <v>0.71500000000000008</v>
      </c>
      <c r="AJ66" s="907">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48">
        <f t="shared" si="8"/>
        <v>0.13527885904981399</v>
      </c>
      <c r="X67" s="914">
        <f>'Baseline data (from input)'!AS53*W67</f>
        <v>6107.1790633471337</v>
      </c>
      <c r="Y67" s="907">
        <f>Parameters!S168</f>
        <v>0.71500000000000008</v>
      </c>
      <c r="Z67" s="907">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46">
        <f t="shared" si="16"/>
        <v>0.13527885904981399</v>
      </c>
      <c r="AH67" s="914">
        <f>'Baseline data (from input)'!AS53*AG67</f>
        <v>6107.1790633471337</v>
      </c>
      <c r="AI67" s="907">
        <f>Parameters!S168</f>
        <v>0.71500000000000008</v>
      </c>
      <c r="AJ67" s="907">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48">
        <f t="shared" si="8"/>
        <v>0.13527885904981399</v>
      </c>
      <c r="X68" s="914">
        <f>'Baseline data (from input)'!AS54*W68</f>
        <v>6137.7150139338401</v>
      </c>
      <c r="Y68" s="907">
        <f>Parameters!S169</f>
        <v>0.71500000000000008</v>
      </c>
      <c r="Z68" s="907">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46">
        <f t="shared" si="16"/>
        <v>0.13527885904981399</v>
      </c>
      <c r="AH68" s="914">
        <f>'Baseline data (from input)'!AS54*AG68</f>
        <v>6137.7150139338401</v>
      </c>
      <c r="AI68" s="907">
        <f>Parameters!S169</f>
        <v>0.71500000000000008</v>
      </c>
      <c r="AJ68" s="907">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48">
        <f t="shared" si="8"/>
        <v>0.13527885904981399</v>
      </c>
      <c r="X69" s="914">
        <f>'Baseline data (from input)'!AS55*W69</f>
        <v>6285.0199437970532</v>
      </c>
      <c r="Y69" s="907">
        <f>Parameters!S170</f>
        <v>0.71500000000000008</v>
      </c>
      <c r="Z69" s="907">
        <f t="shared" si="9"/>
        <v>0.4</v>
      </c>
      <c r="AA69" s="906">
        <f t="shared" si="10"/>
        <v>898.75785196297875</v>
      </c>
      <c r="AB69" s="906">
        <f t="shared" si="11"/>
        <v>898.75785196297875</v>
      </c>
      <c r="AC69" s="286">
        <f t="shared" si="12"/>
        <v>0</v>
      </c>
      <c r="AD69" s="906">
        <f t="shared" si="13"/>
        <v>12537.571695398445</v>
      </c>
      <c r="AE69" s="906">
        <f t="shared" si="14"/>
        <v>596.73474626938241</v>
      </c>
      <c r="AF69" s="1072">
        <f t="shared" si="15"/>
        <v>397.82316417958828</v>
      </c>
      <c r="AG69" s="1446">
        <f t="shared" si="16"/>
        <v>0.13527885904981399</v>
      </c>
      <c r="AH69" s="914">
        <f>'Baseline data (from input)'!AS55*AG69</f>
        <v>6285.0199437970532</v>
      </c>
      <c r="AI69" s="907">
        <f>Parameters!S170</f>
        <v>0.71500000000000008</v>
      </c>
      <c r="AJ69" s="907">
        <f t="shared" si="17"/>
        <v>0.4</v>
      </c>
      <c r="AK69" s="906">
        <f t="shared" si="18"/>
        <v>898.75785196297875</v>
      </c>
      <c r="AL69" s="906">
        <f t="shared" si="19"/>
        <v>898.75785196297875</v>
      </c>
      <c r="AM69" s="286">
        <f t="shared" si="20"/>
        <v>0</v>
      </c>
      <c r="AN69" s="906">
        <f t="shared" si="21"/>
        <v>12537.571695398445</v>
      </c>
      <c r="AO69" s="906">
        <f t="shared" si="22"/>
        <v>596.73474626938241</v>
      </c>
      <c r="AP69" s="1072">
        <f t="shared" si="23"/>
        <v>397.82316417958828</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48">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AC70+AD69*(1-$D$8)</f>
        <v>611.46458694814078</v>
      </c>
      <c r="AF70" s="896">
        <f>AE70*16/12*$D$11</f>
        <v>407.6430579654272</v>
      </c>
      <c r="AG70" s="1446">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599">
        <f t="shared" si="31"/>
        <v>339.95650666301094</v>
      </c>
      <c r="BC70" s="1600">
        <f t="shared" si="32"/>
        <v>407.6430579654272</v>
      </c>
      <c r="BD70" s="1601">
        <f>AZ70</f>
        <v>0</v>
      </c>
      <c r="BE70" s="1600">
        <f t="shared" si="34"/>
        <v>747.5995646284382</v>
      </c>
      <c r="BF70" s="495">
        <v>0</v>
      </c>
      <c r="BG70" s="1602">
        <f t="shared" si="35"/>
        <v>747.5995646284382</v>
      </c>
      <c r="BI70" s="1599">
        <f t="shared" si="36"/>
        <v>339.95650666301094</v>
      </c>
      <c r="BJ70" s="1600">
        <f t="shared" si="37"/>
        <v>407.6430579654272</v>
      </c>
      <c r="BK70" s="1601">
        <f t="shared" si="38"/>
        <v>0</v>
      </c>
      <c r="BL70" s="1600">
        <f t="shared" si="39"/>
        <v>747.5995646284382</v>
      </c>
      <c r="BM70" s="495">
        <v>0</v>
      </c>
      <c r="BN70" s="1602">
        <f t="shared" si="40"/>
        <v>747.5995646284382</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48">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46">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3">
        <f t="shared" si="31"/>
        <v>352.50382234400405</v>
      </c>
      <c r="BC71" s="1604">
        <f t="shared" si="32"/>
        <v>418.2113531506368</v>
      </c>
      <c r="BD71" s="1605">
        <f t="shared" ref="BD71:BD87" si="53">AZ71</f>
        <v>0.48626614457152323</v>
      </c>
      <c r="BE71" s="1604">
        <f t="shared" si="34"/>
        <v>771.20144163921236</v>
      </c>
      <c r="BF71" s="1606">
        <v>0</v>
      </c>
      <c r="BG71" s="1607">
        <f t="shared" si="35"/>
        <v>771.20144163921236</v>
      </c>
      <c r="BI71" s="1603">
        <f t="shared" si="36"/>
        <v>352.50382234400405</v>
      </c>
      <c r="BJ71" s="1604">
        <f t="shared" si="37"/>
        <v>418.2113531506368</v>
      </c>
      <c r="BK71" s="1605">
        <f t="shared" si="38"/>
        <v>0.48626614457152323</v>
      </c>
      <c r="BL71" s="1604">
        <f t="shared" si="39"/>
        <v>771.20144163921236</v>
      </c>
      <c r="BM71" s="1606">
        <v>0</v>
      </c>
      <c r="BN71" s="1607">
        <f t="shared" si="40"/>
        <v>771.20144163921236</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48">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46">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3">
        <f t="shared" si="31"/>
        <v>365.04160146921089</v>
      </c>
      <c r="BC72" s="1604">
        <f t="shared" si="32"/>
        <v>429.08635544976073</v>
      </c>
      <c r="BD72" s="1605">
        <f t="shared" si="53"/>
        <v>0.94421435341173465</v>
      </c>
      <c r="BE72" s="1604">
        <f t="shared" si="34"/>
        <v>795.07217127238346</v>
      </c>
      <c r="BF72" s="1606">
        <v>0</v>
      </c>
      <c r="BG72" s="1607">
        <f t="shared" si="35"/>
        <v>795.07217127238346</v>
      </c>
      <c r="BI72" s="1603">
        <f t="shared" si="36"/>
        <v>365.04160146921089</v>
      </c>
      <c r="BJ72" s="1604">
        <f t="shared" si="37"/>
        <v>429.08635544976073</v>
      </c>
      <c r="BK72" s="1605">
        <f t="shared" si="38"/>
        <v>0.94421435341173465</v>
      </c>
      <c r="BL72" s="1604">
        <f t="shared" si="39"/>
        <v>795.07217127238346</v>
      </c>
      <c r="BM72" s="1606">
        <v>0</v>
      </c>
      <c r="BN72" s="1607">
        <f t="shared" si="40"/>
        <v>795.07217127238346</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48">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48">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3">
        <f t="shared" si="31"/>
        <v>377.380320424339</v>
      </c>
      <c r="BC73" s="1604">
        <f t="shared" si="32"/>
        <v>440.58813938995121</v>
      </c>
      <c r="BD73" s="1605">
        <f t="shared" si="53"/>
        <v>1.3754937347158787</v>
      </c>
      <c r="BE73" s="1604">
        <f t="shared" si="34"/>
        <v>819.34395354900607</v>
      </c>
      <c r="BF73" s="1606">
        <v>0</v>
      </c>
      <c r="BG73" s="1607">
        <f t="shared" si="35"/>
        <v>819.34395354900607</v>
      </c>
      <c r="BI73" s="1603">
        <f t="shared" si="36"/>
        <v>377.380320424339</v>
      </c>
      <c r="BJ73" s="1604">
        <f t="shared" si="37"/>
        <v>440.58813938995121</v>
      </c>
      <c r="BK73" s="1605">
        <f t="shared" si="38"/>
        <v>1.3754937347158787</v>
      </c>
      <c r="BL73" s="1604">
        <f t="shared" si="39"/>
        <v>819.34395354900607</v>
      </c>
      <c r="BM73" s="1606">
        <v>0</v>
      </c>
      <c r="BN73" s="1607">
        <f t="shared" si="40"/>
        <v>819.34395354900607</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48">
        <f t="shared" ref="W74:W81" si="55">($W$82-$W$72)/($A$82-$A$72)+W73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48">
        <f t="shared" ref="AG74:AG81" si="56">($AG$82-$AG$72)/($A$82-$A$72)+AG73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3">
        <f t="shared" si="31"/>
        <v>389.50320822466421</v>
      </c>
      <c r="BC74" s="1604">
        <f t="shared" si="32"/>
        <v>449.33471885423859</v>
      </c>
      <c r="BD74" s="1605">
        <f t="shared" si="53"/>
        <v>1.7816573600942787</v>
      </c>
      <c r="BE74" s="1604">
        <f t="shared" si="34"/>
        <v>840.61958443899709</v>
      </c>
      <c r="BF74" s="1606">
        <v>0</v>
      </c>
      <c r="BG74" s="1607">
        <f t="shared" si="35"/>
        <v>840.61958443899709</v>
      </c>
      <c r="BI74" s="1603">
        <f t="shared" si="36"/>
        <v>389.50320822466421</v>
      </c>
      <c r="BJ74" s="1604">
        <f t="shared" si="37"/>
        <v>449.33471885423859</v>
      </c>
      <c r="BK74" s="1605">
        <f t="shared" si="38"/>
        <v>1.7816573600942787</v>
      </c>
      <c r="BL74" s="1604">
        <f t="shared" si="39"/>
        <v>840.61958443899709</v>
      </c>
      <c r="BM74" s="1606">
        <v>0</v>
      </c>
      <c r="BN74" s="1607">
        <f t="shared" si="40"/>
        <v>840.61958443899709</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48">
        <f t="shared" si="55"/>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48">
        <f t="shared" si="56"/>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3">
        <f t="shared" si="31"/>
        <v>401.39828370560582</v>
      </c>
      <c r="BC75" s="1604">
        <f t="shared" si="32"/>
        <v>455.80540481488362</v>
      </c>
      <c r="BD75" s="1605">
        <f t="shared" si="53"/>
        <v>2.1641678573076555</v>
      </c>
      <c r="BE75" s="1604">
        <f t="shared" si="34"/>
        <v>859.36785637779712</v>
      </c>
      <c r="BF75" s="1606">
        <v>0</v>
      </c>
      <c r="BG75" s="1607">
        <f t="shared" si="35"/>
        <v>859.36785637779712</v>
      </c>
      <c r="BI75" s="1603">
        <f t="shared" si="36"/>
        <v>401.39828370560582</v>
      </c>
      <c r="BJ75" s="1604">
        <f t="shared" si="37"/>
        <v>455.80540481488362</v>
      </c>
      <c r="BK75" s="1605">
        <f t="shared" si="38"/>
        <v>2.1641678573076555</v>
      </c>
      <c r="BL75" s="1604">
        <f t="shared" si="39"/>
        <v>859.36785637779712</v>
      </c>
      <c r="BM75" s="1606">
        <v>0</v>
      </c>
      <c r="BN75" s="1607">
        <f t="shared" si="40"/>
        <v>859.36785637779712</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48">
        <f t="shared" si="55"/>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48">
        <f t="shared" si="56"/>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3">
        <f t="shared" si="31"/>
        <v>413.06606569957484</v>
      </c>
      <c r="BC76" s="1604">
        <f t="shared" si="32"/>
        <v>460.13310664023578</v>
      </c>
      <c r="BD76" s="1605">
        <f t="shared" si="53"/>
        <v>2.5244026773068904</v>
      </c>
      <c r="BE76" s="1604">
        <f t="shared" si="34"/>
        <v>875.72357501711747</v>
      </c>
      <c r="BF76" s="1606">
        <v>0</v>
      </c>
      <c r="BG76" s="1607">
        <f t="shared" si="35"/>
        <v>875.72357501711747</v>
      </c>
      <c r="BI76" s="1603">
        <f t="shared" si="36"/>
        <v>413.06606569957484</v>
      </c>
      <c r="BJ76" s="1604">
        <f t="shared" si="37"/>
        <v>460.13310664023578</v>
      </c>
      <c r="BK76" s="1605">
        <f t="shared" si="38"/>
        <v>2.5244026773068904</v>
      </c>
      <c r="BL76" s="1604">
        <f t="shared" si="39"/>
        <v>875.72357501711747</v>
      </c>
      <c r="BM76" s="1606">
        <v>0</v>
      </c>
      <c r="BN76" s="1607">
        <f t="shared" si="40"/>
        <v>875.72357501711747</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48">
        <f t="shared" si="55"/>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48">
        <f t="shared" si="56"/>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3">
        <f t="shared" si="31"/>
        <v>424.51763944073804</v>
      </c>
      <c r="BC77" s="1604">
        <f t="shared" si="32"/>
        <v>462.30164861039526</v>
      </c>
      <c r="BD77" s="1605">
        <f t="shared" si="53"/>
        <v>2.8636590545442755</v>
      </c>
      <c r="BE77" s="1604">
        <f t="shared" si="34"/>
        <v>889.68294710567761</v>
      </c>
      <c r="BF77" s="1606">
        <v>0</v>
      </c>
      <c r="BG77" s="1607">
        <f t="shared" si="35"/>
        <v>889.68294710567761</v>
      </c>
      <c r="BI77" s="1603">
        <f t="shared" si="36"/>
        <v>424.51763944073804</v>
      </c>
      <c r="BJ77" s="1604">
        <f t="shared" si="37"/>
        <v>462.30164861039526</v>
      </c>
      <c r="BK77" s="1605">
        <f t="shared" si="38"/>
        <v>2.8636590545442755</v>
      </c>
      <c r="BL77" s="1604">
        <f t="shared" si="39"/>
        <v>889.68294710567761</v>
      </c>
      <c r="BM77" s="1606">
        <v>0</v>
      </c>
      <c r="BN77" s="1607">
        <f t="shared" si="40"/>
        <v>889.68294710567761</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48">
        <f t="shared" si="55"/>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48">
        <f t="shared" si="56"/>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3">
        <f t="shared" si="31"/>
        <v>435.75891565885144</v>
      </c>
      <c r="BC78" s="1604">
        <f t="shared" si="32"/>
        <v>462.14243125415283</v>
      </c>
      <c r="BD78" s="1605">
        <f t="shared" si="53"/>
        <v>3.183158678418724</v>
      </c>
      <c r="BE78" s="1604">
        <f t="shared" si="34"/>
        <v>901.08450559142307</v>
      </c>
      <c r="BF78" s="1606">
        <v>0</v>
      </c>
      <c r="BG78" s="1607">
        <f t="shared" si="35"/>
        <v>901.08450559142307</v>
      </c>
      <c r="BI78" s="1603">
        <f t="shared" si="36"/>
        <v>435.75891565885144</v>
      </c>
      <c r="BJ78" s="1604">
        <f t="shared" si="37"/>
        <v>462.14243125415283</v>
      </c>
      <c r="BK78" s="1605">
        <f t="shared" si="38"/>
        <v>3.183158678418724</v>
      </c>
      <c r="BL78" s="1604">
        <f t="shared" si="39"/>
        <v>901.08450559142307</v>
      </c>
      <c r="BM78" s="1606">
        <v>0</v>
      </c>
      <c r="BN78" s="1607">
        <f t="shared" si="40"/>
        <v>901.08450559142307</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48">
        <f t="shared" si="55"/>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48">
        <f t="shared" si="56"/>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3">
        <f t="shared" si="31"/>
        <v>446.80677050108471</v>
      </c>
      <c r="BC79" s="1604">
        <f t="shared" si="32"/>
        <v>459.13306952818652</v>
      </c>
      <c r="BD79" s="1605">
        <f t="shared" si="53"/>
        <v>3.484052092677187</v>
      </c>
      <c r="BE79" s="1604">
        <f t="shared" si="34"/>
        <v>909.42389212194837</v>
      </c>
      <c r="BF79" s="1606">
        <v>0</v>
      </c>
      <c r="BG79" s="1607">
        <f t="shared" si="35"/>
        <v>909.42389212194837</v>
      </c>
      <c r="BI79" s="1603">
        <f t="shared" si="36"/>
        <v>446.80677050108471</v>
      </c>
      <c r="BJ79" s="1604">
        <f t="shared" si="37"/>
        <v>459.13306952818652</v>
      </c>
      <c r="BK79" s="1605">
        <f t="shared" si="38"/>
        <v>3.484052092677187</v>
      </c>
      <c r="BL79" s="1604">
        <f t="shared" si="39"/>
        <v>909.42389212194837</v>
      </c>
      <c r="BM79" s="1606">
        <v>0</v>
      </c>
      <c r="BN79" s="1607">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48">
        <f t="shared" si="55"/>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48">
        <f t="shared" si="56"/>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3">
        <f t="shared" si="31"/>
        <v>457.66467940490338</v>
      </c>
      <c r="BC80" s="1604">
        <f t="shared" si="32"/>
        <v>452.53335460608736</v>
      </c>
      <c r="BD80" s="1605">
        <f t="shared" si="53"/>
        <v>3.76742283861488</v>
      </c>
      <c r="BE80" s="1604">
        <f t="shared" si="34"/>
        <v>913.96545684960563</v>
      </c>
      <c r="BF80" s="1606">
        <v>0</v>
      </c>
      <c r="BG80" s="1607">
        <f t="shared" si="35"/>
        <v>913.96545684960563</v>
      </c>
      <c r="BI80" s="1603">
        <f t="shared" si="36"/>
        <v>457.66467940490338</v>
      </c>
      <c r="BJ80" s="1604">
        <f t="shared" si="37"/>
        <v>452.53335460608736</v>
      </c>
      <c r="BK80" s="1605">
        <f t="shared" si="38"/>
        <v>3.76742283861488</v>
      </c>
      <c r="BL80" s="1604">
        <f t="shared" si="39"/>
        <v>913.96545684960563</v>
      </c>
      <c r="BM80" s="1606">
        <v>0</v>
      </c>
      <c r="BN80" s="1607">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48">
        <f t="shared" si="55"/>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48">
        <f t="shared" si="56"/>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3">
        <f t="shared" si="31"/>
        <v>465.58393089502232</v>
      </c>
      <c r="BC81" s="1604">
        <f t="shared" si="32"/>
        <v>443.27742511609495</v>
      </c>
      <c r="BD81" s="1605">
        <f t="shared" si="53"/>
        <v>4.034291356994312</v>
      </c>
      <c r="BE81" s="1604">
        <f t="shared" si="34"/>
        <v>912.89564736811167</v>
      </c>
      <c r="BF81" s="1606">
        <v>0</v>
      </c>
      <c r="BG81" s="1607">
        <f t="shared" si="35"/>
        <v>912.89564736811167</v>
      </c>
      <c r="BI81" s="1603">
        <f t="shared" si="36"/>
        <v>465.58393089502232</v>
      </c>
      <c r="BJ81" s="1604">
        <f t="shared" si="37"/>
        <v>443.27742511609495</v>
      </c>
      <c r="BK81" s="1605">
        <f t="shared" si="38"/>
        <v>4.034291356994312</v>
      </c>
      <c r="BL81" s="1604">
        <f t="shared" si="39"/>
        <v>912.89564736811167</v>
      </c>
      <c r="BM81" s="1606">
        <v>0</v>
      </c>
      <c r="BN81" s="1607">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18374.747292487624</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49">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47">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3">
        <f t="shared" si="31"/>
        <v>471.51055951772577</v>
      </c>
      <c r="BC82" s="1604">
        <f t="shared" si="32"/>
        <v>431.40785228448499</v>
      </c>
      <c r="BD82" s="1605">
        <f t="shared" si="53"/>
        <v>4.2856186627342376</v>
      </c>
      <c r="BE82" s="1604">
        <f t="shared" si="34"/>
        <v>907.20403046494505</v>
      </c>
      <c r="BF82" s="1606">
        <v>0</v>
      </c>
      <c r="BG82" s="1607">
        <f t="shared" si="35"/>
        <v>907.20403046494505</v>
      </c>
      <c r="BI82" s="1603">
        <f t="shared" si="36"/>
        <v>471.51055951772577</v>
      </c>
      <c r="BJ82" s="1604">
        <f t="shared" si="37"/>
        <v>431.40785228448499</v>
      </c>
      <c r="BK82" s="1605">
        <f t="shared" si="38"/>
        <v>4.2856186627342376</v>
      </c>
      <c r="BL82" s="1604">
        <f t="shared" si="39"/>
        <v>907.20403046494505</v>
      </c>
      <c r="BM82" s="1606">
        <v>0</v>
      </c>
      <c r="BN82" s="1607">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16840.780594786906</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49">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47">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3">
        <f t="shared" si="31"/>
        <v>474.78721249604229</v>
      </c>
      <c r="BC83" s="1604">
        <f t="shared" si="32"/>
        <v>416.85758956150511</v>
      </c>
      <c r="BD83" s="1605">
        <f t="shared" si="53"/>
        <v>4.5223098056013837</v>
      </c>
      <c r="BE83" s="1604">
        <f t="shared" si="34"/>
        <v>896.16711186314876</v>
      </c>
      <c r="BF83" s="1606">
        <v>0</v>
      </c>
      <c r="BG83" s="1607">
        <f t="shared" si="35"/>
        <v>896.16711186314876</v>
      </c>
      <c r="BI83" s="1603">
        <f t="shared" si="36"/>
        <v>474.78721249604229</v>
      </c>
      <c r="BJ83" s="1604">
        <f t="shared" si="37"/>
        <v>416.85758956150511</v>
      </c>
      <c r="BK83" s="1605">
        <f t="shared" si="38"/>
        <v>4.5223098056013837</v>
      </c>
      <c r="BL83" s="1604">
        <f t="shared" si="39"/>
        <v>896.16711186314876</v>
      </c>
      <c r="BM83" s="1606">
        <v>0</v>
      </c>
      <c r="BN83" s="1607">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15349.258096732552</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49">
        <f t="shared" ref="W84:W87" si="58">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47">
        <f t="shared" ref="AG84:AG87" si="59">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3">
        <f t="shared" si="31"/>
        <v>475.71077220994249</v>
      </c>
      <c r="BC84" s="1604">
        <f t="shared" si="32"/>
        <v>403.18657895653814</v>
      </c>
      <c r="BD84" s="1605">
        <f t="shared" si="53"/>
        <v>4.7452171293671848</v>
      </c>
      <c r="BE84" s="1604">
        <f t="shared" ref="BE84:BE120" si="60">SUM(BB84:BD84)</f>
        <v>883.64256829584781</v>
      </c>
      <c r="BF84" s="1606">
        <v>0</v>
      </c>
      <c r="BG84" s="1607">
        <f t="shared" si="35"/>
        <v>883.64256829584781</v>
      </c>
      <c r="BI84" s="1603">
        <f t="shared" si="36"/>
        <v>475.71077220994249</v>
      </c>
      <c r="BJ84" s="1604">
        <f t="shared" si="37"/>
        <v>403.18657895653814</v>
      </c>
      <c r="BK84" s="1605">
        <f t="shared" si="38"/>
        <v>4.7452171293671848</v>
      </c>
      <c r="BL84" s="1604">
        <f t="shared" ref="BL84:BL120" si="61">SUM(BI84:BK84)</f>
        <v>883.64256829584781</v>
      </c>
      <c r="BM84" s="1606">
        <v>0</v>
      </c>
      <c r="BN84" s="1607">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13901.564482903679</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611.33180249183022</v>
      </c>
      <c r="R85" s="884">
        <f t="shared" ref="R85:R120" si="63">Q85*$C$10</f>
        <v>611.33180249183022</v>
      </c>
      <c r="S85" s="886">
        <f t="shared" ref="S85:S120" si="64">Q85*(1-$C$10)</f>
        <v>0</v>
      </c>
      <c r="T85" s="884">
        <f t="shared" ref="T85:T115" si="65">R85+(T84*$C$8)</f>
        <v>14492.155149549782</v>
      </c>
      <c r="U85" s="884">
        <f t="shared" ref="U85:U120" si="66">S85+T84*(1-$C$8)</f>
        <v>711.68503160557282</v>
      </c>
      <c r="V85" s="897">
        <f t="shared" ref="V85:V120" si="67">U85*16/12*$C$11</f>
        <v>474.45668773704853</v>
      </c>
      <c r="W85" s="1449">
        <f t="shared" si="58"/>
        <v>2.197312110627072E-2</v>
      </c>
      <c r="X85" s="891">
        <f>'Baseline data (from input)'!AS71*W85</f>
        <v>1476.20316835363</v>
      </c>
      <c r="Y85" s="885">
        <f>Parameters!S186</f>
        <v>0.71500000000000008</v>
      </c>
      <c r="Z85" s="885">
        <f t="shared" ref="Z85:Z120" si="68">$D$3</f>
        <v>0.4</v>
      </c>
      <c r="AA85" s="884">
        <f t="shared" ref="AA85:AA120" si="69">X85*Z85*Y85*$D$4</f>
        <v>211.09705307456915</v>
      </c>
      <c r="AB85" s="884">
        <f t="shared" ref="AB85:AB120" si="70">AA85*$D$10</f>
        <v>211.09705307456915</v>
      </c>
      <c r="AC85" s="886">
        <f t="shared" ref="AC85:AC120" si="71">AA85*(1-$D$10)</f>
        <v>0</v>
      </c>
      <c r="AD85" s="884">
        <f t="shared" ref="AD85:AD120" si="72">AB85+(AD84*$D$8)</f>
        <v>11629.847256487088</v>
      </c>
      <c r="AE85" s="884">
        <f t="shared" ref="AE85:AE120" si="73">AC85+AD84*(1-$D$8)</f>
        <v>585.45184217290728</v>
      </c>
      <c r="AF85" s="897">
        <f t="shared" ref="AF85:AF120" si="74">AE85*16/12*$D$11</f>
        <v>390.3012281152715</v>
      </c>
      <c r="AG85" s="1447">
        <f t="shared" si="59"/>
        <v>2.197312110627072E-2</v>
      </c>
      <c r="AH85" s="891">
        <f>'Baseline data (from input)'!AS71*AG85</f>
        <v>1476.20316835363</v>
      </c>
      <c r="AI85" s="885">
        <f>Parameters!S186</f>
        <v>0.71500000000000008</v>
      </c>
      <c r="AJ85" s="885">
        <f t="shared" ref="AJ85:AJ120" si="75">$D$3</f>
        <v>0.4</v>
      </c>
      <c r="AK85" s="884">
        <f t="shared" ref="AK85:AK120" si="76">AH85*AJ85*AI85*$D$4</f>
        <v>211.09705307456915</v>
      </c>
      <c r="AL85" s="884">
        <f t="shared" ref="AL85:AL120" si="77">AK85*$D$10</f>
        <v>211.09705307456915</v>
      </c>
      <c r="AM85" s="886">
        <f t="shared" ref="AM85:AM120" si="78">AK85*(1-$D$10)</f>
        <v>0</v>
      </c>
      <c r="AN85" s="884">
        <f t="shared" ref="AN85:AN120" si="79">AL85+(AN84*$D$8)</f>
        <v>11629.847256487088</v>
      </c>
      <c r="AO85" s="884">
        <f t="shared" ref="AO85:AO120" si="80">AM85+AN84*(1-$D$8)</f>
        <v>585.45184217290728</v>
      </c>
      <c r="AP85" s="897">
        <f t="shared" ref="AP85:AP120" si="81">AO85*16/12*$D$11</f>
        <v>390.3012281152715</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3">
        <f t="shared" ref="BB85:BB120" si="86">V85</f>
        <v>474.45668773704853</v>
      </c>
      <c r="BC85" s="1604">
        <f t="shared" ref="BC85:BC120" si="87">AF85</f>
        <v>390.3012281152715</v>
      </c>
      <c r="BD85" s="1605">
        <f t="shared" si="53"/>
        <v>4.9551433411659982</v>
      </c>
      <c r="BE85" s="1604">
        <f t="shared" si="60"/>
        <v>869.71305919348606</v>
      </c>
      <c r="BF85" s="1606">
        <v>0</v>
      </c>
      <c r="BG85" s="1607">
        <f t="shared" ref="BG85:BG120" si="88">BE85-BF85</f>
        <v>869.71305919348606</v>
      </c>
      <c r="BI85" s="1603">
        <f t="shared" ref="BI85:BI120" si="89">V85</f>
        <v>474.45668773704853</v>
      </c>
      <c r="BJ85" s="1604">
        <f t="shared" ref="BJ85:BJ120" si="90">AP85</f>
        <v>390.3012281152715</v>
      </c>
      <c r="BK85" s="1605">
        <f t="shared" ref="BK85:BK120" si="91">AZ85</f>
        <v>4.9551433411659982</v>
      </c>
      <c r="BL85" s="1604">
        <f t="shared" si="61"/>
        <v>869.71305919348606</v>
      </c>
      <c r="BM85" s="1606">
        <v>0</v>
      </c>
      <c r="BN85" s="1607">
        <f t="shared" ref="BN85:BN120" si="92">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12499.24800705794</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549.66387584249071</v>
      </c>
      <c r="R86" s="884">
        <f t="shared" si="63"/>
        <v>549.66387584249071</v>
      </c>
      <c r="S86" s="886">
        <f t="shared" si="64"/>
        <v>0</v>
      </c>
      <c r="T86" s="884">
        <f t="shared" si="65"/>
        <v>14335.028278523789</v>
      </c>
      <c r="U86" s="884">
        <f t="shared" si="66"/>
        <v>706.79074686848378</v>
      </c>
      <c r="V86" s="897">
        <f t="shared" si="67"/>
        <v>471.19383124565587</v>
      </c>
      <c r="W86" s="1449">
        <f t="shared" si="58"/>
        <v>2.197312110627072E-2</v>
      </c>
      <c r="X86" s="891">
        <f>'Baseline data (from input)'!AS72*W86</f>
        <v>1487.1215458011513</v>
      </c>
      <c r="Y86" s="885">
        <f>Parameters!S187</f>
        <v>0.71500000000000008</v>
      </c>
      <c r="Z86" s="885">
        <f t="shared" si="68"/>
        <v>0.4</v>
      </c>
      <c r="AA86" s="884">
        <f t="shared" si="69"/>
        <v>212.65838104956467</v>
      </c>
      <c r="AB86" s="884">
        <f t="shared" si="70"/>
        <v>212.65838104956467</v>
      </c>
      <c r="AC86" s="886">
        <f t="shared" si="71"/>
        <v>0</v>
      </c>
      <c r="AD86" s="884">
        <f t="shared" si="72"/>
        <v>11275.311293868985</v>
      </c>
      <c r="AE86" s="884">
        <f t="shared" si="73"/>
        <v>567.19434366766745</v>
      </c>
      <c r="AF86" s="897">
        <f t="shared" si="74"/>
        <v>378.12956244511162</v>
      </c>
      <c r="AG86" s="1447">
        <f t="shared" si="59"/>
        <v>2.197312110627072E-2</v>
      </c>
      <c r="AH86" s="891">
        <f>'Baseline data (from input)'!AS72*AG86</f>
        <v>1487.1215458011513</v>
      </c>
      <c r="AI86" s="885">
        <f>Parameters!S187</f>
        <v>0.71500000000000008</v>
      </c>
      <c r="AJ86" s="885">
        <f t="shared" si="75"/>
        <v>0.4</v>
      </c>
      <c r="AK86" s="884">
        <f t="shared" si="76"/>
        <v>212.65838104956467</v>
      </c>
      <c r="AL86" s="884">
        <f t="shared" si="77"/>
        <v>212.65838104956467</v>
      </c>
      <c r="AM86" s="886">
        <f t="shared" si="78"/>
        <v>0</v>
      </c>
      <c r="AN86" s="884">
        <f t="shared" si="79"/>
        <v>11275.311293868985</v>
      </c>
      <c r="AO86" s="884">
        <f t="shared" si="80"/>
        <v>567.19434366766745</v>
      </c>
      <c r="AP86" s="897">
        <f t="shared" si="81"/>
        <v>378.12956244511162</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3">
        <f t="shared" si="86"/>
        <v>471.19383124565587</v>
      </c>
      <c r="BC86" s="1604">
        <f t="shared" si="87"/>
        <v>378.12956244511162</v>
      </c>
      <c r="BD86" s="1605">
        <f t="shared" si="53"/>
        <v>5.1528444021078155</v>
      </c>
      <c r="BE86" s="1604">
        <f t="shared" si="60"/>
        <v>854.47623809287529</v>
      </c>
      <c r="BF86" s="1606">
        <v>0</v>
      </c>
      <c r="BG86" s="1607">
        <f t="shared" si="88"/>
        <v>854.47623809287529</v>
      </c>
      <c r="BI86" s="1603">
        <f t="shared" si="89"/>
        <v>471.19383124565587</v>
      </c>
      <c r="BJ86" s="1604">
        <f t="shared" si="90"/>
        <v>378.12956244511162</v>
      </c>
      <c r="BK86" s="1605">
        <f t="shared" si="91"/>
        <v>5.1528444021078155</v>
      </c>
      <c r="BL86" s="1604">
        <f t="shared" si="61"/>
        <v>854.47623809287529</v>
      </c>
      <c r="BM86" s="1606">
        <v>0</v>
      </c>
      <c r="BN86" s="1607">
        <f t="shared" si="92"/>
        <v>854.47623809287529</v>
      </c>
    </row>
    <row r="87" spans="1:66" ht="13.15" customHeight="1" thickBot="1">
      <c r="A87" s="876">
        <f>'Input data'!A117</f>
        <v>2017</v>
      </c>
      <c r="B87" s="877">
        <f>'Input data'!B117</f>
        <v>56.521948041648095</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11144.031481960794</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490.06720511717509</v>
      </c>
      <c r="R87" s="894">
        <f t="shared" si="63"/>
        <v>490.06720511717509</v>
      </c>
      <c r="S87" s="895">
        <f t="shared" si="64"/>
        <v>0</v>
      </c>
      <c r="T87" s="894">
        <f t="shared" si="65"/>
        <v>14125.96790469882</v>
      </c>
      <c r="U87" s="894">
        <f t="shared" si="66"/>
        <v>699.12757894214405</v>
      </c>
      <c r="V87" s="898">
        <f t="shared" si="67"/>
        <v>466.08505262809604</v>
      </c>
      <c r="W87" s="1449">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10940.456135133396</v>
      </c>
      <c r="AE87" s="884">
        <f t="shared" si="73"/>
        <v>549.90342073558929</v>
      </c>
      <c r="AF87" s="897">
        <f t="shared" si="74"/>
        <v>366.60228049039284</v>
      </c>
      <c r="AG87" s="1447">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10940.456135133396</v>
      </c>
      <c r="AO87" s="894">
        <f t="shared" si="80"/>
        <v>549.90342073558929</v>
      </c>
      <c r="AP87" s="898">
        <f t="shared" si="81"/>
        <v>366.60228049039284</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08">
        <f t="shared" si="86"/>
        <v>466.08505262809604</v>
      </c>
      <c r="BC87" s="1609">
        <f t="shared" si="87"/>
        <v>366.60228049039284</v>
      </c>
      <c r="BD87" s="1610">
        <f t="shared" si="53"/>
        <v>5.3390322495547968</v>
      </c>
      <c r="BE87" s="1609">
        <f t="shared" si="60"/>
        <v>838.02636536804357</v>
      </c>
      <c r="BF87" s="1611">
        <v>0</v>
      </c>
      <c r="BG87" s="1612">
        <f t="shared" si="88"/>
        <v>838.02636536804357</v>
      </c>
      <c r="BI87" s="1608">
        <f t="shared" si="89"/>
        <v>466.08505262809604</v>
      </c>
      <c r="BJ87" s="1609">
        <f t="shared" si="90"/>
        <v>366.60228049039284</v>
      </c>
      <c r="BK87" s="1610">
        <f t="shared" si="91"/>
        <v>5.3390322495547968</v>
      </c>
      <c r="BL87" s="1609">
        <f t="shared" si="61"/>
        <v>838.02636536804357</v>
      </c>
      <c r="BM87" s="1611">
        <v>0</v>
      </c>
      <c r="BN87" s="1612">
        <f t="shared" si="92"/>
        <v>838.02636536804357</v>
      </c>
    </row>
    <row r="88" spans="1:66">
      <c r="A88" s="926">
        <f>'Input data'!A118</f>
        <v>2018</v>
      </c>
      <c r="B88" s="820">
        <f>'Input data'!B118</f>
        <v>57.436000617299655</v>
      </c>
      <c r="C88" s="820">
        <f>'Recycling - Case 1'!AK98/B88</f>
        <v>414.20273820739789</v>
      </c>
      <c r="D88" s="822">
        <f>'Recycling - Case 1'!AM98</f>
        <v>0.44410843278927503</v>
      </c>
      <c r="E88" s="822">
        <f>'Recycling - Case 1'!BE98</f>
        <v>0.23448457502104542</v>
      </c>
      <c r="F88" s="822">
        <f>'Recycling - Case 1'!BF98</f>
        <v>0.29738987778968334</v>
      </c>
      <c r="G88" s="822">
        <f>'Recycling - Case 1'!BG98</f>
        <v>6.0622157920435092E-2</v>
      </c>
      <c r="H88" s="822">
        <f>'Recycling - Case 1'!BH98</f>
        <v>0</v>
      </c>
      <c r="I88" s="822">
        <f>'Recycling - Case 1'!BI98</f>
        <v>0</v>
      </c>
      <c r="J88" s="822">
        <f>'Recycling - Case 1'!BJ98</f>
        <v>0</v>
      </c>
      <c r="K88" s="822">
        <f>'Recycling - Case 1'!BK98</f>
        <v>0.4075033892688365</v>
      </c>
      <c r="L88" s="823">
        <f t="shared" si="100"/>
        <v>1.0000000000000004</v>
      </c>
      <c r="M88" s="99"/>
      <c r="N88" s="1015">
        <f>B88*C88*D88</f>
        <v>10565.405667134863</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836">
        <f t="shared" si="62"/>
        <v>465.04361566221581</v>
      </c>
      <c r="R88" s="836">
        <f t="shared" si="63"/>
        <v>465.04361566221581</v>
      </c>
      <c r="S88" s="837">
        <f t="shared" si="64"/>
        <v>0</v>
      </c>
      <c r="T88" s="836">
        <f t="shared" si="65"/>
        <v>13902.079936164433</v>
      </c>
      <c r="U88" s="836">
        <f t="shared" si="66"/>
        <v>688.93158419660449</v>
      </c>
      <c r="V88" s="1018">
        <f t="shared" si="67"/>
        <v>459.28772279773631</v>
      </c>
      <c r="W88" s="1447"/>
      <c r="X88" s="1019">
        <f>'Recycling - Case 1'!AM138</f>
        <v>1194.4037651748863</v>
      </c>
      <c r="Y88" s="1020">
        <f>Parameters!S189</f>
        <v>0.71500000000000008</v>
      </c>
      <c r="Z88" s="1021">
        <f t="shared" si="68"/>
        <v>0.4</v>
      </c>
      <c r="AA88" s="1022">
        <f t="shared" si="69"/>
        <v>170.79973842000877</v>
      </c>
      <c r="AB88" s="1022">
        <f t="shared" si="70"/>
        <v>170.79973842000877</v>
      </c>
      <c r="AC88" s="1023">
        <f t="shared" si="71"/>
        <v>0</v>
      </c>
      <c r="AD88" s="1022">
        <f t="shared" si="72"/>
        <v>10577.683531618253</v>
      </c>
      <c r="AE88" s="1022">
        <f t="shared" si="73"/>
        <v>533.57234193514978</v>
      </c>
      <c r="AF88" s="1024">
        <f t="shared" si="74"/>
        <v>355.71489462343317</v>
      </c>
      <c r="AG88" s="99"/>
      <c r="AH88" s="1019">
        <f>'Recycling - Case 1'!AM178</f>
        <v>1194.4037651748863</v>
      </c>
      <c r="AI88" s="1020">
        <f>Parameters!S189</f>
        <v>0.71500000000000008</v>
      </c>
      <c r="AJ88" s="1021">
        <f t="shared" si="75"/>
        <v>0.4</v>
      </c>
      <c r="AK88" s="1022">
        <f t="shared" si="76"/>
        <v>170.79973842000877</v>
      </c>
      <c r="AL88" s="1022">
        <f t="shared" si="77"/>
        <v>170.79973842000877</v>
      </c>
      <c r="AM88" s="1023">
        <f t="shared" si="78"/>
        <v>0</v>
      </c>
      <c r="AN88" s="1022">
        <f t="shared" si="79"/>
        <v>10577.683531618253</v>
      </c>
      <c r="AO88" s="1022">
        <f t="shared" si="80"/>
        <v>533.57234193514978</v>
      </c>
      <c r="AP88" s="1024">
        <f t="shared" si="81"/>
        <v>355.71489462343317</v>
      </c>
      <c r="AQ88" s="99"/>
      <c r="AR88" s="1060">
        <f>'Recycling - Case 1'!G98</f>
        <v>513.23849841295737</v>
      </c>
      <c r="AS88" s="1061">
        <v>1</v>
      </c>
      <c r="AT88" s="1062">
        <f t="shared" si="82"/>
        <v>0.05</v>
      </c>
      <c r="AU88" s="1039">
        <f t="shared" si="83"/>
        <v>12.830962460323935</v>
      </c>
      <c r="AV88" s="1039">
        <f t="shared" si="84"/>
        <v>12.830962460323935</v>
      </c>
      <c r="AW88" s="1040">
        <f t="shared" si="85"/>
        <v>0</v>
      </c>
      <c r="AX88" s="1039">
        <f t="shared" si="51"/>
        <v>146.5959688102437</v>
      </c>
      <c r="AY88" s="1039">
        <f t="shared" si="54"/>
        <v>8.2715660412971381</v>
      </c>
      <c r="AZ88" s="1063">
        <f t="shared" si="52"/>
        <v>5.514377360864759</v>
      </c>
      <c r="BB88" s="1052">
        <f t="shared" si="86"/>
        <v>459.28772279773631</v>
      </c>
      <c r="BC88" s="1053">
        <f t="shared" si="87"/>
        <v>355.71489462343317</v>
      </c>
      <c r="BD88" s="1081">
        <f>AZ88</f>
        <v>5.514377360864759</v>
      </c>
      <c r="BE88" s="1053">
        <f t="shared" si="60"/>
        <v>820.5169947820342</v>
      </c>
      <c r="BF88" s="1054">
        <v>0</v>
      </c>
      <c r="BG88" s="1074">
        <f t="shared" si="88"/>
        <v>820.5169947820342</v>
      </c>
      <c r="BI88" s="1052">
        <f t="shared" si="89"/>
        <v>459.28772279773631</v>
      </c>
      <c r="BJ88" s="1053">
        <f t="shared" si="90"/>
        <v>355.71489462343317</v>
      </c>
      <c r="BK88" s="1081">
        <f t="shared" si="91"/>
        <v>5.514377360864759</v>
      </c>
      <c r="BL88" s="1053">
        <f t="shared" si="61"/>
        <v>820.5169947820342</v>
      </c>
      <c r="BM88" s="1054">
        <v>0</v>
      </c>
      <c r="BN88" s="1074">
        <f t="shared" si="92"/>
        <v>820.5169947820342</v>
      </c>
    </row>
    <row r="89" spans="1:66">
      <c r="A89" s="927">
        <f>'Input data'!A119</f>
        <v>2019</v>
      </c>
      <c r="B89" s="824">
        <f>'Input data'!B119</f>
        <v>58.364834921819444</v>
      </c>
      <c r="C89" s="824">
        <f>'Recycling - Case 1'!AK99/B89</f>
        <v>403.99763499946062</v>
      </c>
      <c r="D89" s="826">
        <f>'Recycling - Case 1'!AM99</f>
        <v>0.42481509385367977</v>
      </c>
      <c r="E89" s="826">
        <f>'Recycling - Case 1'!BE99</f>
        <v>0.22883422925357205</v>
      </c>
      <c r="F89" s="826">
        <f>'Recycling - Case 1'!BF99</f>
        <v>0.29022371073111447</v>
      </c>
      <c r="G89" s="826">
        <f>'Recycling - Case 1'!BG99</f>
        <v>6.2281893581508638E-2</v>
      </c>
      <c r="H89" s="826">
        <f>'Recycling - Case 1'!BH99</f>
        <v>0</v>
      </c>
      <c r="I89" s="826">
        <f>'Recycling - Case 1'!BI99</f>
        <v>0</v>
      </c>
      <c r="J89" s="826">
        <f>'Recycling - Case 1'!BJ99</f>
        <v>0</v>
      </c>
      <c r="K89" s="826">
        <f>'Recycling - Case 1'!BK99</f>
        <v>0.41866016643380499</v>
      </c>
      <c r="L89" s="827">
        <f t="shared" si="100"/>
        <v>1</v>
      </c>
      <c r="M89" s="99"/>
      <c r="N89" s="838">
        <f t="shared" si="57"/>
        <v>10016.823542882215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832">
        <f t="shared" si="62"/>
        <v>441.0016393508962</v>
      </c>
      <c r="R89" s="832">
        <f t="shared" si="63"/>
        <v>441.0016393508962</v>
      </c>
      <c r="S89" s="835">
        <f t="shared" si="64"/>
        <v>0</v>
      </c>
      <c r="T89" s="832">
        <f t="shared" si="65"/>
        <v>13665.069136391512</v>
      </c>
      <c r="U89" s="832">
        <f t="shared" si="66"/>
        <v>678.01243912381631</v>
      </c>
      <c r="V89" s="839">
        <f t="shared" si="67"/>
        <v>452.00829274921085</v>
      </c>
      <c r="W89" s="1447"/>
      <c r="X89" s="1025">
        <f>'Recycling - Case 1'!AM139</f>
        <v>764.46255074226679</v>
      </c>
      <c r="Y89" s="1026">
        <f>Parameters!S190</f>
        <v>0.71500000000000008</v>
      </c>
      <c r="Z89" s="1027">
        <f t="shared" si="68"/>
        <v>0.4</v>
      </c>
      <c r="AA89" s="1028">
        <f t="shared" si="69"/>
        <v>109.31814475614416</v>
      </c>
      <c r="AB89" s="1028">
        <f t="shared" si="70"/>
        <v>109.31814475614416</v>
      </c>
      <c r="AC89" s="1029">
        <f t="shared" si="71"/>
        <v>0</v>
      </c>
      <c r="AD89" s="1028">
        <f t="shared" si="72"/>
        <v>10171.121963088055</v>
      </c>
      <c r="AE89" s="1028">
        <f t="shared" si="73"/>
        <v>515.87971328634205</v>
      </c>
      <c r="AF89" s="1030">
        <f t="shared" si="74"/>
        <v>343.91980885756135</v>
      </c>
      <c r="AG89" s="99"/>
      <c r="AH89" s="1025">
        <f>'Recycling - Case 1'!AM179</f>
        <v>764.46255074226679</v>
      </c>
      <c r="AI89" s="1026">
        <f>Parameters!S190</f>
        <v>0.71500000000000008</v>
      </c>
      <c r="AJ89" s="1027">
        <f t="shared" si="75"/>
        <v>0.4</v>
      </c>
      <c r="AK89" s="1028">
        <f t="shared" si="76"/>
        <v>109.31814475614416</v>
      </c>
      <c r="AL89" s="1028">
        <f t="shared" si="77"/>
        <v>109.31814475614416</v>
      </c>
      <c r="AM89" s="1029">
        <f t="shared" si="78"/>
        <v>0</v>
      </c>
      <c r="AN89" s="1028">
        <f t="shared" si="79"/>
        <v>10171.121963088055</v>
      </c>
      <c r="AO89" s="1028">
        <f t="shared" si="80"/>
        <v>515.87971328634205</v>
      </c>
      <c r="AP89" s="1030">
        <f t="shared" si="81"/>
        <v>343.91980885756135</v>
      </c>
      <c r="AQ89" s="99"/>
      <c r="AR89" s="1064">
        <f>'Recycling - Case 1'!G99</f>
        <v>525.74180751182632</v>
      </c>
      <c r="AS89" s="1065">
        <v>1</v>
      </c>
      <c r="AT89" s="1066">
        <f t="shared" si="82"/>
        <v>0.05</v>
      </c>
      <c r="AU89" s="1044">
        <f t="shared" si="83"/>
        <v>13.14354518779566</v>
      </c>
      <c r="AV89" s="1044">
        <f t="shared" si="84"/>
        <v>13.14354518779566</v>
      </c>
      <c r="AW89" s="1045">
        <f t="shared" si="85"/>
        <v>0</v>
      </c>
      <c r="AX89" s="1044">
        <f t="shared" si="51"/>
        <v>151.2024293797059</v>
      </c>
      <c r="AY89" s="1044">
        <f t="shared" si="54"/>
        <v>8.5370846183334699</v>
      </c>
      <c r="AZ89" s="1067">
        <f t="shared" si="52"/>
        <v>5.6913897455556466</v>
      </c>
      <c r="BB89" s="1055">
        <f t="shared" si="86"/>
        <v>452.00829274921085</v>
      </c>
      <c r="BC89" s="1056">
        <f t="shared" si="87"/>
        <v>343.91980885756135</v>
      </c>
      <c r="BD89" s="1082">
        <f t="shared" ref="BD89:BD120" si="101">AZ89</f>
        <v>5.6913897455556466</v>
      </c>
      <c r="BE89" s="1056">
        <f t="shared" si="60"/>
        <v>801.61949135232783</v>
      </c>
      <c r="BF89" s="167">
        <v>0</v>
      </c>
      <c r="BG89" s="1075">
        <f t="shared" si="88"/>
        <v>801.61949135232783</v>
      </c>
      <c r="BI89" s="1055">
        <f t="shared" si="89"/>
        <v>452.00829274921085</v>
      </c>
      <c r="BJ89" s="1056">
        <f t="shared" si="90"/>
        <v>343.91980885756135</v>
      </c>
      <c r="BK89" s="1082">
        <f t="shared" si="91"/>
        <v>5.6913897455556466</v>
      </c>
      <c r="BL89" s="1056">
        <f t="shared" si="61"/>
        <v>801.61949135232783</v>
      </c>
      <c r="BM89" s="167">
        <v>0</v>
      </c>
      <c r="BN89" s="1075">
        <f t="shared" si="92"/>
        <v>801.61949135232783</v>
      </c>
    </row>
    <row r="90" spans="1:66">
      <c r="A90" s="927">
        <f>'Input data'!A120</f>
        <v>2020</v>
      </c>
      <c r="B90" s="824">
        <f>'Input data'!B120</f>
        <v>59.308690000000006</v>
      </c>
      <c r="C90" s="824">
        <f>'Recycling - Case 1'!AK100/B90</f>
        <v>394.54747036689599</v>
      </c>
      <c r="D90" s="826">
        <f>'Recycling - Case 1'!AM100</f>
        <v>0.40584133227313579</v>
      </c>
      <c r="E90" s="826">
        <f>'Recycling - Case 1'!BE100</f>
        <v>0.22306252191072812</v>
      </c>
      <c r="F90" s="826">
        <f>'Recycling - Case 1'!BF100</f>
        <v>0.28290362436222583</v>
      </c>
      <c r="G90" s="826">
        <f>'Recycling - Case 1'!BG100</f>
        <v>6.3977278058215084E-2</v>
      </c>
      <c r="H90" s="826">
        <f>'Recycling - Case 1'!BH100</f>
        <v>0</v>
      </c>
      <c r="I90" s="826">
        <f>'Recycling - Case 1'!BI100</f>
        <v>0</v>
      </c>
      <c r="J90" s="826">
        <f>'Recycling - Case 1'!BJ100</f>
        <v>0</v>
      </c>
      <c r="K90" s="826">
        <f>'Recycling - Case 1'!BK100</f>
        <v>0.43005657566883099</v>
      </c>
      <c r="L90" s="827">
        <f t="shared" si="100"/>
        <v>1</v>
      </c>
      <c r="M90" s="99"/>
      <c r="N90" s="838">
        <f t="shared" si="57"/>
        <v>9496.7251661098635</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832">
        <f t="shared" si="62"/>
        <v>417.91759486260537</v>
      </c>
      <c r="R90" s="832">
        <f t="shared" si="63"/>
        <v>417.91759486260537</v>
      </c>
      <c r="S90" s="835">
        <f t="shared" si="64"/>
        <v>0</v>
      </c>
      <c r="T90" s="832">
        <f t="shared" si="65"/>
        <v>13416.533445234772</v>
      </c>
      <c r="U90" s="832">
        <f t="shared" si="66"/>
        <v>666.453286019345</v>
      </c>
      <c r="V90" s="839">
        <f t="shared" si="67"/>
        <v>444.30219067956335</v>
      </c>
      <c r="W90" s="1447"/>
      <c r="X90" s="1025">
        <f>'Recycling - Case 1'!AM140</f>
        <v>707.17265050516494</v>
      </c>
      <c r="Y90" s="1026">
        <f>Parameters!S191</f>
        <v>0.71500000000000008</v>
      </c>
      <c r="Z90" s="1027">
        <f t="shared" si="68"/>
        <v>0.4</v>
      </c>
      <c r="AA90" s="1028">
        <f t="shared" si="69"/>
        <v>101.1256890222386</v>
      </c>
      <c r="AB90" s="1028">
        <f t="shared" si="70"/>
        <v>101.1256890222386</v>
      </c>
      <c r="AC90" s="1029">
        <f t="shared" si="71"/>
        <v>0</v>
      </c>
      <c r="AD90" s="1028">
        <f t="shared" si="72"/>
        <v>9776.1961804970633</v>
      </c>
      <c r="AE90" s="1028">
        <f t="shared" si="73"/>
        <v>496.05147161323185</v>
      </c>
      <c r="AF90" s="1030">
        <f t="shared" si="74"/>
        <v>330.7009810754879</v>
      </c>
      <c r="AG90" s="104"/>
      <c r="AH90" s="1025">
        <f>'Recycling - Case 1'!AM180</f>
        <v>707.17265050516494</v>
      </c>
      <c r="AI90" s="1026">
        <f>Parameters!S191</f>
        <v>0.71500000000000008</v>
      </c>
      <c r="AJ90" s="1027">
        <f t="shared" si="75"/>
        <v>0.4</v>
      </c>
      <c r="AK90" s="1028">
        <f t="shared" si="76"/>
        <v>101.1256890222386</v>
      </c>
      <c r="AL90" s="1028">
        <f t="shared" si="77"/>
        <v>101.1256890222386</v>
      </c>
      <c r="AM90" s="1029">
        <f t="shared" si="78"/>
        <v>0</v>
      </c>
      <c r="AN90" s="1028">
        <f t="shared" si="79"/>
        <v>9776.1961804970633</v>
      </c>
      <c r="AO90" s="1028">
        <f t="shared" si="80"/>
        <v>496.05147161323185</v>
      </c>
      <c r="AP90" s="1030">
        <f t="shared" si="81"/>
        <v>330.7009810754879</v>
      </c>
      <c r="AQ90" s="104"/>
      <c r="AR90" s="1064">
        <f>'Recycling - Case 1'!G100</f>
        <v>538.51529150686906</v>
      </c>
      <c r="AS90" s="1065">
        <v>1</v>
      </c>
      <c r="AT90" s="1066">
        <f t="shared" si="82"/>
        <v>0.05</v>
      </c>
      <c r="AU90" s="1044">
        <f t="shared" si="83"/>
        <v>13.462882287671727</v>
      </c>
      <c r="AV90" s="1044">
        <f t="shared" si="84"/>
        <v>13.462882287671727</v>
      </c>
      <c r="AW90" s="1045">
        <f t="shared" si="85"/>
        <v>0</v>
      </c>
      <c r="AX90" s="1044">
        <f t="shared" si="51"/>
        <v>155.85996766925578</v>
      </c>
      <c r="AY90" s="1044">
        <f t="shared" si="54"/>
        <v>8.8053439981218684</v>
      </c>
      <c r="AZ90" s="1067">
        <f t="shared" si="52"/>
        <v>5.8702293320812453</v>
      </c>
      <c r="BB90" s="1055">
        <f t="shared" si="86"/>
        <v>444.30219067956335</v>
      </c>
      <c r="BC90" s="1056">
        <f t="shared" si="87"/>
        <v>330.7009810754879</v>
      </c>
      <c r="BD90" s="1082">
        <f t="shared" si="101"/>
        <v>5.8702293320812453</v>
      </c>
      <c r="BE90" s="1056">
        <f t="shared" si="60"/>
        <v>780.87340108713249</v>
      </c>
      <c r="BF90" s="167">
        <v>0</v>
      </c>
      <c r="BG90" s="1075">
        <f t="shared" si="88"/>
        <v>780.87340108713249</v>
      </c>
      <c r="BI90" s="1055">
        <f t="shared" si="89"/>
        <v>444.30219067956335</v>
      </c>
      <c r="BJ90" s="1056">
        <f t="shared" si="90"/>
        <v>330.7009810754879</v>
      </c>
      <c r="BK90" s="1082">
        <f t="shared" si="91"/>
        <v>5.8702293320812453</v>
      </c>
      <c r="BL90" s="1056">
        <f t="shared" si="61"/>
        <v>780.87340108713249</v>
      </c>
      <c r="BM90" s="167">
        <v>0</v>
      </c>
      <c r="BN90" s="1075">
        <f t="shared" si="92"/>
        <v>780.87340108713249</v>
      </c>
    </row>
    <row r="91" spans="1:66">
      <c r="A91" s="927">
        <f>'Input data'!A121</f>
        <v>2021</v>
      </c>
      <c r="B91" s="824">
        <f>'Input data'!B121</f>
        <v>60.097873988486953</v>
      </c>
      <c r="C91" s="824">
        <f>'Recycling - Case 1'!AK101/B91</f>
        <v>386.57353454716059</v>
      </c>
      <c r="D91" s="826">
        <f>'Recycling - Case 1'!AM101</f>
        <v>0.38754888282229166</v>
      </c>
      <c r="E91" s="826">
        <f>'Recycling - Case 1'!BE101</f>
        <v>0.2170984009999665</v>
      </c>
      <c r="F91" s="826">
        <f>'Recycling - Case 1'!BF101</f>
        <v>0.27533950553430248</v>
      </c>
      <c r="G91" s="826">
        <f>'Recycling - Case 1'!BG101</f>
        <v>6.5729182201768419E-2</v>
      </c>
      <c r="H91" s="826">
        <f>'Recycling - Case 1'!BH101</f>
        <v>0</v>
      </c>
      <c r="I91" s="826">
        <f>'Recycling - Case 1'!BI101</f>
        <v>0</v>
      </c>
      <c r="J91" s="826">
        <f>'Recycling - Case 1'!BJ101</f>
        <v>0</v>
      </c>
      <c r="K91" s="826">
        <f>'Recycling - Case 1'!BK101</f>
        <v>0.44183291126396246</v>
      </c>
      <c r="L91" s="827">
        <f t="shared" si="100"/>
        <v>0.99999999999999978</v>
      </c>
      <c r="M91" s="104"/>
      <c r="N91" s="838">
        <f t="shared" si="57"/>
        <v>9003.6315898476932</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0.11392433413756284</v>
      </c>
      <c r="Q91" s="832">
        <f t="shared" si="62"/>
        <v>395.69612765169404</v>
      </c>
      <c r="R91" s="832">
        <f t="shared" si="63"/>
        <v>395.69612765169404</v>
      </c>
      <c r="S91" s="835">
        <f t="shared" si="64"/>
        <v>0</v>
      </c>
      <c r="T91" s="832">
        <f t="shared" si="65"/>
        <v>13157.897515556948</v>
      </c>
      <c r="U91" s="832">
        <f t="shared" si="66"/>
        <v>654.33205732951797</v>
      </c>
      <c r="V91" s="839">
        <f t="shared" si="67"/>
        <v>436.22137155301198</v>
      </c>
      <c r="W91" s="1447"/>
      <c r="X91" s="1025">
        <f>'Recycling - Case 1'!AM141</f>
        <v>522.91869328625455</v>
      </c>
      <c r="Y91" s="1026">
        <f>Parameters!S192</f>
        <v>0.71500000000000008</v>
      </c>
      <c r="Z91" s="1027">
        <f t="shared" si="68"/>
        <v>0.4</v>
      </c>
      <c r="AA91" s="1028">
        <f t="shared" si="69"/>
        <v>74.777373139934411</v>
      </c>
      <c r="AB91" s="1028">
        <f t="shared" si="70"/>
        <v>74.777373139934411</v>
      </c>
      <c r="AC91" s="1029">
        <f t="shared" si="71"/>
        <v>0</v>
      </c>
      <c r="AD91" s="1028">
        <f t="shared" si="72"/>
        <v>9374.1828397202335</v>
      </c>
      <c r="AE91" s="1028">
        <f t="shared" si="73"/>
        <v>476.79071391676331</v>
      </c>
      <c r="AF91" s="1030">
        <f t="shared" si="74"/>
        <v>317.86047594450889</v>
      </c>
      <c r="AG91" s="104"/>
      <c r="AH91" s="1025">
        <f>'Recycling - Case 1'!AM181</f>
        <v>522.91869328625455</v>
      </c>
      <c r="AI91" s="1026">
        <f>Parameters!S192</f>
        <v>0.71500000000000008</v>
      </c>
      <c r="AJ91" s="1027">
        <f t="shared" si="75"/>
        <v>0.4</v>
      </c>
      <c r="AK91" s="1028">
        <f t="shared" si="76"/>
        <v>74.777373139934411</v>
      </c>
      <c r="AL91" s="1028">
        <f t="shared" si="77"/>
        <v>74.777373139934411</v>
      </c>
      <c r="AM91" s="1029">
        <f t="shared" si="78"/>
        <v>0</v>
      </c>
      <c r="AN91" s="1028">
        <f t="shared" si="79"/>
        <v>9374.1828397202335</v>
      </c>
      <c r="AO91" s="1028">
        <f t="shared" si="80"/>
        <v>476.79071391676331</v>
      </c>
      <c r="AP91" s="1030">
        <f t="shared" si="81"/>
        <v>317.86047594450889</v>
      </c>
      <c r="AQ91" s="104"/>
      <c r="AR91" s="1064">
        <f>'Recycling - Case 1'!G101</f>
        <v>550.00919431657758</v>
      </c>
      <c r="AS91" s="1065">
        <v>1</v>
      </c>
      <c r="AT91" s="1066">
        <f t="shared" si="82"/>
        <v>0.05</v>
      </c>
      <c r="AU91" s="1044">
        <f t="shared" si="83"/>
        <v>13.750229857914441</v>
      </c>
      <c r="AV91" s="1044">
        <f t="shared" si="84"/>
        <v>13.750229857914441</v>
      </c>
      <c r="AW91" s="1045">
        <f t="shared" si="85"/>
        <v>0</v>
      </c>
      <c r="AX91" s="1044">
        <f t="shared" si="51"/>
        <v>160.5336196144072</v>
      </c>
      <c r="AY91" s="1044">
        <f t="shared" si="54"/>
        <v>9.0765779127630246</v>
      </c>
      <c r="AZ91" s="1067">
        <f t="shared" si="52"/>
        <v>6.0510519418420161</v>
      </c>
      <c r="BB91" s="1055">
        <f t="shared" si="86"/>
        <v>436.22137155301198</v>
      </c>
      <c r="BC91" s="1056">
        <f t="shared" si="87"/>
        <v>317.86047594450889</v>
      </c>
      <c r="BD91" s="1082">
        <f t="shared" si="101"/>
        <v>6.0510519418420161</v>
      </c>
      <c r="BE91" s="1056">
        <f t="shared" si="60"/>
        <v>760.13289943936286</v>
      </c>
      <c r="BF91" s="167">
        <v>0</v>
      </c>
      <c r="BG91" s="1075">
        <f t="shared" si="88"/>
        <v>760.13289943936286</v>
      </c>
      <c r="BI91" s="1055">
        <f t="shared" si="89"/>
        <v>436.22137155301198</v>
      </c>
      <c r="BJ91" s="1056">
        <f t="shared" si="90"/>
        <v>317.86047594450889</v>
      </c>
      <c r="BK91" s="1082">
        <f t="shared" si="91"/>
        <v>6.0510519418420161</v>
      </c>
      <c r="BL91" s="1056">
        <f t="shared" si="61"/>
        <v>760.13289943936286</v>
      </c>
      <c r="BM91" s="167">
        <v>0</v>
      </c>
      <c r="BN91" s="1075">
        <f t="shared" si="92"/>
        <v>760.13289943936286</v>
      </c>
    </row>
    <row r="92" spans="1:66">
      <c r="A92" s="927">
        <f>'Input data'!A122</f>
        <v>2022</v>
      </c>
      <c r="B92" s="824">
        <f>'Input data'!B122</f>
        <v>60.841582286809363</v>
      </c>
      <c r="C92" s="824">
        <f>'Recycling - Case 1'!AK102/B92</f>
        <v>379.45854410475209</v>
      </c>
      <c r="D92" s="826">
        <f>'Recycling - Case 1'!AM102</f>
        <v>0.36974024662101013</v>
      </c>
      <c r="E92" s="826">
        <f>'Recycling - Case 1'!BE102</f>
        <v>0.21094138534054066</v>
      </c>
      <c r="F92" s="826">
        <f>'Recycling - Case 1'!BF102</f>
        <v>0.26753074397998067</v>
      </c>
      <c r="G92" s="826">
        <f>'Recycling - Case 1'!BG102</f>
        <v>6.7537747354464786E-2</v>
      </c>
      <c r="H92" s="826">
        <f>'Recycling - Case 1'!BH102</f>
        <v>0</v>
      </c>
      <c r="I92" s="826">
        <f>'Recycling - Case 1'!BI102</f>
        <v>0</v>
      </c>
      <c r="J92" s="826">
        <f>'Recycling - Case 1'!BJ102</f>
        <v>0</v>
      </c>
      <c r="K92" s="826">
        <f>'Recycling - Case 1'!BK102</f>
        <v>0.45399012332501393</v>
      </c>
      <c r="L92" s="827">
        <f t="shared" si="100"/>
        <v>1</v>
      </c>
      <c r="M92" s="104"/>
      <c r="N92" s="838">
        <f t="shared" si="57"/>
        <v>8536.1406577284433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0.11216245553886314</v>
      </c>
      <c r="Q92" s="832">
        <f t="shared" si="62"/>
        <v>374.32006392168523</v>
      </c>
      <c r="R92" s="832">
        <f t="shared" si="63"/>
        <v>374.32006392168523</v>
      </c>
      <c r="S92" s="835">
        <f t="shared" si="64"/>
        <v>0</v>
      </c>
      <c r="T92" s="832">
        <f t="shared" si="65"/>
        <v>12890.499345284295</v>
      </c>
      <c r="U92" s="832">
        <f t="shared" si="66"/>
        <v>641.71823419433758</v>
      </c>
      <c r="V92" s="839">
        <f t="shared" si="67"/>
        <v>427.81215612955839</v>
      </c>
      <c r="W92" s="1447"/>
      <c r="X92" s="1025">
        <f>'Recycling - Case 1'!AM142</f>
        <v>369.76442126228255</v>
      </c>
      <c r="Y92" s="1026">
        <f>Parameters!S193</f>
        <v>0.71500000000000008</v>
      </c>
      <c r="Z92" s="1027">
        <f t="shared" si="68"/>
        <v>0.4</v>
      </c>
      <c r="AA92" s="1028">
        <f t="shared" si="69"/>
        <v>52.876312240506415</v>
      </c>
      <c r="AB92" s="1028">
        <f t="shared" si="70"/>
        <v>52.876312240506415</v>
      </c>
      <c r="AC92" s="1029">
        <f t="shared" si="71"/>
        <v>0</v>
      </c>
      <c r="AD92" s="1028">
        <f t="shared" si="72"/>
        <v>8969.8748600320541</v>
      </c>
      <c r="AE92" s="1028">
        <f t="shared" si="73"/>
        <v>457.18429192868672</v>
      </c>
      <c r="AF92" s="1030">
        <f t="shared" si="74"/>
        <v>304.78952795245783</v>
      </c>
      <c r="AG92" s="104"/>
      <c r="AH92" s="1025">
        <f>'Recycling - Case 1'!AM182</f>
        <v>369.76442126228255</v>
      </c>
      <c r="AI92" s="1026">
        <f>Parameters!S193</f>
        <v>0.71500000000000008</v>
      </c>
      <c r="AJ92" s="1027">
        <f t="shared" si="75"/>
        <v>0.4</v>
      </c>
      <c r="AK92" s="1028">
        <f t="shared" si="76"/>
        <v>52.876312240506415</v>
      </c>
      <c r="AL92" s="1028">
        <f t="shared" si="77"/>
        <v>52.876312240506415</v>
      </c>
      <c r="AM92" s="1029">
        <f t="shared" si="78"/>
        <v>0</v>
      </c>
      <c r="AN92" s="1028">
        <f t="shared" si="79"/>
        <v>8969.8748600320541</v>
      </c>
      <c r="AO92" s="1028">
        <f t="shared" si="80"/>
        <v>457.18429192868672</v>
      </c>
      <c r="AP92" s="1030">
        <f t="shared" si="81"/>
        <v>304.78952795245783</v>
      </c>
      <c r="AQ92" s="104"/>
      <c r="AR92" s="1064">
        <f>'Recycling - Case 1'!G102</f>
        <v>561.19730656513377</v>
      </c>
      <c r="AS92" s="1065">
        <v>1</v>
      </c>
      <c r="AT92" s="1066">
        <f t="shared" si="82"/>
        <v>0.05</v>
      </c>
      <c r="AU92" s="1044">
        <f t="shared" si="83"/>
        <v>14.029932664128346</v>
      </c>
      <c r="AV92" s="1044">
        <f t="shared" si="84"/>
        <v>14.029932664128346</v>
      </c>
      <c r="AW92" s="1045">
        <f t="shared" si="85"/>
        <v>0</v>
      </c>
      <c r="AX92" s="1044">
        <f t="shared" si="51"/>
        <v>165.21480206488175</v>
      </c>
      <c r="AY92" s="1044">
        <f t="shared" si="54"/>
        <v>9.3487502136538012</v>
      </c>
      <c r="AZ92" s="1067">
        <f t="shared" si="52"/>
        <v>6.2325001424358675</v>
      </c>
      <c r="BB92" s="1055">
        <f t="shared" si="86"/>
        <v>427.81215612955839</v>
      </c>
      <c r="BC92" s="1056">
        <f t="shared" si="87"/>
        <v>304.78952795245783</v>
      </c>
      <c r="BD92" s="1082">
        <f t="shared" si="101"/>
        <v>6.2325001424358675</v>
      </c>
      <c r="BE92" s="1056">
        <f t="shared" si="60"/>
        <v>738.83418422445197</v>
      </c>
      <c r="BF92" s="167">
        <v>0</v>
      </c>
      <c r="BG92" s="1075">
        <f t="shared" si="88"/>
        <v>738.83418422445197</v>
      </c>
      <c r="BI92" s="1055">
        <f t="shared" si="89"/>
        <v>427.81215612955839</v>
      </c>
      <c r="BJ92" s="1056">
        <f t="shared" si="90"/>
        <v>304.78952795245783</v>
      </c>
      <c r="BK92" s="1082">
        <f t="shared" si="91"/>
        <v>6.2325001424358675</v>
      </c>
      <c r="BL92" s="1056">
        <f t="shared" si="61"/>
        <v>738.83418422445197</v>
      </c>
      <c r="BM92" s="167">
        <v>0</v>
      </c>
      <c r="BN92" s="1075">
        <f t="shared" si="92"/>
        <v>738.83418422445197</v>
      </c>
    </row>
    <row r="93" spans="1:66">
      <c r="A93" s="927">
        <f>'Input data'!A123</f>
        <v>2023</v>
      </c>
      <c r="B93" s="824">
        <f>'Input data'!B123</f>
        <v>61.537824355929828</v>
      </c>
      <c r="C93" s="824">
        <f>'Recycling - Case 1'!AK103/B93</f>
        <v>373.14441280082451</v>
      </c>
      <c r="D93" s="826">
        <f>'Recycling - Case 1'!AM103</f>
        <v>0.35244092155472828</v>
      </c>
      <c r="E93" s="826">
        <f>'Recycling - Case 1'!BE103</f>
        <v>0.20456527424000612</v>
      </c>
      <c r="F93" s="826">
        <f>'Recycling - Case 1'!BF103</f>
        <v>0.25944411013299429</v>
      </c>
      <c r="G93" s="826">
        <f>'Recycling - Case 1'!BG103</f>
        <v>6.9410669722055854E-2</v>
      </c>
      <c r="H93" s="826">
        <f>'Recycling - Case 1'!BH103</f>
        <v>0</v>
      </c>
      <c r="I93" s="826">
        <f>'Recycling - Case 1'!BI103</f>
        <v>0</v>
      </c>
      <c r="J93" s="826">
        <f>'Recycling - Case 1'!BJ103</f>
        <v>0</v>
      </c>
      <c r="K93" s="826">
        <f>'Recycling - Case 1'!BK103</f>
        <v>0.46657994590494389</v>
      </c>
      <c r="L93" s="827">
        <f t="shared" si="100"/>
        <v>1.0000000000000002</v>
      </c>
      <c r="M93" s="104"/>
      <c r="N93" s="838">
        <f t="shared" si="57"/>
        <v>8092.9230168287213</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0.11033788105142213</v>
      </c>
      <c r="Q93" s="832">
        <f t="shared" si="62"/>
        <v>353.7479448095533</v>
      </c>
      <c r="R93" s="832">
        <f t="shared" si="63"/>
        <v>353.7479448095533</v>
      </c>
      <c r="S93" s="835">
        <f t="shared" si="64"/>
        <v>0</v>
      </c>
      <c r="T93" s="832">
        <f t="shared" si="65"/>
        <v>12615.570218551164</v>
      </c>
      <c r="U93" s="832">
        <f t="shared" si="66"/>
        <v>628.6770715426843</v>
      </c>
      <c r="V93" s="839">
        <f t="shared" si="67"/>
        <v>419.11804769512287</v>
      </c>
      <c r="W93" s="1447"/>
      <c r="X93" s="1025">
        <f>'Recycling - Case 1'!AM143</f>
        <v>255.66720832410556</v>
      </c>
      <c r="Y93" s="1026">
        <f>Parameters!S194</f>
        <v>0.71500000000000008</v>
      </c>
      <c r="Z93" s="1027">
        <f t="shared" si="68"/>
        <v>0.4</v>
      </c>
      <c r="AA93" s="1028">
        <f t="shared" si="69"/>
        <v>36.560410790347099</v>
      </c>
      <c r="AB93" s="1028">
        <f t="shared" si="70"/>
        <v>36.560410790347099</v>
      </c>
      <c r="AC93" s="1029">
        <f t="shared" si="71"/>
        <v>0</v>
      </c>
      <c r="AD93" s="1028">
        <f t="shared" si="72"/>
        <v>8568.9693117420611</v>
      </c>
      <c r="AE93" s="1028">
        <f t="shared" si="73"/>
        <v>437.46595908034061</v>
      </c>
      <c r="AF93" s="1030">
        <f t="shared" si="74"/>
        <v>291.64397272022705</v>
      </c>
      <c r="AG93" s="104"/>
      <c r="AH93" s="1025">
        <f>'Recycling - Case 1'!AM183</f>
        <v>255.66720832410556</v>
      </c>
      <c r="AI93" s="1026">
        <f>Parameters!S194</f>
        <v>0.71500000000000008</v>
      </c>
      <c r="AJ93" s="1027">
        <f t="shared" si="75"/>
        <v>0.4</v>
      </c>
      <c r="AK93" s="1028">
        <f t="shared" si="76"/>
        <v>36.560410790347099</v>
      </c>
      <c r="AL93" s="1028">
        <f t="shared" si="77"/>
        <v>36.560410790347099</v>
      </c>
      <c r="AM93" s="1029">
        <f t="shared" si="78"/>
        <v>0</v>
      </c>
      <c r="AN93" s="1028">
        <f t="shared" si="79"/>
        <v>8568.9693117420611</v>
      </c>
      <c r="AO93" s="1028">
        <f t="shared" si="80"/>
        <v>437.46595908034061</v>
      </c>
      <c r="AP93" s="1030">
        <f t="shared" si="81"/>
        <v>291.64397272022705</v>
      </c>
      <c r="AQ93" s="104"/>
      <c r="AR93" s="1064">
        <f>'Recycling - Case 1'!G103</f>
        <v>572.05129894396055</v>
      </c>
      <c r="AS93" s="1065">
        <v>1</v>
      </c>
      <c r="AT93" s="1066">
        <f t="shared" si="82"/>
        <v>0.05</v>
      </c>
      <c r="AU93" s="1044">
        <f t="shared" si="83"/>
        <v>14.301282473599015</v>
      </c>
      <c r="AV93" s="1044">
        <f t="shared" si="84"/>
        <v>14.301282473599015</v>
      </c>
      <c r="AW93" s="1045">
        <f t="shared" si="85"/>
        <v>0</v>
      </c>
      <c r="AX93" s="1044">
        <f t="shared" si="51"/>
        <v>169.89472348144633</v>
      </c>
      <c r="AY93" s="1044">
        <f t="shared" si="54"/>
        <v>9.6213610570344166</v>
      </c>
      <c r="AZ93" s="1067">
        <f t="shared" si="52"/>
        <v>6.4142407046896111</v>
      </c>
      <c r="BB93" s="1055">
        <f t="shared" si="86"/>
        <v>419.11804769512287</v>
      </c>
      <c r="BC93" s="1056">
        <f t="shared" si="87"/>
        <v>291.64397272022705</v>
      </c>
      <c r="BD93" s="1082">
        <f t="shared" si="101"/>
        <v>6.4142407046896111</v>
      </c>
      <c r="BE93" s="1056">
        <f t="shared" si="60"/>
        <v>717.17626112003961</v>
      </c>
      <c r="BF93" s="167">
        <v>0</v>
      </c>
      <c r="BG93" s="1075">
        <f t="shared" si="88"/>
        <v>717.17626112003961</v>
      </c>
      <c r="BI93" s="1055">
        <f t="shared" si="89"/>
        <v>419.11804769512287</v>
      </c>
      <c r="BJ93" s="1056">
        <f t="shared" si="90"/>
        <v>291.64397272022705</v>
      </c>
      <c r="BK93" s="1082">
        <f t="shared" si="91"/>
        <v>6.4142407046896111</v>
      </c>
      <c r="BL93" s="1056">
        <f t="shared" si="61"/>
        <v>717.17626112003961</v>
      </c>
      <c r="BM93" s="167">
        <v>0</v>
      </c>
      <c r="BN93" s="1075">
        <f t="shared" si="92"/>
        <v>717.17626112003961</v>
      </c>
    </row>
    <row r="94" spans="1:66">
      <c r="A94" s="927">
        <f>'Input data'!A124</f>
        <v>2024</v>
      </c>
      <c r="B94" s="824">
        <f>'Input data'!B124</f>
        <v>62.221509701386374</v>
      </c>
      <c r="C94" s="824">
        <f>'Recycling - Case 1'!AK104/B94</f>
        <v>367.42573518623851</v>
      </c>
      <c r="D94" s="826">
        <f>'Recycling - Case 1'!AM104</f>
        <v>0.33561328177679373</v>
      </c>
      <c r="E94" s="826">
        <f>'Recycling - Case 1'!BE104</f>
        <v>0.19797018622057902</v>
      </c>
      <c r="F94" s="826">
        <f>'Recycling - Case 1'!BF104</f>
        <v>0.25107975431157797</v>
      </c>
      <c r="G94" s="826">
        <f>'Recycling - Case 1'!BG104</f>
        <v>7.1347914489760925E-2</v>
      </c>
      <c r="H94" s="826">
        <f>'Recycling - Case 1'!BH104</f>
        <v>0</v>
      </c>
      <c r="I94" s="826">
        <f>'Recycling - Case 1'!BI104</f>
        <v>0</v>
      </c>
      <c r="J94" s="826">
        <f>'Recycling - Case 1'!BJ104</f>
        <v>0</v>
      </c>
      <c r="K94" s="826">
        <f>'Recycling - Case 1'!BK104</f>
        <v>0.47960214497808218</v>
      </c>
      <c r="L94" s="827">
        <f t="shared" si="100"/>
        <v>1</v>
      </c>
      <c r="M94" s="104"/>
      <c r="N94" s="838">
        <f t="shared" si="57"/>
        <v>7672.7183375332434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0.10845064459130682</v>
      </c>
      <c r="Q94" s="832">
        <f t="shared" si="62"/>
        <v>333.96464954811404</v>
      </c>
      <c r="R94" s="832">
        <f t="shared" si="63"/>
        <v>333.96464954811404</v>
      </c>
      <c r="S94" s="835">
        <f t="shared" si="64"/>
        <v>0</v>
      </c>
      <c r="T94" s="832">
        <f t="shared" si="65"/>
        <v>12334.266248288885</v>
      </c>
      <c r="U94" s="832">
        <f t="shared" si="66"/>
        <v>615.26861981039326</v>
      </c>
      <c r="V94" s="839">
        <f t="shared" si="67"/>
        <v>410.17907987359553</v>
      </c>
      <c r="W94" s="1447"/>
      <c r="X94" s="1025">
        <f>'Recycling - Case 1'!AM144</f>
        <v>131.31443259564816</v>
      </c>
      <c r="Y94" s="1026">
        <f>Parameters!S195</f>
        <v>0.71500000000000008</v>
      </c>
      <c r="Z94" s="1027">
        <f t="shared" si="68"/>
        <v>0.4</v>
      </c>
      <c r="AA94" s="1028">
        <f t="shared" si="69"/>
        <v>18.777963861177689</v>
      </c>
      <c r="AB94" s="1028">
        <f t="shared" si="70"/>
        <v>18.777963861177689</v>
      </c>
      <c r="AC94" s="1029">
        <f t="shared" si="71"/>
        <v>0</v>
      </c>
      <c r="AD94" s="1028">
        <f t="shared" si="72"/>
        <v>8169.8337108338574</v>
      </c>
      <c r="AE94" s="1028">
        <f t="shared" si="73"/>
        <v>417.91356476938086</v>
      </c>
      <c r="AF94" s="1030">
        <f t="shared" si="74"/>
        <v>278.60904317958722</v>
      </c>
      <c r="AG94" s="104"/>
      <c r="AH94" s="1025">
        <f>'Recycling - Case 1'!AM184</f>
        <v>131.31443259564816</v>
      </c>
      <c r="AI94" s="1026">
        <f>Parameters!S195</f>
        <v>0.71500000000000008</v>
      </c>
      <c r="AJ94" s="1027">
        <f t="shared" si="75"/>
        <v>0.4</v>
      </c>
      <c r="AK94" s="1028">
        <f t="shared" si="76"/>
        <v>18.777963861177689</v>
      </c>
      <c r="AL94" s="1028">
        <f t="shared" si="77"/>
        <v>18.777963861177689</v>
      </c>
      <c r="AM94" s="1029">
        <f t="shared" si="78"/>
        <v>0</v>
      </c>
      <c r="AN94" s="1028">
        <f t="shared" si="79"/>
        <v>8169.8337108338574</v>
      </c>
      <c r="AO94" s="1028">
        <f t="shared" si="80"/>
        <v>417.91356476938086</v>
      </c>
      <c r="AP94" s="1030">
        <f t="shared" si="81"/>
        <v>278.60904317958722</v>
      </c>
      <c r="AQ94" s="104"/>
      <c r="AR94" s="1064">
        <f>'Recycling - Case 1'!G104</f>
        <v>582.88794646036968</v>
      </c>
      <c r="AS94" s="1065">
        <v>1</v>
      </c>
      <c r="AT94" s="1066">
        <f t="shared" si="82"/>
        <v>0.05</v>
      </c>
      <c r="AU94" s="1044">
        <f t="shared" si="83"/>
        <v>14.572198661509242</v>
      </c>
      <c r="AV94" s="1044">
        <f t="shared" si="84"/>
        <v>14.572198661509242</v>
      </c>
      <c r="AW94" s="1045">
        <f t="shared" si="85"/>
        <v>0</v>
      </c>
      <c r="AX94" s="1044">
        <f t="shared" si="51"/>
        <v>174.57302367943845</v>
      </c>
      <c r="AY94" s="1044">
        <f t="shared" si="54"/>
        <v>9.8938984635171181</v>
      </c>
      <c r="AZ94" s="1067">
        <f t="shared" si="52"/>
        <v>6.5959323090114124</v>
      </c>
      <c r="BB94" s="1055">
        <f t="shared" si="86"/>
        <v>410.17907987359553</v>
      </c>
      <c r="BC94" s="1056">
        <f t="shared" si="87"/>
        <v>278.60904317958722</v>
      </c>
      <c r="BD94" s="1082">
        <f t="shared" si="101"/>
        <v>6.5959323090114124</v>
      </c>
      <c r="BE94" s="1056">
        <f t="shared" si="60"/>
        <v>695.3840553621942</v>
      </c>
      <c r="BF94" s="167">
        <v>0</v>
      </c>
      <c r="BG94" s="1075">
        <f t="shared" si="88"/>
        <v>695.3840553621942</v>
      </c>
      <c r="BI94" s="1055">
        <f t="shared" si="89"/>
        <v>410.17907987359553</v>
      </c>
      <c r="BJ94" s="1056">
        <f t="shared" si="90"/>
        <v>278.60904317958722</v>
      </c>
      <c r="BK94" s="1082">
        <f t="shared" si="91"/>
        <v>6.5959323090114124</v>
      </c>
      <c r="BL94" s="1056">
        <f t="shared" si="61"/>
        <v>695.3840553621942</v>
      </c>
      <c r="BM94" s="167">
        <v>0</v>
      </c>
      <c r="BN94" s="1075">
        <f t="shared" si="92"/>
        <v>695.3840553621942</v>
      </c>
    </row>
    <row r="95" spans="1:66">
      <c r="A95" s="927">
        <f>'Input data'!A125</f>
        <v>2025</v>
      </c>
      <c r="B95" s="824">
        <f>'Input data'!B125</f>
        <v>62.892038582526091</v>
      </c>
      <c r="C95" s="824">
        <f>'Recycling - Case 1'!AK105/B95</f>
        <v>362.26304683446654</v>
      </c>
      <c r="D95" s="826">
        <f>'Recycling - Case 1'!AM105</f>
        <v>0.31928123493239463</v>
      </c>
      <c r="E95" s="826">
        <f>'Recycling - Case 1'!BE105</f>
        <v>0.19113952815644952</v>
      </c>
      <c r="F95" s="826">
        <f>'Recycling - Case 1'!BF105</f>
        <v>0.24241663194315663</v>
      </c>
      <c r="G95" s="826">
        <f>'Recycling - Case 1'!BG105</f>
        <v>7.3354355731445345E-2</v>
      </c>
      <c r="H95" s="826">
        <f>'Recycling - Case 1'!BH105</f>
        <v>0</v>
      </c>
      <c r="I95" s="826">
        <f>'Recycling - Case 1'!BI105</f>
        <v>0</v>
      </c>
      <c r="J95" s="826">
        <f>'Recycling - Case 1'!BJ105</f>
        <v>0</v>
      </c>
      <c r="K95" s="826">
        <f>'Recycling - Case 1'!BK105</f>
        <v>0.49308948416894854</v>
      </c>
      <c r="L95" s="827">
        <f t="shared" si="100"/>
        <v>1</v>
      </c>
      <c r="M95" s="104"/>
      <c r="N95" s="838">
        <f t="shared" si="57"/>
        <v>7274.3317296730966</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0.1064959979046769</v>
      </c>
      <c r="Q95" s="832">
        <f t="shared" si="62"/>
        <v>314.94014922682254</v>
      </c>
      <c r="R95" s="832">
        <f t="shared" si="63"/>
        <v>314.94014922682254</v>
      </c>
      <c r="S95" s="835">
        <f t="shared" si="64"/>
        <v>0</v>
      </c>
      <c r="T95" s="832">
        <f t="shared" si="65"/>
        <v>12047.657134225239</v>
      </c>
      <c r="U95" s="832">
        <f t="shared" si="66"/>
        <v>601.54926329046793</v>
      </c>
      <c r="V95" s="839">
        <f t="shared" si="67"/>
        <v>401.03284219364531</v>
      </c>
      <c r="W95" s="1447"/>
      <c r="X95" s="1025">
        <f>'Recycling - Case 1'!AM145</f>
        <v>22.360553720018977</v>
      </c>
      <c r="Y95" s="1026">
        <f>Parameters!S196</f>
        <v>0.71500000000000008</v>
      </c>
      <c r="Z95" s="1027">
        <f t="shared" si="68"/>
        <v>0.4</v>
      </c>
      <c r="AA95" s="1028">
        <f t="shared" si="69"/>
        <v>3.1975591819627138</v>
      </c>
      <c r="AB95" s="1028">
        <f t="shared" si="70"/>
        <v>3.1975591819627138</v>
      </c>
      <c r="AC95" s="1029">
        <f t="shared" si="71"/>
        <v>0</v>
      </c>
      <c r="AD95" s="1028">
        <f t="shared" si="72"/>
        <v>7774.5837782049857</v>
      </c>
      <c r="AE95" s="1028">
        <f t="shared" si="73"/>
        <v>398.44749181083444</v>
      </c>
      <c r="AF95" s="1030">
        <f t="shared" si="74"/>
        <v>265.63166120722298</v>
      </c>
      <c r="AG95" s="104"/>
      <c r="AH95" s="1025">
        <f>'Recycling - Case 1'!AM185</f>
        <v>22.360553720018977</v>
      </c>
      <c r="AI95" s="1026">
        <f>Parameters!S196</f>
        <v>0.71500000000000008</v>
      </c>
      <c r="AJ95" s="1027">
        <f t="shared" si="75"/>
        <v>0.4</v>
      </c>
      <c r="AK95" s="1028">
        <f t="shared" si="76"/>
        <v>3.1975591819627138</v>
      </c>
      <c r="AL95" s="1028">
        <f t="shared" si="77"/>
        <v>3.1975591819627138</v>
      </c>
      <c r="AM95" s="1029">
        <f t="shared" si="78"/>
        <v>0</v>
      </c>
      <c r="AN95" s="1028">
        <f t="shared" si="79"/>
        <v>7774.5837782049857</v>
      </c>
      <c r="AO95" s="1028">
        <f t="shared" si="80"/>
        <v>398.44749181083444</v>
      </c>
      <c r="AP95" s="1030">
        <f t="shared" si="81"/>
        <v>265.63166120722298</v>
      </c>
      <c r="AQ95" s="104"/>
      <c r="AR95" s="1064">
        <f>'Recycling - Case 1'!G105</f>
        <v>593.69887459784195</v>
      </c>
      <c r="AS95" s="1065">
        <v>1</v>
      </c>
      <c r="AT95" s="1066">
        <f t="shared" si="82"/>
        <v>0.05</v>
      </c>
      <c r="AU95" s="1044">
        <f t="shared" si="83"/>
        <v>14.842471864946049</v>
      </c>
      <c r="AV95" s="1044">
        <f t="shared" si="84"/>
        <v>14.842471864946049</v>
      </c>
      <c r="AW95" s="1045">
        <f t="shared" si="85"/>
        <v>0</v>
      </c>
      <c r="AX95" s="1044">
        <f t="shared" si="51"/>
        <v>179.2491540868044</v>
      </c>
      <c r="AY95" s="1044">
        <f t="shared" si="54"/>
        <v>10.16634145758009</v>
      </c>
      <c r="AZ95" s="1067">
        <f t="shared" si="52"/>
        <v>6.7775609717200602</v>
      </c>
      <c r="BB95" s="1055">
        <f t="shared" si="86"/>
        <v>401.03284219364531</v>
      </c>
      <c r="BC95" s="1056">
        <f t="shared" si="87"/>
        <v>265.63166120722298</v>
      </c>
      <c r="BD95" s="1082">
        <f t="shared" si="101"/>
        <v>6.7775609717200602</v>
      </c>
      <c r="BE95" s="1056">
        <f t="shared" si="60"/>
        <v>673.44206437258833</v>
      </c>
      <c r="BF95" s="167">
        <v>0</v>
      </c>
      <c r="BG95" s="1075">
        <f t="shared" si="88"/>
        <v>673.44206437258833</v>
      </c>
      <c r="BI95" s="1055">
        <f t="shared" si="89"/>
        <v>401.03284219364531</v>
      </c>
      <c r="BJ95" s="1056">
        <f t="shared" si="90"/>
        <v>265.63166120722298</v>
      </c>
      <c r="BK95" s="1082">
        <f t="shared" si="91"/>
        <v>6.7775609717200602</v>
      </c>
      <c r="BL95" s="1056">
        <f t="shared" si="61"/>
        <v>673.44206437258833</v>
      </c>
      <c r="BM95" s="167">
        <v>0</v>
      </c>
      <c r="BN95" s="1075">
        <f t="shared" si="92"/>
        <v>673.44206437258833</v>
      </c>
    </row>
    <row r="96" spans="1:66">
      <c r="A96" s="927">
        <f>'Input data'!A126</f>
        <v>2026</v>
      </c>
      <c r="B96" s="824">
        <f>'Input data'!B126</f>
        <v>63.548817559440096</v>
      </c>
      <c r="C96" s="824">
        <f>'Recycling - Case 1'!AK106/B96</f>
        <v>357.62000589771964</v>
      </c>
      <c r="D96" s="826">
        <f>'Recycling - Case 1'!AM106</f>
        <v>0.30346434275958756</v>
      </c>
      <c r="E96" s="826">
        <f>'Recycling - Case 1'!BE106</f>
        <v>0.1840548650493696</v>
      </c>
      <c r="F96" s="826">
        <f>'Recycling - Case 1'!BF106</f>
        <v>0.23343136246260995</v>
      </c>
      <c r="G96" s="826">
        <f>'Recycling - Case 1'!BG106</f>
        <v>7.5435408553593417E-2</v>
      </c>
      <c r="H96" s="826">
        <f>'Recycling - Case 1'!BH106</f>
        <v>0</v>
      </c>
      <c r="I96" s="826">
        <f>'Recycling - Case 1'!BI106</f>
        <v>0</v>
      </c>
      <c r="J96" s="826">
        <f>'Recycling - Case 1'!BJ106</f>
        <v>0</v>
      </c>
      <c r="K96" s="826">
        <f>'Recycling - Case 1'!BK106</f>
        <v>0.50707836393442707</v>
      </c>
      <c r="L96" s="827">
        <f t="shared" si="100"/>
        <v>1</v>
      </c>
      <c r="M96" s="104"/>
      <c r="N96" s="838">
        <f t="shared" si="57"/>
        <v>6896.6303447470355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0.10446866567136481</v>
      </c>
      <c r="Q96" s="832">
        <f t="shared" si="62"/>
        <v>296.64451327359438</v>
      </c>
      <c r="R96" s="832">
        <f t="shared" si="63"/>
        <v>296.64451327359438</v>
      </c>
      <c r="S96" s="835">
        <f t="shared" si="64"/>
        <v>0</v>
      </c>
      <c r="T96" s="832">
        <f t="shared" si="65"/>
        <v>11756.730475644588</v>
      </c>
      <c r="U96" s="832">
        <f t="shared" si="66"/>
        <v>587.5711718542434</v>
      </c>
      <c r="V96" s="839">
        <f t="shared" si="67"/>
        <v>391.71411456949562</v>
      </c>
      <c r="W96" s="1447"/>
      <c r="X96" s="1025">
        <f>'Recycling - Case 1'!AM146</f>
        <v>11.769824762474174</v>
      </c>
      <c r="Y96" s="1026">
        <f>Parameters!S197</f>
        <v>0.71500000000000008</v>
      </c>
      <c r="Z96" s="1027">
        <f t="shared" si="68"/>
        <v>0.4</v>
      </c>
      <c r="AA96" s="1028">
        <f t="shared" si="69"/>
        <v>1.6830849410338071</v>
      </c>
      <c r="AB96" s="1028">
        <f t="shared" si="70"/>
        <v>1.6830849410338071</v>
      </c>
      <c r="AC96" s="1029">
        <f t="shared" si="71"/>
        <v>0</v>
      </c>
      <c r="AD96" s="1028">
        <f t="shared" si="72"/>
        <v>7397.0959380155491</v>
      </c>
      <c r="AE96" s="1028">
        <f t="shared" si="73"/>
        <v>379.17092513047032</v>
      </c>
      <c r="AF96" s="1030">
        <f t="shared" si="74"/>
        <v>252.78061675364688</v>
      </c>
      <c r="AG96" s="104"/>
      <c r="AH96" s="1025">
        <f>'Recycling - Case 1'!AM186</f>
        <v>11.769824762474174</v>
      </c>
      <c r="AI96" s="1026">
        <f>Parameters!S197</f>
        <v>0.71500000000000008</v>
      </c>
      <c r="AJ96" s="1027">
        <f t="shared" si="75"/>
        <v>0.4</v>
      </c>
      <c r="AK96" s="1028">
        <f t="shared" si="76"/>
        <v>1.6830849410338071</v>
      </c>
      <c r="AL96" s="1028">
        <f t="shared" si="77"/>
        <v>1.6830849410338071</v>
      </c>
      <c r="AM96" s="1029">
        <f t="shared" si="78"/>
        <v>0</v>
      </c>
      <c r="AN96" s="1028">
        <f t="shared" si="79"/>
        <v>7397.0959380155491</v>
      </c>
      <c r="AO96" s="1028">
        <f t="shared" si="80"/>
        <v>379.17092513047032</v>
      </c>
      <c r="AP96" s="1030">
        <f t="shared" si="81"/>
        <v>252.78061675364688</v>
      </c>
      <c r="AQ96" s="104"/>
      <c r="AR96" s="1064">
        <f>'Recycling - Case 1'!G106</f>
        <v>604.47559600058503</v>
      </c>
      <c r="AS96" s="1065">
        <v>1</v>
      </c>
      <c r="AT96" s="1066">
        <f t="shared" si="82"/>
        <v>0.05</v>
      </c>
      <c r="AU96" s="1044">
        <f t="shared" si="83"/>
        <v>15.111889900014626</v>
      </c>
      <c r="AV96" s="1044">
        <f t="shared" si="84"/>
        <v>15.111889900014626</v>
      </c>
      <c r="AW96" s="1045">
        <f t="shared" si="85"/>
        <v>0</v>
      </c>
      <c r="AX96" s="1044">
        <f t="shared" si="51"/>
        <v>183.92238589394509</v>
      </c>
      <c r="AY96" s="1044">
        <f t="shared" si="54"/>
        <v>10.438658092873924</v>
      </c>
      <c r="AZ96" s="1067">
        <f t="shared" si="52"/>
        <v>6.9591053952492823</v>
      </c>
      <c r="BB96" s="1055">
        <f t="shared" si="86"/>
        <v>391.71411456949562</v>
      </c>
      <c r="BC96" s="1056">
        <f t="shared" si="87"/>
        <v>252.78061675364688</v>
      </c>
      <c r="BD96" s="1082">
        <f t="shared" si="101"/>
        <v>6.9591053952492823</v>
      </c>
      <c r="BE96" s="1056">
        <f t="shared" si="60"/>
        <v>651.45383671839181</v>
      </c>
      <c r="BF96" s="167">
        <v>0</v>
      </c>
      <c r="BG96" s="1075">
        <f t="shared" si="88"/>
        <v>651.45383671839181</v>
      </c>
      <c r="BI96" s="1055">
        <f t="shared" si="89"/>
        <v>391.71411456949562</v>
      </c>
      <c r="BJ96" s="1056">
        <f t="shared" si="90"/>
        <v>252.78061675364688</v>
      </c>
      <c r="BK96" s="1082">
        <f t="shared" si="91"/>
        <v>6.9591053952492823</v>
      </c>
      <c r="BL96" s="1056">
        <f t="shared" si="61"/>
        <v>651.45383671839181</v>
      </c>
      <c r="BM96" s="167">
        <v>0</v>
      </c>
      <c r="BN96" s="1075">
        <f t="shared" si="92"/>
        <v>651.45383671839181</v>
      </c>
    </row>
    <row r="97" spans="1:66">
      <c r="A97" s="927">
        <f>'Input data'!A127</f>
        <v>2027</v>
      </c>
      <c r="B97" s="824">
        <f>'Input data'!B127</f>
        <v>64.191260356766122</v>
      </c>
      <c r="C97" s="824">
        <f>'Recycling - Case 1'!AK107/B97</f>
        <v>353.46315900362566</v>
      </c>
      <c r="D97" s="826">
        <f>'Recycling - Case 1'!AM107</f>
        <v>0.28817794345298103</v>
      </c>
      <c r="E97" s="826">
        <f>'Recycling - Case 1'!BE107</f>
        <v>0.17669568108367467</v>
      </c>
      <c r="F97" s="826">
        <f>'Recycling - Case 1'!BF107</f>
        <v>0.2240979262653956</v>
      </c>
      <c r="G97" s="826">
        <f>'Recycling - Case 1'!BG107</f>
        <v>7.7597099283137322E-2</v>
      </c>
      <c r="H97" s="826">
        <f>'Recycling - Case 1'!BH107</f>
        <v>0</v>
      </c>
      <c r="I97" s="826">
        <f>'Recycling - Case 1'!BI107</f>
        <v>0</v>
      </c>
      <c r="J97" s="826">
        <f>'Recycling - Case 1'!BJ107</f>
        <v>0</v>
      </c>
      <c r="K97" s="826">
        <f>'Recycling - Case 1'!BK107</f>
        <v>0.52160929336779238</v>
      </c>
      <c r="L97" s="827">
        <f t="shared" si="100"/>
        <v>1</v>
      </c>
      <c r="M97" s="104"/>
      <c r="N97" s="838">
        <f t="shared" si="57"/>
        <v>6538.5401545638715</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0.10236277712888525</v>
      </c>
      <c r="Q97" s="832">
        <f t="shared" si="62"/>
        <v>279.04791976593816</v>
      </c>
      <c r="R97" s="832">
        <f t="shared" si="63"/>
        <v>279.04791976593816</v>
      </c>
      <c r="S97" s="835">
        <f t="shared" si="64"/>
        <v>0</v>
      </c>
      <c r="T97" s="832">
        <f t="shared" si="65"/>
        <v>11462.395884123347</v>
      </c>
      <c r="U97" s="832">
        <f t="shared" si="66"/>
        <v>573.38251128718082</v>
      </c>
      <c r="V97" s="839">
        <f t="shared" si="67"/>
        <v>382.25500752478723</v>
      </c>
      <c r="W97" s="1447"/>
      <c r="X97" s="1025">
        <f>'Recycling - Case 1'!AM147</f>
        <v>0</v>
      </c>
      <c r="Y97" s="1026">
        <f>Parameters!S198</f>
        <v>0.71500000000000008</v>
      </c>
      <c r="Z97" s="1027">
        <f t="shared" si="68"/>
        <v>0.4</v>
      </c>
      <c r="AA97" s="1028">
        <f t="shared" si="69"/>
        <v>0</v>
      </c>
      <c r="AB97" s="1028">
        <f t="shared" si="70"/>
        <v>0</v>
      </c>
      <c r="AC97" s="1029">
        <f t="shared" si="71"/>
        <v>0</v>
      </c>
      <c r="AD97" s="1028">
        <f t="shared" si="72"/>
        <v>7036.3353120950997</v>
      </c>
      <c r="AE97" s="1028">
        <f t="shared" si="73"/>
        <v>360.760625920449</v>
      </c>
      <c r="AF97" s="1030">
        <f t="shared" si="74"/>
        <v>240.50708394696599</v>
      </c>
      <c r="AG97" s="104"/>
      <c r="AH97" s="1025">
        <f>'Recycling - Case 1'!AM187</f>
        <v>0</v>
      </c>
      <c r="AI97" s="1026">
        <f>Parameters!S198</f>
        <v>0.71500000000000008</v>
      </c>
      <c r="AJ97" s="1027">
        <f t="shared" si="75"/>
        <v>0.4</v>
      </c>
      <c r="AK97" s="1028">
        <f t="shared" si="76"/>
        <v>0</v>
      </c>
      <c r="AL97" s="1028">
        <f t="shared" si="77"/>
        <v>0</v>
      </c>
      <c r="AM97" s="1029">
        <f t="shared" si="78"/>
        <v>0</v>
      </c>
      <c r="AN97" s="1028">
        <f t="shared" si="79"/>
        <v>7036.3353120950997</v>
      </c>
      <c r="AO97" s="1028">
        <f t="shared" si="80"/>
        <v>360.760625920449</v>
      </c>
      <c r="AP97" s="1030">
        <f t="shared" si="81"/>
        <v>240.50708394696599</v>
      </c>
      <c r="AQ97" s="104"/>
      <c r="AR97" s="1064">
        <f>'Recycling - Case 1'!G107</f>
        <v>615.20952102110368</v>
      </c>
      <c r="AS97" s="1065">
        <v>1</v>
      </c>
      <c r="AT97" s="1066">
        <f t="shared" si="82"/>
        <v>0.05</v>
      </c>
      <c r="AU97" s="1044">
        <f t="shared" si="83"/>
        <v>15.380238025527593</v>
      </c>
      <c r="AV97" s="1044">
        <f t="shared" si="84"/>
        <v>15.380238025527593</v>
      </c>
      <c r="AW97" s="1045">
        <f t="shared" si="85"/>
        <v>0</v>
      </c>
      <c r="AX97" s="1044">
        <f t="shared" si="51"/>
        <v>188.59181799264101</v>
      </c>
      <c r="AY97" s="1044">
        <f t="shared" si="54"/>
        <v>10.710805926831686</v>
      </c>
      <c r="AZ97" s="1067">
        <f t="shared" si="52"/>
        <v>7.1405372845544575</v>
      </c>
      <c r="BB97" s="1055">
        <f t="shared" si="86"/>
        <v>382.25500752478723</v>
      </c>
      <c r="BC97" s="1056">
        <f t="shared" si="87"/>
        <v>240.50708394696599</v>
      </c>
      <c r="BD97" s="1082">
        <f t="shared" si="101"/>
        <v>7.1405372845544575</v>
      </c>
      <c r="BE97" s="1056">
        <f t="shared" si="60"/>
        <v>629.90262875630776</v>
      </c>
      <c r="BF97" s="167">
        <v>0</v>
      </c>
      <c r="BG97" s="1075">
        <f t="shared" si="88"/>
        <v>629.90262875630776</v>
      </c>
      <c r="BI97" s="1055">
        <f t="shared" si="89"/>
        <v>382.25500752478723</v>
      </c>
      <c r="BJ97" s="1056">
        <f t="shared" si="90"/>
        <v>240.50708394696599</v>
      </c>
      <c r="BK97" s="1082">
        <f t="shared" si="91"/>
        <v>7.1405372845544575</v>
      </c>
      <c r="BL97" s="1056">
        <f t="shared" si="61"/>
        <v>629.90262875630776</v>
      </c>
      <c r="BM97" s="167">
        <v>0</v>
      </c>
      <c r="BN97" s="1075">
        <f t="shared" si="92"/>
        <v>629.90262875630776</v>
      </c>
    </row>
    <row r="98" spans="1:66">
      <c r="A98" s="927">
        <f>'Input data'!A128</f>
        <v>2028</v>
      </c>
      <c r="B98" s="824">
        <f>'Input data'!B128</f>
        <v>64.818788725428234</v>
      </c>
      <c r="C98" s="824">
        <f>'Recycling - Case 1'!AK108/B98</f>
        <v>344.02882293182989</v>
      </c>
      <c r="D98" s="826">
        <f>'Recycling - Case 1'!AM108</f>
        <v>0.27798982558819874</v>
      </c>
      <c r="E98" s="826">
        <f>'Recycling - Case 1'!BE108</f>
        <v>0.17749946227455843</v>
      </c>
      <c r="F98" s="826">
        <f>'Recycling - Case 1'!BF108</f>
        <v>0.2251173382676781</v>
      </c>
      <c r="G98" s="826">
        <f>'Recycling - Case 1'!BG108</f>
        <v>7.7360996155804884E-2</v>
      </c>
      <c r="H98" s="826">
        <f>'Recycling - Case 1'!BH108</f>
        <v>0</v>
      </c>
      <c r="I98" s="826">
        <f>'Recycling - Case 1'!BI108</f>
        <v>0</v>
      </c>
      <c r="J98" s="826">
        <f>'Recycling - Case 1'!BJ108</f>
        <v>0</v>
      </c>
      <c r="K98" s="826">
        <f>'Recycling - Case 1'!BK108</f>
        <v>0.52002220330195825</v>
      </c>
      <c r="L98" s="827">
        <f t="shared" si="100"/>
        <v>0.99999999999999967</v>
      </c>
      <c r="M98" s="104"/>
      <c r="N98" s="838">
        <f t="shared" si="57"/>
        <v>6199.0428971457777</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0.10259278545704134</v>
      </c>
      <c r="Q98" s="832">
        <f t="shared" si="62"/>
        <v>268.45570888057517</v>
      </c>
      <c r="R98" s="832">
        <f t="shared" si="63"/>
        <v>268.45570888057517</v>
      </c>
      <c r="S98" s="835">
        <f t="shared" si="64"/>
        <v>0</v>
      </c>
      <c r="T98" s="832">
        <f t="shared" si="65"/>
        <v>11171.823949134581</v>
      </c>
      <c r="U98" s="832">
        <f t="shared" si="66"/>
        <v>559.02764386934257</v>
      </c>
      <c r="V98" s="839">
        <f t="shared" si="67"/>
        <v>372.68509591289506</v>
      </c>
      <c r="W98" s="1447"/>
      <c r="X98" s="1025">
        <f>'Recycling - Case 1'!AM148</f>
        <v>0</v>
      </c>
      <c r="Y98" s="1026">
        <f>Parameters!S199</f>
        <v>0.71500000000000008</v>
      </c>
      <c r="Z98" s="1027">
        <f t="shared" si="68"/>
        <v>0.4</v>
      </c>
      <c r="AA98" s="1028">
        <f t="shared" si="69"/>
        <v>0</v>
      </c>
      <c r="AB98" s="1028">
        <f t="shared" si="70"/>
        <v>0</v>
      </c>
      <c r="AC98" s="1029">
        <f t="shared" si="71"/>
        <v>0</v>
      </c>
      <c r="AD98" s="1028">
        <f t="shared" si="72"/>
        <v>6693.1691895182739</v>
      </c>
      <c r="AE98" s="1028">
        <f t="shared" si="73"/>
        <v>343.16612257682607</v>
      </c>
      <c r="AF98" s="1030">
        <f t="shared" si="74"/>
        <v>228.77741505121739</v>
      </c>
      <c r="AG98" s="104"/>
      <c r="AH98" s="1025">
        <f>'Recycling - Case 1'!AM188</f>
        <v>0</v>
      </c>
      <c r="AI98" s="1026">
        <f>Parameters!S199</f>
        <v>0.71500000000000008</v>
      </c>
      <c r="AJ98" s="1027">
        <f t="shared" si="75"/>
        <v>0.4</v>
      </c>
      <c r="AK98" s="1028">
        <f t="shared" si="76"/>
        <v>0</v>
      </c>
      <c r="AL98" s="1028">
        <f t="shared" si="77"/>
        <v>0</v>
      </c>
      <c r="AM98" s="1029">
        <f t="shared" si="78"/>
        <v>0</v>
      </c>
      <c r="AN98" s="1028">
        <f t="shared" si="79"/>
        <v>6693.1691895182739</v>
      </c>
      <c r="AO98" s="1028">
        <f t="shared" si="80"/>
        <v>343.16612257682607</v>
      </c>
      <c r="AP98" s="1030">
        <f t="shared" si="81"/>
        <v>228.77741505121739</v>
      </c>
      <c r="AQ98" s="104"/>
      <c r="AR98" s="1064">
        <f>'Recycling - Case 1'!G108</f>
        <v>625.89196862111362</v>
      </c>
      <c r="AS98" s="1065">
        <v>1</v>
      </c>
      <c r="AT98" s="1066">
        <f t="shared" si="82"/>
        <v>0.05</v>
      </c>
      <c r="AU98" s="1044">
        <f t="shared" si="83"/>
        <v>15.647299215527841</v>
      </c>
      <c r="AV98" s="1044">
        <f t="shared" si="84"/>
        <v>15.647299215527841</v>
      </c>
      <c r="AW98" s="1045">
        <f t="shared" si="85"/>
        <v>0</v>
      </c>
      <c r="AX98" s="1044">
        <f t="shared" si="51"/>
        <v>193.25638472517295</v>
      </c>
      <c r="AY98" s="1044">
        <f t="shared" si="54"/>
        <v>10.982732482995925</v>
      </c>
      <c r="AZ98" s="1067">
        <f t="shared" si="52"/>
        <v>7.3218216553306164</v>
      </c>
      <c r="BB98" s="1055">
        <f t="shared" si="86"/>
        <v>372.68509591289506</v>
      </c>
      <c r="BC98" s="1056">
        <f t="shared" si="87"/>
        <v>228.77741505121739</v>
      </c>
      <c r="BD98" s="1082">
        <f t="shared" si="101"/>
        <v>7.3218216553306164</v>
      </c>
      <c r="BE98" s="1056">
        <f t="shared" si="60"/>
        <v>608.78433261944303</v>
      </c>
      <c r="BF98" s="167">
        <v>0</v>
      </c>
      <c r="BG98" s="1075">
        <f t="shared" si="88"/>
        <v>608.78433261944303</v>
      </c>
      <c r="BI98" s="1055">
        <f t="shared" si="89"/>
        <v>372.68509591289506</v>
      </c>
      <c r="BJ98" s="1056">
        <f t="shared" si="90"/>
        <v>228.77741505121739</v>
      </c>
      <c r="BK98" s="1082">
        <f t="shared" si="91"/>
        <v>7.3218216553306164</v>
      </c>
      <c r="BL98" s="1056">
        <f t="shared" si="61"/>
        <v>608.78433261944303</v>
      </c>
      <c r="BM98" s="167">
        <v>0</v>
      </c>
      <c r="BN98" s="1075">
        <f t="shared" si="92"/>
        <v>608.78433261944303</v>
      </c>
    </row>
    <row r="99" spans="1:66">
      <c r="A99" s="927">
        <f>'Input data'!A129</f>
        <v>2029</v>
      </c>
      <c r="B99" s="824">
        <f>'Input data'!B129</f>
        <v>65.435442210930105</v>
      </c>
      <c r="C99" s="824">
        <f>'Recycling - Case 1'!AK109/B99</f>
        <v>335.18792944198617</v>
      </c>
      <c r="D99" s="826">
        <f>'Recycling - Case 1'!AM109</f>
        <v>0.26795821477520043</v>
      </c>
      <c r="E99" s="826">
        <f>'Recycling - Case 1'!BE109</f>
        <v>0.1782696793256896</v>
      </c>
      <c r="F99" s="826">
        <f>'Recycling - Case 1'!BF109</f>
        <v>0.22609418186042562</v>
      </c>
      <c r="G99" s="826">
        <f>'Recycling - Case 1'!BG109</f>
        <v>7.7134752177270297E-2</v>
      </c>
      <c r="H99" s="826">
        <f>'Recycling - Case 1'!BH109</f>
        <v>0</v>
      </c>
      <c r="I99" s="826">
        <f>'Recycling - Case 1'!BI109</f>
        <v>0</v>
      </c>
      <c r="J99" s="826">
        <f>'Recycling - Case 1'!BJ109</f>
        <v>0</v>
      </c>
      <c r="K99" s="826">
        <f>'Recycling - Case 1'!BK109</f>
        <v>0.51850138663661438</v>
      </c>
      <c r="L99" s="827">
        <f t="shared" si="100"/>
        <v>0.99999999999999989</v>
      </c>
      <c r="M99" s="104"/>
      <c r="N99" s="838">
        <f t="shared" si="57"/>
        <v>5877.1731812078651</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0.10281318914184667</v>
      </c>
      <c r="Q99" s="832">
        <f t="shared" si="62"/>
        <v>258.20106530218936</v>
      </c>
      <c r="R99" s="832">
        <f t="shared" si="63"/>
        <v>258.20106530218936</v>
      </c>
      <c r="S99" s="835">
        <f t="shared" si="64"/>
        <v>0</v>
      </c>
      <c r="T99" s="832">
        <f t="shared" si="65"/>
        <v>10885.168731060772</v>
      </c>
      <c r="U99" s="832">
        <f t="shared" si="66"/>
        <v>544.8562833759994</v>
      </c>
      <c r="V99" s="839">
        <f t="shared" si="67"/>
        <v>363.23752225066625</v>
      </c>
      <c r="W99" s="1447"/>
      <c r="X99" s="1025">
        <f>'Recycling - Case 1'!AM149</f>
        <v>0</v>
      </c>
      <c r="Y99" s="1026">
        <f>Parameters!S200</f>
        <v>0.71500000000000008</v>
      </c>
      <c r="Z99" s="1027">
        <f t="shared" si="68"/>
        <v>0.4</v>
      </c>
      <c r="AA99" s="1028">
        <f t="shared" si="69"/>
        <v>0</v>
      </c>
      <c r="AB99" s="1028">
        <f t="shared" si="70"/>
        <v>0</v>
      </c>
      <c r="AC99" s="1029">
        <f t="shared" si="71"/>
        <v>0</v>
      </c>
      <c r="AD99" s="1028">
        <f t="shared" si="72"/>
        <v>6366.7394762313779</v>
      </c>
      <c r="AE99" s="1028">
        <f t="shared" si="73"/>
        <v>326.42971328689578</v>
      </c>
      <c r="AF99" s="1030">
        <f t="shared" si="74"/>
        <v>217.61980885793051</v>
      </c>
      <c r="AG99" s="104"/>
      <c r="AH99" s="1025">
        <f>'Recycling - Case 1'!AM189</f>
        <v>0</v>
      </c>
      <c r="AI99" s="1026">
        <f>Parameters!S200</f>
        <v>0.71500000000000008</v>
      </c>
      <c r="AJ99" s="1027">
        <f t="shared" si="75"/>
        <v>0.4</v>
      </c>
      <c r="AK99" s="1028">
        <f t="shared" si="76"/>
        <v>0</v>
      </c>
      <c r="AL99" s="1028">
        <f t="shared" si="77"/>
        <v>0</v>
      </c>
      <c r="AM99" s="1029">
        <f t="shared" si="78"/>
        <v>0</v>
      </c>
      <c r="AN99" s="1028">
        <f t="shared" si="79"/>
        <v>6366.7394762313779</v>
      </c>
      <c r="AO99" s="1028">
        <f t="shared" si="80"/>
        <v>326.42971328689578</v>
      </c>
      <c r="AP99" s="1030">
        <f t="shared" si="81"/>
        <v>217.61980885793051</v>
      </c>
      <c r="AQ99" s="104"/>
      <c r="AR99" s="1064">
        <f>'Recycling - Case 1'!G109</f>
        <v>636.55901330130087</v>
      </c>
      <c r="AS99" s="1065">
        <v>1</v>
      </c>
      <c r="AT99" s="1066">
        <f t="shared" si="82"/>
        <v>0.05</v>
      </c>
      <c r="AU99" s="1044">
        <f t="shared" si="83"/>
        <v>15.913975332532523</v>
      </c>
      <c r="AV99" s="1044">
        <f t="shared" si="84"/>
        <v>15.913975332532523</v>
      </c>
      <c r="AW99" s="1045">
        <f t="shared" si="85"/>
        <v>0</v>
      </c>
      <c r="AX99" s="1044">
        <f t="shared" si="51"/>
        <v>197.91598435541314</v>
      </c>
      <c r="AY99" s="1044">
        <f t="shared" si="54"/>
        <v>11.254375702292318</v>
      </c>
      <c r="AZ99" s="1067">
        <f t="shared" si="52"/>
        <v>7.5029171348615451</v>
      </c>
      <c r="BB99" s="1055">
        <f t="shared" si="86"/>
        <v>363.23752225066625</v>
      </c>
      <c r="BC99" s="1056">
        <f t="shared" si="87"/>
        <v>217.61980885793051</v>
      </c>
      <c r="BD99" s="1082">
        <f t="shared" si="101"/>
        <v>7.5029171348615451</v>
      </c>
      <c r="BE99" s="1056">
        <f t="shared" si="60"/>
        <v>588.36024824345827</v>
      </c>
      <c r="BF99" s="167">
        <v>0</v>
      </c>
      <c r="BG99" s="1075">
        <f t="shared" si="88"/>
        <v>588.36024824345827</v>
      </c>
      <c r="BI99" s="1055">
        <f t="shared" si="89"/>
        <v>363.23752225066625</v>
      </c>
      <c r="BJ99" s="1056">
        <f t="shared" si="90"/>
        <v>217.61980885793051</v>
      </c>
      <c r="BK99" s="1082">
        <f t="shared" si="91"/>
        <v>7.5029171348615451</v>
      </c>
      <c r="BL99" s="1056">
        <f t="shared" si="61"/>
        <v>588.36024824345827</v>
      </c>
      <c r="BM99" s="167">
        <v>0</v>
      </c>
      <c r="BN99" s="1075">
        <f t="shared" si="92"/>
        <v>588.36024824345827</v>
      </c>
    </row>
    <row r="100" spans="1:66">
      <c r="A100" s="927">
        <f>'Input data'!A130</f>
        <v>2030</v>
      </c>
      <c r="B100" s="824">
        <f>'Input data'!B130</f>
        <v>66.040790860694059</v>
      </c>
      <c r="C100" s="824">
        <f>'Recycling - Case 1'!AK110/B100</f>
        <v>326.90070333277998</v>
      </c>
      <c r="D100" s="826">
        <f>'Recycling - Case 1'!AM110</f>
        <v>0.25809774743097641</v>
      </c>
      <c r="E100" s="826">
        <f>'Recycling - Case 1'!BE110</f>
        <v>0.17900753627010382</v>
      </c>
      <c r="F100" s="826">
        <f>'Recycling - Case 1'!BF110</f>
        <v>0.22702998408326239</v>
      </c>
      <c r="G100" s="826">
        <f>'Recycling - Case 1'!BG110</f>
        <v>7.6918013674210015E-2</v>
      </c>
      <c r="H100" s="826">
        <f>'Recycling - Case 1'!BH110</f>
        <v>0</v>
      </c>
      <c r="I100" s="826">
        <f>'Recycling - Case 1'!BI110</f>
        <v>0</v>
      </c>
      <c r="J100" s="826">
        <f>'Recycling - Case 1'!BJ110</f>
        <v>0</v>
      </c>
      <c r="K100" s="826">
        <f>'Recycling - Case 1'!BK110</f>
        <v>0.51704446597242359</v>
      </c>
      <c r="L100" s="827">
        <f t="shared" si="100"/>
        <v>0.99999999999999978</v>
      </c>
      <c r="M100" s="104"/>
      <c r="N100" s="838">
        <f t="shared" si="57"/>
        <v>5572.0157409803969</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0.10302433272685206</v>
      </c>
      <c r="Q100" s="832">
        <f t="shared" si="62"/>
        <v>248.27801058209428</v>
      </c>
      <c r="R100" s="832">
        <f t="shared" si="63"/>
        <v>248.27801058209428</v>
      </c>
      <c r="S100" s="835">
        <f t="shared" si="64"/>
        <v>0</v>
      </c>
      <c r="T100" s="832">
        <f t="shared" si="65"/>
        <v>10602.570798222201</v>
      </c>
      <c r="U100" s="832">
        <f t="shared" si="66"/>
        <v>530.87594342066643</v>
      </c>
      <c r="V100" s="839">
        <f t="shared" si="67"/>
        <v>353.91729561377764</v>
      </c>
      <c r="W100" s="1447"/>
      <c r="X100" s="1025">
        <f>'Recycling - Case 1'!AM150</f>
        <v>0</v>
      </c>
      <c r="Y100" s="1026">
        <f>Parameters!S201</f>
        <v>0.71500000000000008</v>
      </c>
      <c r="Z100" s="1027">
        <f t="shared" si="68"/>
        <v>0.4</v>
      </c>
      <c r="AA100" s="1028">
        <f t="shared" si="69"/>
        <v>0</v>
      </c>
      <c r="AB100" s="1028">
        <f t="shared" si="70"/>
        <v>0</v>
      </c>
      <c r="AC100" s="1029">
        <f t="shared" si="71"/>
        <v>0</v>
      </c>
      <c r="AD100" s="1028">
        <f t="shared" si="72"/>
        <v>6056.2299279215513</v>
      </c>
      <c r="AE100" s="1028">
        <f t="shared" si="73"/>
        <v>310.50954830982693</v>
      </c>
      <c r="AF100" s="1030">
        <f t="shared" si="74"/>
        <v>207.00636553988463</v>
      </c>
      <c r="AG100" s="104"/>
      <c r="AH100" s="1025">
        <f>'Recycling - Case 1'!AM190</f>
        <v>0</v>
      </c>
      <c r="AI100" s="1026">
        <f>Parameters!S201</f>
        <v>0.71500000000000008</v>
      </c>
      <c r="AJ100" s="1027">
        <f t="shared" si="75"/>
        <v>0.4</v>
      </c>
      <c r="AK100" s="1028">
        <f t="shared" si="76"/>
        <v>0</v>
      </c>
      <c r="AL100" s="1028">
        <f t="shared" si="77"/>
        <v>0</v>
      </c>
      <c r="AM100" s="1029">
        <f t="shared" si="78"/>
        <v>0</v>
      </c>
      <c r="AN100" s="1028">
        <f t="shared" si="79"/>
        <v>6056.2299279215513</v>
      </c>
      <c r="AO100" s="1028">
        <f t="shared" si="80"/>
        <v>310.50954830982693</v>
      </c>
      <c r="AP100" s="1030">
        <f t="shared" si="81"/>
        <v>207.00636553988463</v>
      </c>
      <c r="AQ100" s="104"/>
      <c r="AR100" s="1064">
        <f>'Recycling - Case 1'!G110</f>
        <v>647.20409189008979</v>
      </c>
      <c r="AS100" s="1065">
        <v>1</v>
      </c>
      <c r="AT100" s="1066">
        <f t="shared" si="82"/>
        <v>0.05</v>
      </c>
      <c r="AU100" s="1044">
        <f t="shared" si="83"/>
        <v>16.180102297252244</v>
      </c>
      <c r="AV100" s="1044">
        <f t="shared" si="84"/>
        <v>16.180102297252244</v>
      </c>
      <c r="AW100" s="1045">
        <f t="shared" si="85"/>
        <v>0</v>
      </c>
      <c r="AX100" s="1044">
        <f t="shared" si="51"/>
        <v>202.57035699259535</v>
      </c>
      <c r="AY100" s="1044">
        <f t="shared" si="54"/>
        <v>11.525729660070018</v>
      </c>
      <c r="AZ100" s="1067">
        <f t="shared" si="52"/>
        <v>7.6838197733800122</v>
      </c>
      <c r="BB100" s="1055">
        <f t="shared" si="86"/>
        <v>353.91729561377764</v>
      </c>
      <c r="BC100" s="1056">
        <f t="shared" si="87"/>
        <v>207.00636553988463</v>
      </c>
      <c r="BD100" s="1082">
        <f t="shared" si="101"/>
        <v>7.6838197733800122</v>
      </c>
      <c r="BE100" s="1056">
        <f t="shared" si="60"/>
        <v>568.60748092704227</v>
      </c>
      <c r="BF100" s="167">
        <v>0</v>
      </c>
      <c r="BG100" s="1075">
        <f t="shared" si="88"/>
        <v>568.60748092704227</v>
      </c>
      <c r="BI100" s="1055">
        <f t="shared" si="89"/>
        <v>353.91729561377764</v>
      </c>
      <c r="BJ100" s="1056">
        <f t="shared" si="90"/>
        <v>207.00636553988463</v>
      </c>
      <c r="BK100" s="1082">
        <f t="shared" si="91"/>
        <v>7.6838197733800122</v>
      </c>
      <c r="BL100" s="1056">
        <f t="shared" si="61"/>
        <v>568.60748092704227</v>
      </c>
      <c r="BM100" s="167">
        <v>0</v>
      </c>
      <c r="BN100" s="1075">
        <f t="shared" si="92"/>
        <v>568.60748092704227</v>
      </c>
    </row>
    <row r="101" spans="1:66">
      <c r="A101" s="927">
        <f>'Input data'!A131</f>
        <v>2031</v>
      </c>
      <c r="B101" s="824">
        <f>'Input data'!B131</f>
        <v>66.6344094187031</v>
      </c>
      <c r="C101" s="824">
        <f>'Recycling - Case 1'!AK111/B101</f>
        <v>319.643006501711</v>
      </c>
      <c r="D101" s="826">
        <f>'Recycling - Case 1'!AM111</f>
        <v>0.24922049206202476</v>
      </c>
      <c r="E101" s="826">
        <f>'Recycling - Case 1'!BE111</f>
        <v>0.17971416774236743</v>
      </c>
      <c r="F101" s="826">
        <f>'Recycling - Case 1'!BF111</f>
        <v>0.22792618395977857</v>
      </c>
      <c r="G101" s="826">
        <f>'Recycling - Case 1'!BG111</f>
        <v>7.6710447358445011E-2</v>
      </c>
      <c r="H101" s="826">
        <f>'Recycling - Case 1'!BH111</f>
        <v>0</v>
      </c>
      <c r="I101" s="826">
        <f>'Recycling - Case 1'!BI111</f>
        <v>0</v>
      </c>
      <c r="J101" s="826">
        <f>'Recycling - Case 1'!BJ111</f>
        <v>0</v>
      </c>
      <c r="K101" s="826">
        <f>'Recycling - Case 1'!BK111</f>
        <v>0.5156492009394088</v>
      </c>
      <c r="L101" s="827">
        <f t="shared" si="100"/>
        <v>0.99999999999999978</v>
      </c>
      <c r="M101" s="104"/>
      <c r="N101" s="838">
        <f t="shared" si="57"/>
        <v>5308.2028273926371</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0.10322654089668884</v>
      </c>
      <c r="Q101" s="832">
        <f t="shared" si="62"/>
        <v>238.83658005786651</v>
      </c>
      <c r="R101" s="832">
        <f t="shared" si="63"/>
        <v>238.83658005786651</v>
      </c>
      <c r="S101" s="835">
        <f t="shared" si="64"/>
        <v>0</v>
      </c>
      <c r="T101" s="832">
        <f t="shared" si="65"/>
        <v>10324.313898678847</v>
      </c>
      <c r="U101" s="832">
        <f t="shared" si="66"/>
        <v>517.09347960122068</v>
      </c>
      <c r="V101" s="839">
        <f t="shared" si="67"/>
        <v>344.72898640081377</v>
      </c>
      <c r="W101" s="1447"/>
      <c r="X101" s="1025">
        <f>'Recycling - Case 1'!AM151</f>
        <v>0</v>
      </c>
      <c r="Y101" s="1026">
        <f>Parameters!S202</f>
        <v>0.71500000000000008</v>
      </c>
      <c r="Z101" s="1027">
        <f t="shared" si="68"/>
        <v>0.4</v>
      </c>
      <c r="AA101" s="1028">
        <f t="shared" si="69"/>
        <v>0</v>
      </c>
      <c r="AB101" s="1028">
        <f t="shared" si="70"/>
        <v>0</v>
      </c>
      <c r="AC101" s="1029">
        <f t="shared" si="71"/>
        <v>0</v>
      </c>
      <c r="AD101" s="1028">
        <f t="shared" si="72"/>
        <v>5760.8641089808179</v>
      </c>
      <c r="AE101" s="1028">
        <f t="shared" si="73"/>
        <v>295.36581894073333</v>
      </c>
      <c r="AF101" s="1030">
        <f t="shared" si="74"/>
        <v>196.91054596048889</v>
      </c>
      <c r="AG101" s="104"/>
      <c r="AH101" s="1025">
        <f>'Recycling - Case 1'!AM191</f>
        <v>0</v>
      </c>
      <c r="AI101" s="1026">
        <f>Parameters!S202</f>
        <v>0.71500000000000008</v>
      </c>
      <c r="AJ101" s="1027">
        <f t="shared" si="75"/>
        <v>0.4</v>
      </c>
      <c r="AK101" s="1028">
        <f t="shared" si="76"/>
        <v>0</v>
      </c>
      <c r="AL101" s="1028">
        <f t="shared" si="77"/>
        <v>0</v>
      </c>
      <c r="AM101" s="1029">
        <f t="shared" si="78"/>
        <v>0</v>
      </c>
      <c r="AN101" s="1028">
        <f t="shared" si="79"/>
        <v>5760.8641089808179</v>
      </c>
      <c r="AO101" s="1028">
        <f t="shared" si="80"/>
        <v>295.36581894073333</v>
      </c>
      <c r="AP101" s="1030">
        <f t="shared" si="81"/>
        <v>196.91054596048889</v>
      </c>
      <c r="AQ101" s="104"/>
      <c r="AR101" s="1064">
        <f>'Recycling - Case 1'!G111</f>
        <v>657.82056372102647</v>
      </c>
      <c r="AS101" s="1065">
        <v>1</v>
      </c>
      <c r="AT101" s="1066">
        <f t="shared" si="82"/>
        <v>0.05</v>
      </c>
      <c r="AU101" s="1044">
        <f t="shared" si="83"/>
        <v>16.445514093025661</v>
      </c>
      <c r="AV101" s="1044">
        <f t="shared" si="84"/>
        <v>16.445514093025661</v>
      </c>
      <c r="AW101" s="1045">
        <f t="shared" si="85"/>
        <v>0</v>
      </c>
      <c r="AX101" s="1044">
        <f t="shared" si="51"/>
        <v>207.21909186415198</v>
      </c>
      <c r="AY101" s="1044">
        <f t="shared" si="54"/>
        <v>11.796779221469034</v>
      </c>
      <c r="AZ101" s="1067">
        <f t="shared" si="52"/>
        <v>7.8645194809793564</v>
      </c>
      <c r="BB101" s="1055">
        <f t="shared" si="86"/>
        <v>344.72898640081377</v>
      </c>
      <c r="BC101" s="1056">
        <f t="shared" si="87"/>
        <v>196.91054596048889</v>
      </c>
      <c r="BD101" s="1082">
        <f t="shared" si="101"/>
        <v>7.8645194809793564</v>
      </c>
      <c r="BE101" s="1056">
        <f t="shared" si="60"/>
        <v>549.50405184228191</v>
      </c>
      <c r="BF101" s="167">
        <v>0</v>
      </c>
      <c r="BG101" s="1075">
        <f t="shared" si="88"/>
        <v>549.50405184228191</v>
      </c>
      <c r="BI101" s="1055">
        <f t="shared" si="89"/>
        <v>344.72898640081377</v>
      </c>
      <c r="BJ101" s="1056">
        <f t="shared" si="90"/>
        <v>196.91054596048889</v>
      </c>
      <c r="BK101" s="1082">
        <f t="shared" si="91"/>
        <v>7.8645194809793564</v>
      </c>
      <c r="BL101" s="1056">
        <f t="shared" si="61"/>
        <v>549.50405184228191</v>
      </c>
      <c r="BM101" s="167">
        <v>0</v>
      </c>
      <c r="BN101" s="1075">
        <f t="shared" si="92"/>
        <v>549.50405184228191</v>
      </c>
    </row>
    <row r="102" spans="1:66">
      <c r="A102" s="927">
        <f>'Input data'!A132</f>
        <v>2032</v>
      </c>
      <c r="B102" s="824">
        <f>'Input data'!B132</f>
        <v>67.215877817791679</v>
      </c>
      <c r="C102" s="824">
        <f>'Recycling - Case 1'!AK112/B102</f>
        <v>312.55911193683448</v>
      </c>
      <c r="D102" s="826">
        <f>'Recycling - Case 1'!AM112</f>
        <v>0.24010688285190845</v>
      </c>
      <c r="E102" s="826">
        <f>'Recycling - Case 1'!BE112</f>
        <v>0.18039064317269757</v>
      </c>
      <c r="F102" s="826">
        <f>'Recycling - Case 1'!BF112</f>
        <v>0.22878413781680973</v>
      </c>
      <c r="G102" s="826">
        <f>'Recycling - Case 1'!BG112</f>
        <v>7.651173909495744E-2</v>
      </c>
      <c r="H102" s="826">
        <f>'Recycling - Case 1'!BH112</f>
        <v>0</v>
      </c>
      <c r="I102" s="826">
        <f>'Recycling - Case 1'!BI112</f>
        <v>0</v>
      </c>
      <c r="J102" s="826">
        <f>'Recycling - Case 1'!BJ112</f>
        <v>0</v>
      </c>
      <c r="K102" s="826">
        <f>'Recycling - Case 1'!BK112</f>
        <v>0.51431347991553533</v>
      </c>
      <c r="L102" s="827">
        <f t="shared" si="100"/>
        <v>1</v>
      </c>
      <c r="M102" s="104"/>
      <c r="N102" s="838">
        <f t="shared" si="57"/>
        <v>5044.3899138048773</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0.10342011967724955</v>
      </c>
      <c r="Q102" s="832">
        <f t="shared" si="62"/>
        <v>229.1529512207025</v>
      </c>
      <c r="R102" s="832">
        <f t="shared" si="63"/>
        <v>229.1529512207025</v>
      </c>
      <c r="S102" s="835">
        <f t="shared" si="64"/>
        <v>0</v>
      </c>
      <c r="T102" s="832">
        <f t="shared" si="65"/>
        <v>10049.944119425705</v>
      </c>
      <c r="U102" s="832">
        <f t="shared" si="66"/>
        <v>503.52273047384432</v>
      </c>
      <c r="V102" s="839">
        <f t="shared" si="67"/>
        <v>335.68182031589623</v>
      </c>
      <c r="W102" s="1447"/>
      <c r="X102" s="1025">
        <f>'Recycling - Case 1'!AM152</f>
        <v>0</v>
      </c>
      <c r="Y102" s="1026">
        <f>Parameters!S203</f>
        <v>0.71500000000000008</v>
      </c>
      <c r="Z102" s="1027">
        <f t="shared" si="68"/>
        <v>0.4</v>
      </c>
      <c r="AA102" s="1028">
        <f t="shared" si="69"/>
        <v>0</v>
      </c>
      <c r="AB102" s="1028">
        <f t="shared" si="70"/>
        <v>0</v>
      </c>
      <c r="AC102" s="1029">
        <f t="shared" si="71"/>
        <v>0</v>
      </c>
      <c r="AD102" s="1028">
        <f t="shared" si="72"/>
        <v>5479.9034510126421</v>
      </c>
      <c r="AE102" s="1028">
        <f t="shared" si="73"/>
        <v>280.96065796817584</v>
      </c>
      <c r="AF102" s="1030">
        <f t="shared" si="74"/>
        <v>187.30710531211722</v>
      </c>
      <c r="AG102" s="104"/>
      <c r="AH102" s="1025">
        <f>'Recycling - Case 1'!AM192</f>
        <v>0</v>
      </c>
      <c r="AI102" s="1026">
        <f>Parameters!S203</f>
        <v>0.71500000000000008</v>
      </c>
      <c r="AJ102" s="1027">
        <f t="shared" si="75"/>
        <v>0.4</v>
      </c>
      <c r="AK102" s="1028">
        <f t="shared" si="76"/>
        <v>0</v>
      </c>
      <c r="AL102" s="1028">
        <f t="shared" si="77"/>
        <v>0</v>
      </c>
      <c r="AM102" s="1029">
        <f t="shared" si="78"/>
        <v>0</v>
      </c>
      <c r="AN102" s="1028">
        <f t="shared" si="79"/>
        <v>5479.9034510126421</v>
      </c>
      <c r="AO102" s="1028">
        <f t="shared" si="80"/>
        <v>280.96065796817584</v>
      </c>
      <c r="AP102" s="1030">
        <f t="shared" si="81"/>
        <v>187.30710531211722</v>
      </c>
      <c r="AQ102" s="104"/>
      <c r="AR102" s="1064">
        <f>'Recycling - Case 1'!G112</f>
        <v>668.4017172193852</v>
      </c>
      <c r="AS102" s="1065">
        <v>1</v>
      </c>
      <c r="AT102" s="1066">
        <f t="shared" si="82"/>
        <v>0.05</v>
      </c>
      <c r="AU102" s="1044">
        <f t="shared" si="83"/>
        <v>16.710042930484629</v>
      </c>
      <c r="AV102" s="1044">
        <f t="shared" si="84"/>
        <v>16.710042930484629</v>
      </c>
      <c r="AW102" s="1045">
        <f t="shared" si="85"/>
        <v>0</v>
      </c>
      <c r="AX102" s="1044">
        <f t="shared" si="51"/>
        <v>211.8616343296793</v>
      </c>
      <c r="AY102" s="1044">
        <f t="shared" si="54"/>
        <v>12.067500464957302</v>
      </c>
      <c r="AZ102" s="1067">
        <f t="shared" si="52"/>
        <v>8.0450003099715346</v>
      </c>
      <c r="BB102" s="1055">
        <f t="shared" si="86"/>
        <v>335.68182031589623</v>
      </c>
      <c r="BC102" s="1056">
        <f t="shared" si="87"/>
        <v>187.30710531211722</v>
      </c>
      <c r="BD102" s="1082">
        <f t="shared" si="101"/>
        <v>8.0450003099715346</v>
      </c>
      <c r="BE102" s="1056">
        <f t="shared" si="60"/>
        <v>531.03392593798503</v>
      </c>
      <c r="BF102" s="167">
        <v>0</v>
      </c>
      <c r="BG102" s="1075">
        <f t="shared" si="88"/>
        <v>531.03392593798503</v>
      </c>
      <c r="BI102" s="1055">
        <f t="shared" si="89"/>
        <v>335.68182031589623</v>
      </c>
      <c r="BJ102" s="1056">
        <f t="shared" si="90"/>
        <v>187.30710531211722</v>
      </c>
      <c r="BK102" s="1082">
        <f t="shared" si="91"/>
        <v>8.0450003099715346</v>
      </c>
      <c r="BL102" s="1056">
        <f t="shared" si="61"/>
        <v>531.03392593798503</v>
      </c>
      <c r="BM102" s="167">
        <v>0</v>
      </c>
      <c r="BN102" s="1075">
        <f t="shared" si="92"/>
        <v>531.03392593798503</v>
      </c>
    </row>
    <row r="103" spans="1:66">
      <c r="A103" s="927">
        <f>'Input data'!A133</f>
        <v>2033</v>
      </c>
      <c r="B103" s="824">
        <f>'Input data'!B133</f>
        <v>67.784781669940756</v>
      </c>
      <c r="C103" s="824">
        <f>'Recycling - Case 1'!AK113/B103</f>
        <v>305.64134448859204</v>
      </c>
      <c r="D103" s="826">
        <f>'Recycling - Case 1'!AM113</f>
        <v>0.23074697415758397</v>
      </c>
      <c r="E103" s="826">
        <f>'Recycling - Case 1'!BE113</f>
        <v>0.18103797065572175</v>
      </c>
      <c r="F103" s="826">
        <f>'Recycling - Case 1'!BF113</f>
        <v>0.22960512419106976</v>
      </c>
      <c r="G103" s="826">
        <f>'Recycling - Case 1'!BG113</f>
        <v>7.632159276547916E-2</v>
      </c>
      <c r="H103" s="826">
        <f>'Recycling - Case 1'!BH113</f>
        <v>0</v>
      </c>
      <c r="I103" s="826">
        <f>'Recycling - Case 1'!BI113</f>
        <v>0</v>
      </c>
      <c r="J103" s="826">
        <f>'Recycling - Case 1'!BJ113</f>
        <v>0</v>
      </c>
      <c r="K103" s="826">
        <f>'Recycling - Case 1'!BK113</f>
        <v>0.51303531238772937</v>
      </c>
      <c r="L103" s="827">
        <f t="shared" si="100"/>
        <v>1</v>
      </c>
      <c r="M103" s="104"/>
      <c r="N103" s="838">
        <f t="shared" si="57"/>
        <v>4780.5770002171175</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0.10360535754276388</v>
      </c>
      <c r="Q103" s="832">
        <f t="shared" si="62"/>
        <v>219.22923646910309</v>
      </c>
      <c r="R103" s="832">
        <f t="shared" si="63"/>
        <v>219.22923646910309</v>
      </c>
      <c r="S103" s="835">
        <f t="shared" si="64"/>
        <v>0</v>
      </c>
      <c r="T103" s="832">
        <f t="shared" si="65"/>
        <v>9779.0317974547524</v>
      </c>
      <c r="U103" s="832">
        <f t="shared" si="66"/>
        <v>490.14155844005654</v>
      </c>
      <c r="V103" s="839">
        <f t="shared" si="67"/>
        <v>326.76103896003769</v>
      </c>
      <c r="W103" s="1447"/>
      <c r="X103" s="1025">
        <f>'Recycling - Case 1'!AM153</f>
        <v>0</v>
      </c>
      <c r="Y103" s="1026">
        <f>Parameters!S204</f>
        <v>0.71500000000000008</v>
      </c>
      <c r="Z103" s="1027">
        <f t="shared" si="68"/>
        <v>0.4</v>
      </c>
      <c r="AA103" s="1028">
        <f t="shared" si="69"/>
        <v>0</v>
      </c>
      <c r="AB103" s="1028">
        <f t="shared" si="70"/>
        <v>0</v>
      </c>
      <c r="AC103" s="1029">
        <f t="shared" si="71"/>
        <v>0</v>
      </c>
      <c r="AD103" s="1028">
        <f t="shared" si="72"/>
        <v>5212.6454060262322</v>
      </c>
      <c r="AE103" s="1028">
        <f t="shared" si="73"/>
        <v>267.25804498640986</v>
      </c>
      <c r="AF103" s="1030">
        <f t="shared" si="74"/>
        <v>178.1720299909399</v>
      </c>
      <c r="AG103" s="104"/>
      <c r="AH103" s="1025">
        <f>'Recycling - Case 1'!AM193</f>
        <v>0</v>
      </c>
      <c r="AI103" s="1026">
        <f>Parameters!S204</f>
        <v>0.71500000000000008</v>
      </c>
      <c r="AJ103" s="1027">
        <f t="shared" si="75"/>
        <v>0.4</v>
      </c>
      <c r="AK103" s="1028">
        <f t="shared" si="76"/>
        <v>0</v>
      </c>
      <c r="AL103" s="1028">
        <f t="shared" si="77"/>
        <v>0</v>
      </c>
      <c r="AM103" s="1029">
        <f t="shared" si="78"/>
        <v>0</v>
      </c>
      <c r="AN103" s="1028">
        <f t="shared" si="79"/>
        <v>5212.6454060262322</v>
      </c>
      <c r="AO103" s="1028">
        <f t="shared" si="80"/>
        <v>267.25804498640986</v>
      </c>
      <c r="AP103" s="1030">
        <f t="shared" si="81"/>
        <v>178.1720299909399</v>
      </c>
      <c r="AQ103" s="104"/>
      <c r="AR103" s="1064">
        <f>'Recycling - Case 1'!G113</f>
        <v>678.94077668151692</v>
      </c>
      <c r="AS103" s="1065">
        <v>1</v>
      </c>
      <c r="AT103" s="1066">
        <f t="shared" si="82"/>
        <v>0.05</v>
      </c>
      <c r="AU103" s="1044">
        <f t="shared" si="83"/>
        <v>16.973519417037924</v>
      </c>
      <c r="AV103" s="1044">
        <f t="shared" si="84"/>
        <v>16.973519417037924</v>
      </c>
      <c r="AW103" s="1045">
        <f t="shared" si="85"/>
        <v>0</v>
      </c>
      <c r="AX103" s="1044">
        <f t="shared" si="51"/>
        <v>216.49729265592501</v>
      </c>
      <c r="AY103" s="1044">
        <f t="shared" si="54"/>
        <v>12.337861090792218</v>
      </c>
      <c r="AZ103" s="1067">
        <f t="shared" si="52"/>
        <v>8.2252407271948123</v>
      </c>
      <c r="BB103" s="1055">
        <f t="shared" si="86"/>
        <v>326.76103896003769</v>
      </c>
      <c r="BC103" s="1056">
        <f t="shared" si="87"/>
        <v>178.1720299909399</v>
      </c>
      <c r="BD103" s="1082">
        <f t="shared" si="101"/>
        <v>8.2252407271948123</v>
      </c>
      <c r="BE103" s="1056">
        <f t="shared" si="60"/>
        <v>513.15830967817237</v>
      </c>
      <c r="BF103" s="167">
        <v>0</v>
      </c>
      <c r="BG103" s="1075">
        <f t="shared" si="88"/>
        <v>513.15830967817237</v>
      </c>
      <c r="BI103" s="1055">
        <f t="shared" si="89"/>
        <v>326.76103896003769</v>
      </c>
      <c r="BJ103" s="1056">
        <f t="shared" si="90"/>
        <v>178.1720299909399</v>
      </c>
      <c r="BK103" s="1082">
        <f t="shared" si="91"/>
        <v>8.2252407271948123</v>
      </c>
      <c r="BL103" s="1056">
        <f t="shared" si="61"/>
        <v>513.15830967817237</v>
      </c>
      <c r="BM103" s="167">
        <v>0</v>
      </c>
      <c r="BN103" s="1075">
        <f t="shared" si="92"/>
        <v>513.15830967817237</v>
      </c>
    </row>
    <row r="104" spans="1:66">
      <c r="A104" s="927">
        <f>'Input data'!A134</f>
        <v>2034</v>
      </c>
      <c r="B104" s="824">
        <f>'Input data'!B134</f>
        <v>68.342055626742408</v>
      </c>
      <c r="C104" s="824">
        <f>'Recycling - Case 1'!AK114/B104</f>
        <v>298.87859455942061</v>
      </c>
      <c r="D104" s="826">
        <f>'Recycling - Case 1'!AM114</f>
        <v>0.22112841742261219</v>
      </c>
      <c r="E104" s="826">
        <f>'Recycling - Case 1'!BE114</f>
        <v>0.18165858031573931</v>
      </c>
      <c r="F104" s="826">
        <f>'Recycling - Case 1'!BF114</f>
        <v>0.23039222513760824</v>
      </c>
      <c r="G104" s="826">
        <f>'Recycling - Case 1'!BG114</f>
        <v>7.6139294543967215E-2</v>
      </c>
      <c r="H104" s="826">
        <f>'Recycling - Case 1'!BH114</f>
        <v>0</v>
      </c>
      <c r="I104" s="826">
        <f>'Recycling - Case 1'!BI114</f>
        <v>0</v>
      </c>
      <c r="J104" s="826">
        <f>'Recycling - Case 1'!BJ114</f>
        <v>0</v>
      </c>
      <c r="K104" s="826">
        <f>'Recycling - Case 1'!BK114</f>
        <v>0.51180990000268523</v>
      </c>
      <c r="L104" s="827">
        <f t="shared" si="100"/>
        <v>1</v>
      </c>
      <c r="M104" s="104"/>
      <c r="N104" s="838">
        <f t="shared" si="57"/>
        <v>4516.7640866293577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0.10378294989246942</v>
      </c>
      <c r="Q104" s="832">
        <f t="shared" si="62"/>
        <v>209.06834299192695</v>
      </c>
      <c r="R104" s="832">
        <f t="shared" si="63"/>
        <v>209.06834299192695</v>
      </c>
      <c r="S104" s="835">
        <f t="shared" si="64"/>
        <v>0</v>
      </c>
      <c r="T104" s="832">
        <f t="shared" si="65"/>
        <v>9511.1711318589932</v>
      </c>
      <c r="U104" s="832">
        <f t="shared" si="66"/>
        <v>476.9290085876853</v>
      </c>
      <c r="V104" s="839">
        <f t="shared" si="67"/>
        <v>317.9526723917902</v>
      </c>
      <c r="W104" s="1447"/>
      <c r="X104" s="1025">
        <f>'Recycling - Case 1'!AM154</f>
        <v>0</v>
      </c>
      <c r="Y104" s="1026">
        <f>Parameters!S205</f>
        <v>0.71500000000000008</v>
      </c>
      <c r="Z104" s="1027">
        <f t="shared" si="68"/>
        <v>0.4</v>
      </c>
      <c r="AA104" s="1028">
        <f t="shared" si="69"/>
        <v>0</v>
      </c>
      <c r="AB104" s="1028">
        <f t="shared" si="70"/>
        <v>0</v>
      </c>
      <c r="AC104" s="1029">
        <f t="shared" si="71"/>
        <v>0</v>
      </c>
      <c r="AD104" s="1028">
        <f t="shared" si="72"/>
        <v>4958.4216897006236</v>
      </c>
      <c r="AE104" s="1028">
        <f t="shared" si="73"/>
        <v>254.22371632560859</v>
      </c>
      <c r="AF104" s="1030">
        <f t="shared" si="74"/>
        <v>169.48247755040572</v>
      </c>
      <c r="AG104" s="104"/>
      <c r="AH104" s="1025">
        <f>'Recycling - Case 1'!AM194</f>
        <v>0</v>
      </c>
      <c r="AI104" s="1026">
        <f>Parameters!S205</f>
        <v>0.71500000000000008</v>
      </c>
      <c r="AJ104" s="1027">
        <f t="shared" si="75"/>
        <v>0.4</v>
      </c>
      <c r="AK104" s="1028">
        <f t="shared" si="76"/>
        <v>0</v>
      </c>
      <c r="AL104" s="1028">
        <f t="shared" si="77"/>
        <v>0</v>
      </c>
      <c r="AM104" s="1029">
        <f t="shared" si="78"/>
        <v>0</v>
      </c>
      <c r="AN104" s="1028">
        <f t="shared" si="79"/>
        <v>4958.4216897006236</v>
      </c>
      <c r="AO104" s="1028">
        <f t="shared" si="80"/>
        <v>254.22371632560859</v>
      </c>
      <c r="AP104" s="1030">
        <f t="shared" si="81"/>
        <v>169.48247755040572</v>
      </c>
      <c r="AQ104" s="104"/>
      <c r="AR104" s="1064">
        <f>'Recycling - Case 1'!G114</f>
        <v>689.44445633287512</v>
      </c>
      <c r="AS104" s="1065">
        <v>1</v>
      </c>
      <c r="AT104" s="1066">
        <f t="shared" si="82"/>
        <v>0.05</v>
      </c>
      <c r="AU104" s="1044">
        <f t="shared" si="83"/>
        <v>17.236111408321879</v>
      </c>
      <c r="AV104" s="1044">
        <f t="shared" si="84"/>
        <v>17.236111408321879</v>
      </c>
      <c r="AW104" s="1045">
        <f t="shared" si="85"/>
        <v>0</v>
      </c>
      <c r="AX104" s="1044">
        <f t="shared" si="51"/>
        <v>221.12558324868169</v>
      </c>
      <c r="AY104" s="1044">
        <f t="shared" si="54"/>
        <v>12.607820815565198</v>
      </c>
      <c r="AZ104" s="1067">
        <f t="shared" si="52"/>
        <v>8.4052138770434652</v>
      </c>
      <c r="BB104" s="1055">
        <f t="shared" si="86"/>
        <v>317.9526723917902</v>
      </c>
      <c r="BC104" s="1056">
        <f t="shared" si="87"/>
        <v>169.48247755040572</v>
      </c>
      <c r="BD104" s="1082">
        <f t="shared" si="101"/>
        <v>8.4052138770434652</v>
      </c>
      <c r="BE104" s="1056">
        <f t="shared" si="60"/>
        <v>495.84036381923943</v>
      </c>
      <c r="BF104" s="167">
        <v>0</v>
      </c>
      <c r="BG104" s="1075">
        <f t="shared" si="88"/>
        <v>495.84036381923943</v>
      </c>
      <c r="BI104" s="1055">
        <f t="shared" si="89"/>
        <v>317.9526723917902</v>
      </c>
      <c r="BJ104" s="1056">
        <f t="shared" si="90"/>
        <v>169.48247755040572</v>
      </c>
      <c r="BK104" s="1082">
        <f t="shared" si="91"/>
        <v>8.4052138770434652</v>
      </c>
      <c r="BL104" s="1056">
        <f t="shared" si="61"/>
        <v>495.84036381923943</v>
      </c>
      <c r="BM104" s="167">
        <v>0</v>
      </c>
      <c r="BN104" s="1075">
        <f t="shared" si="92"/>
        <v>495.84036381923943</v>
      </c>
    </row>
    <row r="105" spans="1:66">
      <c r="A105" s="927">
        <f>'Input data'!A135</f>
        <v>2035</v>
      </c>
      <c r="B105" s="824">
        <f>'Input data'!B135</f>
        <v>68.88733085860035</v>
      </c>
      <c r="C105" s="824">
        <f>'Recycling - Case 1'!AK115/B105</f>
        <v>292.26414999728377</v>
      </c>
      <c r="D105" s="826">
        <f>'Recycling - Case 1'!AM115</f>
        <v>0.21123967579731909</v>
      </c>
      <c r="E105" s="826">
        <f>'Recycling - Case 1'!BE115</f>
        <v>0.18225331355729019</v>
      </c>
      <c r="F105" s="826">
        <f>'Recycling - Case 1'!BF115</f>
        <v>0.23114650778501233</v>
      </c>
      <c r="G105" s="826">
        <f>'Recycling - Case 1'!BG115</f>
        <v>7.5964597275791135E-2</v>
      </c>
      <c r="H105" s="826">
        <f>'Recycling - Case 1'!BH115</f>
        <v>0</v>
      </c>
      <c r="I105" s="826">
        <f>'Recycling - Case 1'!BI115</f>
        <v>0</v>
      </c>
      <c r="J105" s="826">
        <f>'Recycling - Case 1'!BJ115</f>
        <v>0</v>
      </c>
      <c r="K105" s="826">
        <f>'Recycling - Case 1'!BK115</f>
        <v>0.51063558138190634</v>
      </c>
      <c r="L105" s="827">
        <f t="shared" si="100"/>
        <v>1</v>
      </c>
      <c r="M105" s="104"/>
      <c r="N105" s="838">
        <f t="shared" si="57"/>
        <v>4252.9511730415988</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0.10395313750091245</v>
      </c>
      <c r="Q105" s="832">
        <f t="shared" si="62"/>
        <v>198.67211087283968</v>
      </c>
      <c r="R105" s="832">
        <f t="shared" si="63"/>
        <v>198.67211087283968</v>
      </c>
      <c r="S105" s="835">
        <f t="shared" si="64"/>
        <v>0</v>
      </c>
      <c r="T105" s="832">
        <f t="shared" si="65"/>
        <v>9245.9779529588741</v>
      </c>
      <c r="U105" s="832">
        <f t="shared" si="66"/>
        <v>463.86528977295836</v>
      </c>
      <c r="V105" s="839">
        <f t="shared" si="67"/>
        <v>309.24352651530558</v>
      </c>
      <c r="W105" s="1447"/>
      <c r="X105" s="1025">
        <f>'Recycling - Case 1'!AM155</f>
        <v>98.743583035162899</v>
      </c>
      <c r="Y105" s="1026">
        <f>Parameters!S206</f>
        <v>0.71500000000000008</v>
      </c>
      <c r="Z105" s="1027">
        <f t="shared" si="68"/>
        <v>0.4</v>
      </c>
      <c r="AA105" s="1028">
        <f t="shared" si="69"/>
        <v>14.120332374028298</v>
      </c>
      <c r="AB105" s="1028">
        <f t="shared" si="70"/>
        <v>14.120332374028298</v>
      </c>
      <c r="AC105" s="1029">
        <f t="shared" si="71"/>
        <v>0</v>
      </c>
      <c r="AD105" s="1028">
        <f t="shared" si="72"/>
        <v>4730.7169426998107</v>
      </c>
      <c r="AE105" s="1028">
        <f t="shared" si="73"/>
        <v>241.82507937484144</v>
      </c>
      <c r="AF105" s="1030">
        <f t="shared" si="74"/>
        <v>161.21671958322761</v>
      </c>
      <c r="AG105" s="104"/>
      <c r="AH105" s="1025">
        <f>'Recycling - Case 1'!AM195</f>
        <v>98.743583035162899</v>
      </c>
      <c r="AI105" s="1026">
        <f>Parameters!S206</f>
        <v>0.71500000000000008</v>
      </c>
      <c r="AJ105" s="1027">
        <f t="shared" si="75"/>
        <v>0.4</v>
      </c>
      <c r="AK105" s="1028">
        <f t="shared" si="76"/>
        <v>14.120332374028298</v>
      </c>
      <c r="AL105" s="1028">
        <f t="shared" si="77"/>
        <v>14.120332374028298</v>
      </c>
      <c r="AM105" s="1029">
        <f t="shared" si="78"/>
        <v>0</v>
      </c>
      <c r="AN105" s="1028">
        <f t="shared" si="79"/>
        <v>4730.7169426998107</v>
      </c>
      <c r="AO105" s="1028">
        <f t="shared" si="80"/>
        <v>241.82507937484144</v>
      </c>
      <c r="AP105" s="1030">
        <f t="shared" si="81"/>
        <v>161.21671958322761</v>
      </c>
      <c r="AQ105" s="104"/>
      <c r="AR105" s="1064">
        <f>'Recycling - Case 1'!G115</f>
        <v>699.90649607006878</v>
      </c>
      <c r="AS105" s="1065">
        <v>1</v>
      </c>
      <c r="AT105" s="1066">
        <f t="shared" si="82"/>
        <v>0.05</v>
      </c>
      <c r="AU105" s="1044">
        <f t="shared" si="83"/>
        <v>17.497662401751722</v>
      </c>
      <c r="AV105" s="1044">
        <f t="shared" si="84"/>
        <v>17.497662401751722</v>
      </c>
      <c r="AW105" s="1045">
        <f t="shared" si="85"/>
        <v>0</v>
      </c>
      <c r="AX105" s="1044">
        <f t="shared" si="51"/>
        <v>225.74589417349139</v>
      </c>
      <c r="AY105" s="1044">
        <f t="shared" si="54"/>
        <v>12.877351476942017</v>
      </c>
      <c r="AZ105" s="1067">
        <f t="shared" si="52"/>
        <v>8.5849009846280122</v>
      </c>
      <c r="BB105" s="1055">
        <f t="shared" si="86"/>
        <v>309.24352651530558</v>
      </c>
      <c r="BC105" s="1056">
        <f t="shared" si="87"/>
        <v>161.21671958322761</v>
      </c>
      <c r="BD105" s="1082">
        <f t="shared" si="101"/>
        <v>8.5849009846280122</v>
      </c>
      <c r="BE105" s="1056">
        <f t="shared" si="60"/>
        <v>479.04514708316117</v>
      </c>
      <c r="BF105" s="167">
        <v>0</v>
      </c>
      <c r="BG105" s="1075">
        <f t="shared" si="88"/>
        <v>479.04514708316117</v>
      </c>
      <c r="BI105" s="1055">
        <f t="shared" si="89"/>
        <v>309.24352651530558</v>
      </c>
      <c r="BJ105" s="1056">
        <f t="shared" si="90"/>
        <v>161.21671958322761</v>
      </c>
      <c r="BK105" s="1082">
        <f t="shared" si="91"/>
        <v>8.5849009846280122</v>
      </c>
      <c r="BL105" s="1056">
        <f t="shared" si="61"/>
        <v>479.04514708316117</v>
      </c>
      <c r="BM105" s="167">
        <v>0</v>
      </c>
      <c r="BN105" s="1075">
        <f t="shared" si="92"/>
        <v>479.04514708316117</v>
      </c>
    </row>
    <row r="106" spans="1:66">
      <c r="A106" s="927">
        <f>'Input data'!A136</f>
        <v>2036</v>
      </c>
      <c r="B106" s="824">
        <f>'Input data'!B136</f>
        <v>69.420244147098416</v>
      </c>
      <c r="C106" s="824">
        <f>'Recycling - Case 1'!AK116/B106</f>
        <v>285.79152984581418</v>
      </c>
      <c r="D106" s="826">
        <f>'Recycling - Case 1'!AM116</f>
        <v>0.20106829665009138</v>
      </c>
      <c r="E106" s="826">
        <f>'Recycling - Case 1'!BE116</f>
        <v>0.18282296551358301</v>
      </c>
      <c r="F106" s="826">
        <f>'Recycling - Case 1'!BF116</f>
        <v>0.2318689805773031</v>
      </c>
      <c r="G106" s="826">
        <f>'Recycling - Case 1'!BG116</f>
        <v>7.5797267398086621E-2</v>
      </c>
      <c r="H106" s="826">
        <f>'Recycling - Case 1'!BH116</f>
        <v>0</v>
      </c>
      <c r="I106" s="826">
        <f>'Recycling - Case 1'!BI116</f>
        <v>0</v>
      </c>
      <c r="J106" s="826">
        <f>'Recycling - Case 1'!BJ116</f>
        <v>0</v>
      </c>
      <c r="K106" s="826">
        <f>'Recycling - Case 1'!BK116</f>
        <v>0.50951078651102721</v>
      </c>
      <c r="L106" s="827">
        <f t="shared" si="100"/>
        <v>1</v>
      </c>
      <c r="M106" s="104"/>
      <c r="N106" s="838">
        <f t="shared" si="57"/>
        <v>3989.1382594538386</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0.10411614790173271</v>
      </c>
      <c r="Q106" s="832">
        <f t="shared" si="62"/>
        <v>188.0423367596002</v>
      </c>
      <c r="R106" s="832">
        <f t="shared" si="63"/>
        <v>188.0423367596002</v>
      </c>
      <c r="S106" s="835">
        <f t="shared" si="64"/>
        <v>0</v>
      </c>
      <c r="T106" s="832">
        <f t="shared" si="65"/>
        <v>8983.0886238989588</v>
      </c>
      <c r="U106" s="832">
        <f t="shared" si="66"/>
        <v>450.93166581951442</v>
      </c>
      <c r="V106" s="839">
        <f t="shared" si="67"/>
        <v>300.62111054634295</v>
      </c>
      <c r="W106" s="1447"/>
      <c r="X106" s="1025">
        <f>'Recycling - Case 1'!AM156</f>
        <v>379.97160494619413</v>
      </c>
      <c r="Y106" s="1026">
        <f>Parameters!S207</f>
        <v>0.71500000000000008</v>
      </c>
      <c r="Z106" s="1027">
        <f t="shared" si="68"/>
        <v>0.4</v>
      </c>
      <c r="AA106" s="1028">
        <f t="shared" si="69"/>
        <v>54.335939507305767</v>
      </c>
      <c r="AB106" s="1028">
        <f t="shared" si="70"/>
        <v>54.335939507305767</v>
      </c>
      <c r="AC106" s="1029">
        <f t="shared" si="71"/>
        <v>0</v>
      </c>
      <c r="AD106" s="1028">
        <f t="shared" si="72"/>
        <v>4554.3330943874244</v>
      </c>
      <c r="AE106" s="1028">
        <f t="shared" si="73"/>
        <v>230.7197878196925</v>
      </c>
      <c r="AF106" s="1030">
        <f t="shared" si="74"/>
        <v>153.813191879795</v>
      </c>
      <c r="AG106" s="104"/>
      <c r="AH106" s="1025">
        <f>'Recycling - Case 1'!AM196</f>
        <v>379.97160494619413</v>
      </c>
      <c r="AI106" s="1026">
        <f>Parameters!S207</f>
        <v>0.71500000000000008</v>
      </c>
      <c r="AJ106" s="1027">
        <f t="shared" si="75"/>
        <v>0.4</v>
      </c>
      <c r="AK106" s="1028">
        <f t="shared" si="76"/>
        <v>54.335939507305767</v>
      </c>
      <c r="AL106" s="1028">
        <f t="shared" si="77"/>
        <v>54.335939507305767</v>
      </c>
      <c r="AM106" s="1029">
        <f t="shared" si="78"/>
        <v>0</v>
      </c>
      <c r="AN106" s="1028">
        <f t="shared" si="79"/>
        <v>4554.3330943874244</v>
      </c>
      <c r="AO106" s="1028">
        <f t="shared" si="80"/>
        <v>230.7197878196925</v>
      </c>
      <c r="AP106" s="1030">
        <f t="shared" si="81"/>
        <v>153.813191879795</v>
      </c>
      <c r="AQ106" s="104"/>
      <c r="AR106" s="1064">
        <f>'Recycling - Case 1'!G116</f>
        <v>710.32058695276226</v>
      </c>
      <c r="AS106" s="1065">
        <v>1</v>
      </c>
      <c r="AT106" s="1066">
        <f t="shared" si="82"/>
        <v>0.05</v>
      </c>
      <c r="AU106" s="1044">
        <f t="shared" si="83"/>
        <v>17.758014673819059</v>
      </c>
      <c r="AV106" s="1044">
        <f t="shared" si="84"/>
        <v>17.758014673819059</v>
      </c>
      <c r="AW106" s="1045">
        <f t="shared" si="85"/>
        <v>0</v>
      </c>
      <c r="AX106" s="1044">
        <f t="shared" si="51"/>
        <v>230.35749140867634</v>
      </c>
      <c r="AY106" s="1044">
        <f t="shared" si="54"/>
        <v>13.146417438634101</v>
      </c>
      <c r="AZ106" s="1067">
        <f t="shared" si="52"/>
        <v>8.764278292422734</v>
      </c>
      <c r="BB106" s="1055">
        <f t="shared" si="86"/>
        <v>300.62111054634295</v>
      </c>
      <c r="BC106" s="1056">
        <f t="shared" si="87"/>
        <v>153.813191879795</v>
      </c>
      <c r="BD106" s="1082">
        <f t="shared" si="101"/>
        <v>8.764278292422734</v>
      </c>
      <c r="BE106" s="1056">
        <f t="shared" si="60"/>
        <v>463.19858071856066</v>
      </c>
      <c r="BF106" s="167">
        <v>0</v>
      </c>
      <c r="BG106" s="1075">
        <f t="shared" si="88"/>
        <v>463.19858071856066</v>
      </c>
      <c r="BI106" s="1055">
        <f t="shared" si="89"/>
        <v>300.62111054634295</v>
      </c>
      <c r="BJ106" s="1056">
        <f t="shared" si="90"/>
        <v>153.813191879795</v>
      </c>
      <c r="BK106" s="1082">
        <f t="shared" si="91"/>
        <v>8.764278292422734</v>
      </c>
      <c r="BL106" s="1056">
        <f t="shared" si="61"/>
        <v>463.19858071856066</v>
      </c>
      <c r="BM106" s="167">
        <v>0</v>
      </c>
      <c r="BN106" s="1075">
        <f t="shared" si="92"/>
        <v>463.19858071856066</v>
      </c>
    </row>
    <row r="107" spans="1:66">
      <c r="A107" s="927">
        <f>'Input data'!A137</f>
        <v>2037</v>
      </c>
      <c r="B107" s="824">
        <f>'Input data'!B137</f>
        <v>69.940438284968707</v>
      </c>
      <c r="C107" s="824">
        <f>'Recycling - Case 1'!AK117/B107</f>
        <v>282.79668878074597</v>
      </c>
      <c r="D107" s="826">
        <f>'Recycling - Case 1'!AM117</f>
        <v>0.19720036074350211</v>
      </c>
      <c r="E107" s="826">
        <f>'Recycling - Case 1'!BE117</f>
        <v>0.18336828754532403</v>
      </c>
      <c r="F107" s="826">
        <f>'Recycling - Case 1'!BF117</f>
        <v>0.23256059644312685</v>
      </c>
      <c r="G107" s="826">
        <f>'Recycling - Case 1'!BG117</f>
        <v>7.5637084205748217E-2</v>
      </c>
      <c r="H107" s="826">
        <f>'Recycling - Case 1'!BH117</f>
        <v>0</v>
      </c>
      <c r="I107" s="826">
        <f>'Recycling - Case 1'!BI117</f>
        <v>0</v>
      </c>
      <c r="J107" s="826">
        <f>'Recycling - Case 1'!BJ117</f>
        <v>0</v>
      </c>
      <c r="K107" s="826">
        <f>'Recycling - Case 1'!BK117</f>
        <v>0.50843403180580093</v>
      </c>
      <c r="L107" s="827">
        <f t="shared" si="100"/>
        <v>1</v>
      </c>
      <c r="M107" s="104"/>
      <c r="N107" s="838">
        <f t="shared" si="57"/>
        <v>3900.4110186862777</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0.10427219610272326</v>
      </c>
      <c r="Q107" s="832">
        <f t="shared" si="62"/>
        <v>185.50805476831295</v>
      </c>
      <c r="R107" s="832">
        <f t="shared" si="63"/>
        <v>185.50805476831295</v>
      </c>
      <c r="S107" s="835">
        <f t="shared" si="64"/>
        <v>0</v>
      </c>
      <c r="T107" s="832">
        <f t="shared" si="65"/>
        <v>8730.4862767186314</v>
      </c>
      <c r="U107" s="832">
        <f t="shared" si="66"/>
        <v>438.1104019486412</v>
      </c>
      <c r="V107" s="839">
        <f t="shared" si="67"/>
        <v>292.07360129909415</v>
      </c>
      <c r="W107" s="1447"/>
      <c r="X107" s="1025">
        <f>'Recycling - Case 1'!AM157</f>
        <v>489.99264000795392</v>
      </c>
      <c r="Y107" s="1026">
        <f>Parameters!S208</f>
        <v>0.71500000000000008</v>
      </c>
      <c r="Z107" s="1027">
        <f t="shared" si="68"/>
        <v>0.4</v>
      </c>
      <c r="AA107" s="1028">
        <f t="shared" si="69"/>
        <v>70.068947521137417</v>
      </c>
      <c r="AB107" s="1028">
        <f t="shared" si="70"/>
        <v>70.068947521137417</v>
      </c>
      <c r="AC107" s="1029">
        <f t="shared" si="71"/>
        <v>0</v>
      </c>
      <c r="AD107" s="1028">
        <f t="shared" si="72"/>
        <v>4402.2845958798434</v>
      </c>
      <c r="AE107" s="1028">
        <f t="shared" si="73"/>
        <v>222.11744602871863</v>
      </c>
      <c r="AF107" s="1030">
        <f t="shared" si="74"/>
        <v>148.0782973524791</v>
      </c>
      <c r="AG107" s="104"/>
      <c r="AH107" s="1025">
        <f>'Recycling - Case 1'!AM197</f>
        <v>489.99264000795392</v>
      </c>
      <c r="AI107" s="1026">
        <f>Parameters!S208</f>
        <v>0.71500000000000008</v>
      </c>
      <c r="AJ107" s="1027">
        <f t="shared" si="75"/>
        <v>0.4</v>
      </c>
      <c r="AK107" s="1028">
        <f t="shared" si="76"/>
        <v>70.068947521137417</v>
      </c>
      <c r="AL107" s="1028">
        <f t="shared" si="77"/>
        <v>70.068947521137417</v>
      </c>
      <c r="AM107" s="1029">
        <f t="shared" si="78"/>
        <v>0</v>
      </c>
      <c r="AN107" s="1028">
        <f t="shared" si="79"/>
        <v>4402.2845958798434</v>
      </c>
      <c r="AO107" s="1028">
        <f t="shared" si="80"/>
        <v>222.11744602871863</v>
      </c>
      <c r="AP107" s="1030">
        <f t="shared" si="81"/>
        <v>148.0782973524791</v>
      </c>
      <c r="AQ107" s="104"/>
      <c r="AR107" s="1064">
        <f>'Recycling - Case 1'!G117</f>
        <v>720.68037734559789</v>
      </c>
      <c r="AS107" s="1065">
        <v>1</v>
      </c>
      <c r="AT107" s="1066">
        <f t="shared" si="82"/>
        <v>0.05</v>
      </c>
      <c r="AU107" s="1044">
        <f t="shared" si="83"/>
        <v>18.017009433639949</v>
      </c>
      <c r="AV107" s="1044">
        <f t="shared" si="84"/>
        <v>18.017009433639949</v>
      </c>
      <c r="AW107" s="1045">
        <f t="shared" si="85"/>
        <v>0</v>
      </c>
      <c r="AX107" s="1044">
        <f t="shared" si="51"/>
        <v>234.95952488776959</v>
      </c>
      <c r="AY107" s="1044">
        <f t="shared" si="54"/>
        <v>13.414975954546685</v>
      </c>
      <c r="AZ107" s="1067">
        <f t="shared" si="52"/>
        <v>8.9433173030311242</v>
      </c>
      <c r="BB107" s="1055">
        <f t="shared" si="86"/>
        <v>292.07360129909415</v>
      </c>
      <c r="BC107" s="1056">
        <f t="shared" si="87"/>
        <v>148.0782973524791</v>
      </c>
      <c r="BD107" s="1082">
        <f t="shared" si="101"/>
        <v>8.9433173030311242</v>
      </c>
      <c r="BE107" s="1056">
        <f t="shared" si="60"/>
        <v>449.09521595460433</v>
      </c>
      <c r="BF107" s="167">
        <v>0</v>
      </c>
      <c r="BG107" s="1075">
        <f t="shared" si="88"/>
        <v>449.09521595460433</v>
      </c>
      <c r="BI107" s="1055">
        <f t="shared" si="89"/>
        <v>292.07360129909415</v>
      </c>
      <c r="BJ107" s="1056">
        <f t="shared" si="90"/>
        <v>148.0782973524791</v>
      </c>
      <c r="BK107" s="1082">
        <f t="shared" si="91"/>
        <v>8.9433173030311242</v>
      </c>
      <c r="BL107" s="1056">
        <f t="shared" si="61"/>
        <v>449.09521595460433</v>
      </c>
      <c r="BM107" s="167">
        <v>0</v>
      </c>
      <c r="BN107" s="1075">
        <f t="shared" si="92"/>
        <v>449.09521595460433</v>
      </c>
    </row>
    <row r="108" spans="1:66">
      <c r="A108" s="927">
        <f>'Input data'!A138</f>
        <v>2038</v>
      </c>
      <c r="B108" s="824">
        <f>'Input data'!B138</f>
        <v>70.447562472153166</v>
      </c>
      <c r="C108" s="824">
        <f>'Recycling - Case 1'!AK118/B108</f>
        <v>278.39418067832781</v>
      </c>
      <c r="D108" s="826">
        <f>'Recycling - Case 1'!AM118</f>
        <v>0.19035356445443105</v>
      </c>
      <c r="E108" s="826">
        <f>'Recycling - Case 1'!BE118</f>
        <v>0.18388998955838867</v>
      </c>
      <c r="F108" s="826">
        <f>'Recycling - Case 1'!BF118</f>
        <v>0.23322225573518895</v>
      </c>
      <c r="G108" s="826">
        <f>'Recycling - Case 1'!BG118</f>
        <v>7.5483839170635156E-2</v>
      </c>
      <c r="H108" s="826">
        <f>'Recycling - Case 1'!BH118</f>
        <v>0</v>
      </c>
      <c r="I108" s="826">
        <f>'Recycling - Case 1'!BI118</f>
        <v>0</v>
      </c>
      <c r="J108" s="826">
        <f>'Recycling - Case 1'!BJ118</f>
        <v>0</v>
      </c>
      <c r="K108" s="826">
        <f>'Recycling - Case 1'!BK118</f>
        <v>0.50740391553578712</v>
      </c>
      <c r="L108" s="827">
        <f t="shared" si="100"/>
        <v>0.99999999999999989</v>
      </c>
      <c r="M108" s="104"/>
      <c r="N108" s="838">
        <f t="shared" si="57"/>
        <v>3733.2505464568658</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0.10442148524905015</v>
      </c>
      <c r="Q108" s="832">
        <f t="shared" si="62"/>
        <v>179.12760497577889</v>
      </c>
      <c r="R108" s="832">
        <f t="shared" si="63"/>
        <v>179.12760497577889</v>
      </c>
      <c r="S108" s="835">
        <f t="shared" si="64"/>
        <v>0</v>
      </c>
      <c r="T108" s="832">
        <f t="shared" si="65"/>
        <v>8483.8230415902235</v>
      </c>
      <c r="U108" s="832">
        <f t="shared" si="66"/>
        <v>425.7908401041862</v>
      </c>
      <c r="V108" s="839">
        <f t="shared" si="67"/>
        <v>283.86056006945745</v>
      </c>
      <c r="W108" s="1447"/>
      <c r="X108" s="1025">
        <f>'Recycling - Case 1'!AM158</f>
        <v>594.10697942169895</v>
      </c>
      <c r="Y108" s="1026">
        <f>Parameters!S209</f>
        <v>0.71500000000000008</v>
      </c>
      <c r="Z108" s="1027">
        <f t="shared" si="68"/>
        <v>0.4</v>
      </c>
      <c r="AA108" s="1028">
        <f t="shared" si="69"/>
        <v>84.957298057302964</v>
      </c>
      <c r="AB108" s="1028">
        <f t="shared" si="70"/>
        <v>84.957298057302964</v>
      </c>
      <c r="AC108" s="1029">
        <f t="shared" si="71"/>
        <v>0</v>
      </c>
      <c r="AD108" s="1028">
        <f t="shared" si="72"/>
        <v>4272.5399406844444</v>
      </c>
      <c r="AE108" s="1028">
        <f t="shared" si="73"/>
        <v>214.7019532527016</v>
      </c>
      <c r="AF108" s="1030">
        <f t="shared" si="74"/>
        <v>143.13463550180106</v>
      </c>
      <c r="AG108" s="104"/>
      <c r="AH108" s="1025">
        <f>'Recycling - Case 1'!AM198</f>
        <v>594.10697942169895</v>
      </c>
      <c r="AI108" s="1026">
        <f>Parameters!S209</f>
        <v>0.71500000000000008</v>
      </c>
      <c r="AJ108" s="1027">
        <f t="shared" si="75"/>
        <v>0.4</v>
      </c>
      <c r="AK108" s="1028">
        <f t="shared" si="76"/>
        <v>84.957298057302964</v>
      </c>
      <c r="AL108" s="1028">
        <f t="shared" si="77"/>
        <v>84.957298057302964</v>
      </c>
      <c r="AM108" s="1029">
        <f t="shared" si="78"/>
        <v>0</v>
      </c>
      <c r="AN108" s="1028">
        <f t="shared" si="79"/>
        <v>4272.5399406844444</v>
      </c>
      <c r="AO108" s="1028">
        <f t="shared" si="80"/>
        <v>214.7019532527016</v>
      </c>
      <c r="AP108" s="1030">
        <f t="shared" si="81"/>
        <v>143.13463550180106</v>
      </c>
      <c r="AQ108" s="104"/>
      <c r="AR108" s="1064">
        <f>'Recycling - Case 1'!G118</f>
        <v>730.97947919241494</v>
      </c>
      <c r="AS108" s="1065">
        <v>1</v>
      </c>
      <c r="AT108" s="1066">
        <f t="shared" si="82"/>
        <v>0.05</v>
      </c>
      <c r="AU108" s="1044">
        <f t="shared" si="83"/>
        <v>18.274486979810373</v>
      </c>
      <c r="AV108" s="1044">
        <f t="shared" si="84"/>
        <v>18.274486979810373</v>
      </c>
      <c r="AW108" s="1045">
        <f t="shared" si="85"/>
        <v>0</v>
      </c>
      <c r="AX108" s="1044">
        <f t="shared" si="51"/>
        <v>239.55103434691739</v>
      </c>
      <c r="AY108" s="1044">
        <f t="shared" si="54"/>
        <v>13.682977520662583</v>
      </c>
      <c r="AZ108" s="1067">
        <f t="shared" si="52"/>
        <v>9.1219850137750544</v>
      </c>
      <c r="BB108" s="1055">
        <f t="shared" si="86"/>
        <v>283.86056006945745</v>
      </c>
      <c r="BC108" s="1056">
        <f t="shared" si="87"/>
        <v>143.13463550180106</v>
      </c>
      <c r="BD108" s="1082">
        <f t="shared" si="101"/>
        <v>9.1219850137750544</v>
      </c>
      <c r="BE108" s="1056">
        <f t="shared" si="60"/>
        <v>436.11718058503351</v>
      </c>
      <c r="BF108" s="167">
        <v>0</v>
      </c>
      <c r="BG108" s="1075">
        <f t="shared" si="88"/>
        <v>436.11718058503351</v>
      </c>
      <c r="BI108" s="1055">
        <f t="shared" si="89"/>
        <v>283.86056006945745</v>
      </c>
      <c r="BJ108" s="1056">
        <f t="shared" si="90"/>
        <v>143.13463550180106</v>
      </c>
      <c r="BK108" s="1082">
        <f t="shared" si="91"/>
        <v>9.1219850137750544</v>
      </c>
      <c r="BL108" s="1056">
        <f t="shared" si="61"/>
        <v>436.11718058503351</v>
      </c>
      <c r="BM108" s="167">
        <v>0</v>
      </c>
      <c r="BN108" s="1075">
        <f t="shared" si="92"/>
        <v>436.11718058503351</v>
      </c>
    </row>
    <row r="109" spans="1:66">
      <c r="A109" s="927">
        <f>'Input data'!A139</f>
        <v>2039</v>
      </c>
      <c r="B109" s="824">
        <f>'Input data'!B139</f>
        <v>70.942722252264574</v>
      </c>
      <c r="C109" s="824">
        <f>'Recycling - Case 1'!AK119/B109</f>
        <v>274.08581485288772</v>
      </c>
      <c r="D109" s="826">
        <f>'Recycling - Case 1'!AM119</f>
        <v>0.18339939543668426</v>
      </c>
      <c r="E109" s="826">
        <f>'Recycling - Case 1'!BE119</f>
        <v>0.18439019345250221</v>
      </c>
      <c r="F109" s="826">
        <f>'Recycling - Case 1'!BF119</f>
        <v>0.23385664959639274</v>
      </c>
      <c r="G109" s="826">
        <f>'Recycling - Case 1'!BG119</f>
        <v>7.5336909004759825E-2</v>
      </c>
      <c r="H109" s="826">
        <f>'Recycling - Case 1'!BH119</f>
        <v>0</v>
      </c>
      <c r="I109" s="826">
        <f>'Recycling - Case 1'!BI119</f>
        <v>0</v>
      </c>
      <c r="J109" s="826">
        <f>'Recycling - Case 1'!BJ119</f>
        <v>0</v>
      </c>
      <c r="K109" s="826">
        <f>'Recycling - Case 1'!BK119</f>
        <v>0.50641624794634543</v>
      </c>
      <c r="L109" s="827">
        <f t="shared" si="100"/>
        <v>1.0000000000000002</v>
      </c>
      <c r="M109" s="104"/>
      <c r="N109" s="838">
        <f t="shared" si="57"/>
        <v>3566.0900742274539</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0.10456462253905782</v>
      </c>
      <c r="Q109" s="832">
        <f t="shared" si="62"/>
        <v>172.60000650369886</v>
      </c>
      <c r="R109" s="832">
        <f t="shared" si="63"/>
        <v>172.60000650369886</v>
      </c>
      <c r="S109" s="835">
        <f t="shared" si="64"/>
        <v>0</v>
      </c>
      <c r="T109" s="832">
        <f t="shared" si="65"/>
        <v>8242.6621159214646</v>
      </c>
      <c r="U109" s="832">
        <f t="shared" si="66"/>
        <v>413.76093217245807</v>
      </c>
      <c r="V109" s="839">
        <f t="shared" si="67"/>
        <v>275.8406214483054</v>
      </c>
      <c r="W109" s="1447"/>
      <c r="X109" s="1025">
        <f>'Recycling - Case 1'!AM159</f>
        <v>702.72055406735319</v>
      </c>
      <c r="Y109" s="1026">
        <f>Parameters!S210</f>
        <v>0.71500000000000008</v>
      </c>
      <c r="Z109" s="1027">
        <f t="shared" si="68"/>
        <v>0.4</v>
      </c>
      <c r="AA109" s="1028">
        <f t="shared" si="69"/>
        <v>100.48903923163152</v>
      </c>
      <c r="AB109" s="1028">
        <f t="shared" si="70"/>
        <v>100.48903923163152</v>
      </c>
      <c r="AC109" s="1029">
        <f t="shared" si="71"/>
        <v>0</v>
      </c>
      <c r="AD109" s="1028">
        <f t="shared" si="72"/>
        <v>4164.6547481652105</v>
      </c>
      <c r="AE109" s="1028">
        <f t="shared" si="73"/>
        <v>208.37423175086556</v>
      </c>
      <c r="AF109" s="1030">
        <f t="shared" si="74"/>
        <v>138.91615450057705</v>
      </c>
      <c r="AG109" s="104"/>
      <c r="AH109" s="1025">
        <f>'Recycling - Case 1'!AM199</f>
        <v>702.72055406735319</v>
      </c>
      <c r="AI109" s="1026">
        <f>Parameters!S210</f>
        <v>0.71500000000000008</v>
      </c>
      <c r="AJ109" s="1027">
        <f t="shared" si="75"/>
        <v>0.4</v>
      </c>
      <c r="AK109" s="1028">
        <f t="shared" si="76"/>
        <v>100.48903923163152</v>
      </c>
      <c r="AL109" s="1028">
        <f t="shared" si="77"/>
        <v>100.48903923163152</v>
      </c>
      <c r="AM109" s="1029">
        <f t="shared" si="78"/>
        <v>0</v>
      </c>
      <c r="AN109" s="1028">
        <f t="shared" si="79"/>
        <v>4164.6547481652105</v>
      </c>
      <c r="AO109" s="1028">
        <f t="shared" si="80"/>
        <v>208.37423175086556</v>
      </c>
      <c r="AP109" s="1030">
        <f t="shared" si="81"/>
        <v>138.91615450057705</v>
      </c>
      <c r="AQ109" s="104"/>
      <c r="AR109" s="1064">
        <f>'Recycling - Case 1'!G119</f>
        <v>741.22661960823496</v>
      </c>
      <c r="AS109" s="1065">
        <v>1</v>
      </c>
      <c r="AT109" s="1066">
        <f t="shared" si="82"/>
        <v>0.05</v>
      </c>
      <c r="AU109" s="1044">
        <f t="shared" si="83"/>
        <v>18.530665490205873</v>
      </c>
      <c r="AV109" s="1044">
        <f t="shared" si="84"/>
        <v>18.530665490205873</v>
      </c>
      <c r="AW109" s="1045">
        <f t="shared" si="85"/>
        <v>0</v>
      </c>
      <c r="AX109" s="1044">
        <f t="shared" si="51"/>
        <v>244.13133362155489</v>
      </c>
      <c r="AY109" s="1044">
        <f t="shared" si="54"/>
        <v>13.950366215568389</v>
      </c>
      <c r="AZ109" s="1067">
        <f t="shared" si="52"/>
        <v>9.3002441437122592</v>
      </c>
      <c r="BB109" s="1055">
        <f t="shared" si="86"/>
        <v>275.8406214483054</v>
      </c>
      <c r="BC109" s="1056">
        <f t="shared" si="87"/>
        <v>138.91615450057705</v>
      </c>
      <c r="BD109" s="1082">
        <f t="shared" si="101"/>
        <v>9.3002441437122592</v>
      </c>
      <c r="BE109" s="1056">
        <f t="shared" si="60"/>
        <v>424.05702009259471</v>
      </c>
      <c r="BF109" s="167">
        <v>0</v>
      </c>
      <c r="BG109" s="1075">
        <f t="shared" si="88"/>
        <v>424.05702009259471</v>
      </c>
      <c r="BI109" s="1055">
        <f t="shared" si="89"/>
        <v>275.8406214483054</v>
      </c>
      <c r="BJ109" s="1056">
        <f t="shared" si="90"/>
        <v>138.91615450057705</v>
      </c>
      <c r="BK109" s="1082">
        <f t="shared" si="91"/>
        <v>9.3002441437122592</v>
      </c>
      <c r="BL109" s="1056">
        <f t="shared" si="61"/>
        <v>424.05702009259471</v>
      </c>
      <c r="BM109" s="167">
        <v>0</v>
      </c>
      <c r="BN109" s="1075">
        <f t="shared" si="92"/>
        <v>424.05702009259471</v>
      </c>
    </row>
    <row r="110" spans="1:66">
      <c r="A110" s="927">
        <f>'Input data'!A140</f>
        <v>2040</v>
      </c>
      <c r="B110" s="824">
        <f>'Input data'!B140</f>
        <v>71.425610993241406</v>
      </c>
      <c r="C110" s="824">
        <f>'Recycling - Case 1'!AK120/B110</f>
        <v>269.86789473798677</v>
      </c>
      <c r="D110" s="826">
        <f>'Recycling - Case 1'!AM120</f>
        <v>0.17633437563563806</v>
      </c>
      <c r="E110" s="826">
        <f>'Recycling - Case 1'!BE120</f>
        <v>0.18486948773654574</v>
      </c>
      <c r="F110" s="826">
        <f>'Recycling - Case 1'!BF120</f>
        <v>0.23446452441521282</v>
      </c>
      <c r="G110" s="826">
        <f>'Recycling - Case 1'!BG120</f>
        <v>7.5196120839200936E-2</v>
      </c>
      <c r="H110" s="826">
        <f>'Recycling - Case 1'!BH120</f>
        <v>0</v>
      </c>
      <c r="I110" s="826">
        <f>'Recycling - Case 1'!BI120</f>
        <v>0</v>
      </c>
      <c r="J110" s="826">
        <f>'Recycling - Case 1'!BJ120</f>
        <v>0</v>
      </c>
      <c r="K110" s="826">
        <f>'Recycling - Case 1'!BK120</f>
        <v>0.5054698670090404</v>
      </c>
      <c r="L110" s="827">
        <f t="shared" si="100"/>
        <v>0.99999999999999989</v>
      </c>
      <c r="M110" s="104"/>
      <c r="N110" s="838">
        <f t="shared" si="57"/>
        <v>3398.929601998042</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0.1047017763792048</v>
      </c>
      <c r="Q110" s="832">
        <f t="shared" si="62"/>
        <v>165.92623716832856</v>
      </c>
      <c r="R110" s="832">
        <f t="shared" si="63"/>
        <v>165.92623716832856</v>
      </c>
      <c r="S110" s="835">
        <f t="shared" si="64"/>
        <v>0</v>
      </c>
      <c r="T110" s="832">
        <f t="shared" si="65"/>
        <v>8006.5889780501411</v>
      </c>
      <c r="U110" s="832">
        <f t="shared" si="66"/>
        <v>401.99937503965214</v>
      </c>
      <c r="V110" s="839">
        <f t="shared" si="67"/>
        <v>267.99958335976811</v>
      </c>
      <c r="W110" s="1447"/>
      <c r="X110" s="1025">
        <f>'Recycling - Case 1'!AM160</f>
        <v>815.63224163870962</v>
      </c>
      <c r="Y110" s="1026">
        <f>Parameters!S211</f>
        <v>0.71500000000000008</v>
      </c>
      <c r="Z110" s="1027">
        <f t="shared" si="68"/>
        <v>0.4</v>
      </c>
      <c r="AA110" s="1028">
        <f t="shared" si="69"/>
        <v>116.63541055433549</v>
      </c>
      <c r="AB110" s="1028">
        <f t="shared" si="70"/>
        <v>116.63541055433549</v>
      </c>
      <c r="AC110" s="1029">
        <f t="shared" si="71"/>
        <v>0</v>
      </c>
      <c r="AD110" s="1028">
        <f t="shared" si="72"/>
        <v>4078.1775498956949</v>
      </c>
      <c r="AE110" s="1028">
        <f t="shared" si="73"/>
        <v>203.11260882385125</v>
      </c>
      <c r="AF110" s="1030">
        <f t="shared" si="74"/>
        <v>135.40840588256751</v>
      </c>
      <c r="AG110" s="104"/>
      <c r="AH110" s="1025">
        <f>'Recycling - Case 1'!AM200</f>
        <v>815.63224163870962</v>
      </c>
      <c r="AI110" s="1026">
        <f>Parameters!S211</f>
        <v>0.71500000000000008</v>
      </c>
      <c r="AJ110" s="1027">
        <f t="shared" si="75"/>
        <v>0.4</v>
      </c>
      <c r="AK110" s="1028">
        <f t="shared" si="76"/>
        <v>116.63541055433549</v>
      </c>
      <c r="AL110" s="1028">
        <f t="shared" si="77"/>
        <v>116.63541055433549</v>
      </c>
      <c r="AM110" s="1029">
        <f t="shared" si="78"/>
        <v>0</v>
      </c>
      <c r="AN110" s="1028">
        <f t="shared" si="79"/>
        <v>4078.1775498956949</v>
      </c>
      <c r="AO110" s="1028">
        <f t="shared" si="80"/>
        <v>203.11260882385125</v>
      </c>
      <c r="AP110" s="1030">
        <f t="shared" si="81"/>
        <v>135.40840588256751</v>
      </c>
      <c r="AQ110" s="104"/>
      <c r="AR110" s="1064">
        <f>'Recycling - Case 1'!G120</f>
        <v>751.41598773543024</v>
      </c>
      <c r="AS110" s="1065">
        <v>1</v>
      </c>
      <c r="AT110" s="1066">
        <f t="shared" si="82"/>
        <v>0.05</v>
      </c>
      <c r="AU110" s="1044">
        <f t="shared" si="83"/>
        <v>18.785399693385756</v>
      </c>
      <c r="AV110" s="1044">
        <f t="shared" si="84"/>
        <v>18.785399693385756</v>
      </c>
      <c r="AW110" s="1045">
        <f t="shared" si="85"/>
        <v>0</v>
      </c>
      <c r="AX110" s="1044">
        <f t="shared" si="51"/>
        <v>248.69963123479002</v>
      </c>
      <c r="AY110" s="1044">
        <f t="shared" si="54"/>
        <v>14.217102080150632</v>
      </c>
      <c r="AZ110" s="1067">
        <f t="shared" si="52"/>
        <v>9.4780680534337538</v>
      </c>
      <c r="BB110" s="1055">
        <f t="shared" si="86"/>
        <v>267.99958335976811</v>
      </c>
      <c r="BC110" s="1056">
        <f t="shared" si="87"/>
        <v>135.40840588256751</v>
      </c>
      <c r="BD110" s="1082">
        <f t="shared" si="101"/>
        <v>9.4780680534337538</v>
      </c>
      <c r="BE110" s="1056">
        <f t="shared" si="60"/>
        <v>412.88605729576932</v>
      </c>
      <c r="BF110" s="167">
        <v>0</v>
      </c>
      <c r="BG110" s="1075">
        <f t="shared" si="88"/>
        <v>412.88605729576932</v>
      </c>
      <c r="BI110" s="1055">
        <f t="shared" si="89"/>
        <v>267.99958335976811</v>
      </c>
      <c r="BJ110" s="1056">
        <f t="shared" si="90"/>
        <v>135.40840588256751</v>
      </c>
      <c r="BK110" s="1082">
        <f t="shared" si="91"/>
        <v>9.4780680534337538</v>
      </c>
      <c r="BL110" s="1056">
        <f t="shared" si="61"/>
        <v>412.88605729576932</v>
      </c>
      <c r="BM110" s="167">
        <v>0</v>
      </c>
      <c r="BN110" s="1075">
        <f t="shared" si="92"/>
        <v>412.88605729576932</v>
      </c>
    </row>
    <row r="111" spans="1:66">
      <c r="A111" s="927">
        <f>'Input data'!A141</f>
        <v>2041</v>
      </c>
      <c r="B111" s="824">
        <f>'Input data'!B141</f>
        <v>71.895928013305991</v>
      </c>
      <c r="C111" s="824">
        <f>'Recycling - Case 1'!AK121/B111</f>
        <v>265.73684078446212</v>
      </c>
      <c r="D111" s="826">
        <f>'Recycling - Case 1'!AM121</f>
        <v>0.16915477693240186</v>
      </c>
      <c r="E111" s="826">
        <f>'Recycling - Case 1'!BE121</f>
        <v>0.18532842969964877</v>
      </c>
      <c r="F111" s="826">
        <f>'Recycling - Case 1'!BF121</f>
        <v>0.2350465869850322</v>
      </c>
      <c r="G111" s="826">
        <f>'Recycling - Case 1'!BG121</f>
        <v>7.5061310975544443E-2</v>
      </c>
      <c r="H111" s="826">
        <f>'Recycling - Case 1'!BH121</f>
        <v>0</v>
      </c>
      <c r="I111" s="826">
        <f>'Recycling - Case 1'!BI121</f>
        <v>0</v>
      </c>
      <c r="J111" s="826">
        <f>'Recycling - Case 1'!BJ121</f>
        <v>0</v>
      </c>
      <c r="K111" s="826">
        <f>'Recycling - Case 1'!BK121</f>
        <v>0.50456367233977462</v>
      </c>
      <c r="L111" s="827">
        <f t="shared" si="100"/>
        <v>1</v>
      </c>
      <c r="M111" s="104"/>
      <c r="N111" s="838">
        <f t="shared" si="57"/>
        <v>3231.7691297686301</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0.10483310624217154</v>
      </c>
      <c r="Q111" s="832">
        <f t="shared" si="62"/>
        <v>159.10725772096717</v>
      </c>
      <c r="R111" s="832">
        <f t="shared" si="63"/>
        <v>159.10725772096717</v>
      </c>
      <c r="S111" s="835">
        <f t="shared" si="64"/>
        <v>0</v>
      </c>
      <c r="T111" s="832">
        <f t="shared" si="65"/>
        <v>7775.2102835253627</v>
      </c>
      <c r="U111" s="832">
        <f t="shared" si="66"/>
        <v>390.48595224574541</v>
      </c>
      <c r="V111" s="839">
        <f t="shared" si="67"/>
        <v>260.32396816383027</v>
      </c>
      <c r="W111" s="1447"/>
      <c r="X111" s="1025">
        <f>'Recycling - Case 1'!AM161</f>
        <v>800.65401532081978</v>
      </c>
      <c r="Y111" s="1026">
        <f>Parameters!S212</f>
        <v>0.71500000000000008</v>
      </c>
      <c r="Z111" s="1027">
        <f t="shared" si="68"/>
        <v>0.4</v>
      </c>
      <c r="AA111" s="1028">
        <f t="shared" si="69"/>
        <v>114.49352419087724</v>
      </c>
      <c r="AB111" s="1028">
        <f t="shared" si="70"/>
        <v>114.49352419087724</v>
      </c>
      <c r="AC111" s="1029">
        <f t="shared" si="71"/>
        <v>0</v>
      </c>
      <c r="AD111" s="1028">
        <f t="shared" si="72"/>
        <v>3993.7760079898912</v>
      </c>
      <c r="AE111" s="1028">
        <f t="shared" si="73"/>
        <v>198.89506609668112</v>
      </c>
      <c r="AF111" s="1030">
        <f t="shared" si="74"/>
        <v>132.59671073112074</v>
      </c>
      <c r="AG111" s="104"/>
      <c r="AH111" s="1025">
        <f>'Recycling - Case 1'!AM201</f>
        <v>800.65401532081978</v>
      </c>
      <c r="AI111" s="1026">
        <f>Parameters!S212</f>
        <v>0.71500000000000008</v>
      </c>
      <c r="AJ111" s="1027">
        <f t="shared" si="75"/>
        <v>0.4</v>
      </c>
      <c r="AK111" s="1028">
        <f t="shared" si="76"/>
        <v>114.49352419087724</v>
      </c>
      <c r="AL111" s="1028">
        <f t="shared" si="77"/>
        <v>114.49352419087724</v>
      </c>
      <c r="AM111" s="1029">
        <f t="shared" si="78"/>
        <v>0</v>
      </c>
      <c r="AN111" s="1028">
        <f t="shared" si="79"/>
        <v>3993.7760079898912</v>
      </c>
      <c r="AO111" s="1028">
        <f t="shared" si="80"/>
        <v>198.89506609668112</v>
      </c>
      <c r="AP111" s="1030">
        <f t="shared" si="81"/>
        <v>132.59671073112074</v>
      </c>
      <c r="AQ111" s="104"/>
      <c r="AR111" s="1064">
        <f>'Recycling - Case 1'!G121</f>
        <v>761.54174740959866</v>
      </c>
      <c r="AS111" s="1065">
        <v>1</v>
      </c>
      <c r="AT111" s="1066">
        <f t="shared" si="82"/>
        <v>0.05</v>
      </c>
      <c r="AU111" s="1044">
        <f t="shared" si="83"/>
        <v>19.038543685239969</v>
      </c>
      <c r="AV111" s="1044">
        <f t="shared" si="84"/>
        <v>19.038543685239969</v>
      </c>
      <c r="AW111" s="1045">
        <f t="shared" si="85"/>
        <v>0</v>
      </c>
      <c r="AX111" s="1044">
        <f t="shared" si="51"/>
        <v>253.25503589764665</v>
      </c>
      <c r="AY111" s="1044">
        <f t="shared" si="54"/>
        <v>14.483139022383343</v>
      </c>
      <c r="AZ111" s="1067">
        <f t="shared" si="52"/>
        <v>9.6554260149222291</v>
      </c>
      <c r="BB111" s="1055">
        <f t="shared" si="86"/>
        <v>260.32396816383027</v>
      </c>
      <c r="BC111" s="1056">
        <f t="shared" si="87"/>
        <v>132.59671073112074</v>
      </c>
      <c r="BD111" s="1082">
        <f t="shared" si="101"/>
        <v>9.6554260149222291</v>
      </c>
      <c r="BE111" s="1056">
        <f t="shared" si="60"/>
        <v>402.57610490987327</v>
      </c>
      <c r="BF111" s="167">
        <v>0</v>
      </c>
      <c r="BG111" s="1075">
        <f t="shared" si="88"/>
        <v>402.57610490987327</v>
      </c>
      <c r="BI111" s="1055">
        <f t="shared" si="89"/>
        <v>260.32396816383027</v>
      </c>
      <c r="BJ111" s="1056">
        <f t="shared" si="90"/>
        <v>132.59671073112074</v>
      </c>
      <c r="BK111" s="1082">
        <f t="shared" si="91"/>
        <v>9.6554260149222291</v>
      </c>
      <c r="BL111" s="1056">
        <f t="shared" si="61"/>
        <v>402.57610490987327</v>
      </c>
      <c r="BM111" s="167">
        <v>0</v>
      </c>
      <c r="BN111" s="1075">
        <f t="shared" si="92"/>
        <v>402.57610490987327</v>
      </c>
    </row>
    <row r="112" spans="1:66">
      <c r="A112" s="927">
        <f>'Input data'!A142</f>
        <v>2042</v>
      </c>
      <c r="B112" s="824">
        <f>'Input data'!B142</f>
        <v>72.353378891150228</v>
      </c>
      <c r="C112" s="824">
        <f>'Recycling - Case 1'!AK122/B112</f>
        <v>261.68918465795264</v>
      </c>
      <c r="D112" s="826">
        <f>'Recycling - Case 1'!AM122</f>
        <v>0.16185660722865042</v>
      </c>
      <c r="E112" s="826">
        <f>'Recycling - Case 1'!BE122</f>
        <v>0.18576754690450362</v>
      </c>
      <c r="F112" s="826">
        <f>'Recycling - Case 1'!BF122</f>
        <v>0.23560350639806998</v>
      </c>
      <c r="G112" s="826">
        <f>'Recycling - Case 1'!BG122</f>
        <v>7.4932324447236048E-2</v>
      </c>
      <c r="H112" s="826">
        <f>'Recycling - Case 1'!BH122</f>
        <v>0</v>
      </c>
      <c r="I112" s="826">
        <f>'Recycling - Case 1'!BI122</f>
        <v>0</v>
      </c>
      <c r="J112" s="826">
        <f>'Recycling - Case 1'!BJ122</f>
        <v>0</v>
      </c>
      <c r="K112" s="826">
        <f>'Recycling - Case 1'!BK122</f>
        <v>0.50369662225019041</v>
      </c>
      <c r="L112" s="827">
        <f t="shared" si="100"/>
        <v>1</v>
      </c>
      <c r="M112" s="104"/>
      <c r="N112" s="838">
        <f t="shared" si="57"/>
        <v>3064.6086575392183</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0.10495876309418396</v>
      </c>
      <c r="Q112" s="832">
        <f t="shared" si="62"/>
        <v>152.14401361181979</v>
      </c>
      <c r="R112" s="832">
        <f t="shared" si="63"/>
        <v>152.14401361181979</v>
      </c>
      <c r="S112" s="835">
        <f t="shared" si="64"/>
        <v>0</v>
      </c>
      <c r="T112" s="832">
        <f t="shared" si="65"/>
        <v>7548.1528169816838</v>
      </c>
      <c r="U112" s="832">
        <f t="shared" si="66"/>
        <v>379.20148015549847</v>
      </c>
      <c r="V112" s="839">
        <f t="shared" si="67"/>
        <v>252.80098677033232</v>
      </c>
      <c r="W112" s="1447"/>
      <c r="X112" s="1025">
        <f>'Recycling - Case 1'!AM162</f>
        <v>787.16043595631709</v>
      </c>
      <c r="Y112" s="1026">
        <f>Parameters!S213</f>
        <v>0.71500000000000008</v>
      </c>
      <c r="Z112" s="1027">
        <f t="shared" si="68"/>
        <v>0.4</v>
      </c>
      <c r="AA112" s="1028">
        <f t="shared" si="69"/>
        <v>112.56394234175337</v>
      </c>
      <c r="AB112" s="1028">
        <f t="shared" si="70"/>
        <v>112.56394234175337</v>
      </c>
      <c r="AC112" s="1029">
        <f t="shared" si="71"/>
        <v>0</v>
      </c>
      <c r="AD112" s="1028">
        <f t="shared" si="72"/>
        <v>3911.5611960067367</v>
      </c>
      <c r="AE112" s="1028">
        <f t="shared" si="73"/>
        <v>194.77875432490796</v>
      </c>
      <c r="AF112" s="1030">
        <f t="shared" si="74"/>
        <v>129.85250288327197</v>
      </c>
      <c r="AG112" s="104"/>
      <c r="AH112" s="1025">
        <f>'Recycling - Case 1'!AM202</f>
        <v>787.16043595631709</v>
      </c>
      <c r="AI112" s="1026">
        <f>Parameters!S213</f>
        <v>0.71500000000000008</v>
      </c>
      <c r="AJ112" s="1027">
        <f t="shared" si="75"/>
        <v>0.4</v>
      </c>
      <c r="AK112" s="1028">
        <f t="shared" si="76"/>
        <v>112.56394234175337</v>
      </c>
      <c r="AL112" s="1028">
        <f t="shared" si="77"/>
        <v>112.56394234175337</v>
      </c>
      <c r="AM112" s="1029">
        <f t="shared" si="78"/>
        <v>0</v>
      </c>
      <c r="AN112" s="1028">
        <f t="shared" si="79"/>
        <v>3911.5611960067367</v>
      </c>
      <c r="AO112" s="1028">
        <f t="shared" si="80"/>
        <v>194.77875432490796</v>
      </c>
      <c r="AP112" s="1030">
        <f t="shared" si="81"/>
        <v>129.85250288327197</v>
      </c>
      <c r="AQ112" s="104"/>
      <c r="AR112" s="1064">
        <f>'Recycling - Case 1'!G122</f>
        <v>771.59804261015711</v>
      </c>
      <c r="AS112" s="1065">
        <v>1</v>
      </c>
      <c r="AT112" s="1066">
        <f t="shared" si="82"/>
        <v>0.05</v>
      </c>
      <c r="AU112" s="1044">
        <f t="shared" si="83"/>
        <v>19.289951065253931</v>
      </c>
      <c r="AV112" s="1044">
        <f t="shared" si="84"/>
        <v>19.289951065253931</v>
      </c>
      <c r="AW112" s="1045">
        <f t="shared" si="85"/>
        <v>0</v>
      </c>
      <c r="AX112" s="1044">
        <f t="shared" si="51"/>
        <v>257.79656182526327</v>
      </c>
      <c r="AY112" s="1044">
        <f t="shared" si="54"/>
        <v>14.748425137637286</v>
      </c>
      <c r="AZ112" s="1067">
        <f t="shared" si="52"/>
        <v>9.8322834250915232</v>
      </c>
      <c r="BB112" s="1055">
        <f t="shared" si="86"/>
        <v>252.80098677033232</v>
      </c>
      <c r="BC112" s="1056">
        <f t="shared" si="87"/>
        <v>129.85250288327197</v>
      </c>
      <c r="BD112" s="1082">
        <f t="shared" si="101"/>
        <v>9.8322834250915232</v>
      </c>
      <c r="BE112" s="1056">
        <f t="shared" si="60"/>
        <v>392.48577307869584</v>
      </c>
      <c r="BF112" s="167">
        <v>0</v>
      </c>
      <c r="BG112" s="1075">
        <f t="shared" si="88"/>
        <v>392.48577307869584</v>
      </c>
      <c r="BI112" s="1055">
        <f t="shared" si="89"/>
        <v>252.80098677033232</v>
      </c>
      <c r="BJ112" s="1056">
        <f t="shared" si="90"/>
        <v>129.85250288327197</v>
      </c>
      <c r="BK112" s="1082">
        <f t="shared" si="91"/>
        <v>9.8322834250915232</v>
      </c>
      <c r="BL112" s="1056">
        <f t="shared" si="61"/>
        <v>392.48577307869584</v>
      </c>
      <c r="BM112" s="167">
        <v>0</v>
      </c>
      <c r="BN112" s="1075">
        <f t="shared" si="92"/>
        <v>392.48577307869584</v>
      </c>
    </row>
    <row r="113" spans="1:66">
      <c r="A113" s="927">
        <f>'Input data'!A143</f>
        <v>2043</v>
      </c>
      <c r="B113" s="824">
        <f>'Input data'!B143</f>
        <v>72.797675771420302</v>
      </c>
      <c r="C113" s="824">
        <f>'Recycling - Case 1'!AK123/B113</f>
        <v>257.72156370002074</v>
      </c>
      <c r="D113" s="826">
        <f>'Recycling - Case 1'!AM123</f>
        <v>0.15443559542222507</v>
      </c>
      <c r="E113" s="826">
        <f>'Recycling - Case 1'!BE123</f>
        <v>0.18618733857864889</v>
      </c>
      <c r="F113" s="826">
        <f>'Recycling - Case 1'!BF123</f>
        <v>0.23613591580990431</v>
      </c>
      <c r="G113" s="826">
        <f>'Recycling - Case 1'!BG123</f>
        <v>7.4809014610905042E-2</v>
      </c>
      <c r="H113" s="826">
        <f>'Recycling - Case 1'!BH123</f>
        <v>0</v>
      </c>
      <c r="I113" s="826">
        <f>'Recycling - Case 1'!BI123</f>
        <v>0</v>
      </c>
      <c r="J113" s="826">
        <f>'Recycling - Case 1'!BJ123</f>
        <v>0</v>
      </c>
      <c r="K113" s="826">
        <f>'Recycling - Case 1'!BK123</f>
        <v>0.50286773100054183</v>
      </c>
      <c r="L113" s="827">
        <f t="shared" si="100"/>
        <v>1</v>
      </c>
      <c r="M113" s="104"/>
      <c r="N113" s="838">
        <f t="shared" si="57"/>
        <v>2897.4481853098064</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0.10507888979314021</v>
      </c>
      <c r="Q113" s="832">
        <f t="shared" si="62"/>
        <v>145.03743668711411</v>
      </c>
      <c r="R113" s="832">
        <f t="shared" si="63"/>
        <v>145.03743668711411</v>
      </c>
      <c r="S113" s="835">
        <f t="shared" si="64"/>
        <v>0</v>
      </c>
      <c r="T113" s="832">
        <f t="shared" si="65"/>
        <v>7325.0624968280445</v>
      </c>
      <c r="U113" s="832">
        <f t="shared" si="66"/>
        <v>368.12775684075342</v>
      </c>
      <c r="V113" s="839">
        <f t="shared" si="67"/>
        <v>245.41850456050227</v>
      </c>
      <c r="W113" s="1447"/>
      <c r="X113" s="1025">
        <f>'Recycling - Case 1'!AM163</f>
        <v>776.10193706416601</v>
      </c>
      <c r="Y113" s="1026">
        <f>Parameters!S214</f>
        <v>0.71500000000000008</v>
      </c>
      <c r="Z113" s="1027">
        <f t="shared" si="68"/>
        <v>0.4</v>
      </c>
      <c r="AA113" s="1028">
        <f t="shared" si="69"/>
        <v>110.98257700017577</v>
      </c>
      <c r="AB113" s="1028">
        <f t="shared" si="70"/>
        <v>110.98257700017577</v>
      </c>
      <c r="AC113" s="1029">
        <f t="shared" si="71"/>
        <v>0</v>
      </c>
      <c r="AD113" s="1028">
        <f t="shared" si="72"/>
        <v>3831.7746823769885</v>
      </c>
      <c r="AE113" s="1028">
        <f t="shared" si="73"/>
        <v>190.76909062992394</v>
      </c>
      <c r="AF113" s="1030">
        <f t="shared" si="74"/>
        <v>127.17939375328262</v>
      </c>
      <c r="AG113" s="104"/>
      <c r="AH113" s="1025">
        <f>'Recycling - Case 1'!AM203</f>
        <v>776.10193706416601</v>
      </c>
      <c r="AI113" s="1026">
        <f>Parameters!S214</f>
        <v>0.71500000000000008</v>
      </c>
      <c r="AJ113" s="1027">
        <f t="shared" si="75"/>
        <v>0.4</v>
      </c>
      <c r="AK113" s="1028">
        <f t="shared" si="76"/>
        <v>110.98257700017577</v>
      </c>
      <c r="AL113" s="1028">
        <f t="shared" si="77"/>
        <v>110.98257700017577</v>
      </c>
      <c r="AM113" s="1029">
        <f t="shared" si="78"/>
        <v>0</v>
      </c>
      <c r="AN113" s="1028">
        <f t="shared" si="79"/>
        <v>3831.7746823769885</v>
      </c>
      <c r="AO113" s="1028">
        <f t="shared" si="80"/>
        <v>190.76909062992394</v>
      </c>
      <c r="AP113" s="1030">
        <f t="shared" si="81"/>
        <v>127.17939375328262</v>
      </c>
      <c r="AQ113" s="104"/>
      <c r="AR113" s="1064">
        <f>'Recycling - Case 1'!G123</f>
        <v>781.57900299449909</v>
      </c>
      <c r="AS113" s="1065">
        <v>1</v>
      </c>
      <c r="AT113" s="1066">
        <f t="shared" si="82"/>
        <v>0.05</v>
      </c>
      <c r="AU113" s="1044">
        <f t="shared" si="83"/>
        <v>19.53947507486248</v>
      </c>
      <c r="AV113" s="1044">
        <f t="shared" si="84"/>
        <v>19.53947507486248</v>
      </c>
      <c r="AW113" s="1045">
        <f t="shared" si="85"/>
        <v>0</v>
      </c>
      <c r="AX113" s="1044">
        <f t="shared" si="51"/>
        <v>262.32313388185446</v>
      </c>
      <c r="AY113" s="1044">
        <f t="shared" si="54"/>
        <v>15.012903018271267</v>
      </c>
      <c r="AZ113" s="1067">
        <f t="shared" si="52"/>
        <v>10.008602012180845</v>
      </c>
      <c r="BB113" s="1055">
        <f t="shared" si="86"/>
        <v>245.41850456050227</v>
      </c>
      <c r="BC113" s="1056">
        <f t="shared" si="87"/>
        <v>127.17939375328262</v>
      </c>
      <c r="BD113" s="1082">
        <f t="shared" si="101"/>
        <v>10.008602012180845</v>
      </c>
      <c r="BE113" s="1056">
        <f t="shared" si="60"/>
        <v>382.60650032596573</v>
      </c>
      <c r="BF113" s="167">
        <v>0</v>
      </c>
      <c r="BG113" s="1075">
        <f t="shared" si="88"/>
        <v>382.60650032596573</v>
      </c>
      <c r="BI113" s="1055">
        <f t="shared" si="89"/>
        <v>245.41850456050227</v>
      </c>
      <c r="BJ113" s="1056">
        <f t="shared" si="90"/>
        <v>127.17939375328262</v>
      </c>
      <c r="BK113" s="1082">
        <f t="shared" si="91"/>
        <v>10.008602012180845</v>
      </c>
      <c r="BL113" s="1056">
        <f t="shared" si="61"/>
        <v>382.60650032596573</v>
      </c>
      <c r="BM113" s="167">
        <v>0</v>
      </c>
      <c r="BN113" s="1075">
        <f t="shared" si="92"/>
        <v>382.60650032596573</v>
      </c>
    </row>
    <row r="114" spans="1:66">
      <c r="A114" s="927">
        <f>'Input data'!A144</f>
        <v>2044</v>
      </c>
      <c r="B114" s="824">
        <f>'Input data'!B144</f>
        <v>73.228597899236789</v>
      </c>
      <c r="C114" s="824">
        <f>'Recycling - Case 1'!AK124/B114</f>
        <v>253.83059980782127</v>
      </c>
      <c r="D114" s="826">
        <f>'Recycling - Case 1'!AM124</f>
        <v>0.14688712137867613</v>
      </c>
      <c r="E114" s="826">
        <f>'Recycling - Case 1'!BE124</f>
        <v>0.18658833254412063</v>
      </c>
      <c r="F114" s="826">
        <f>'Recycling - Case 1'!BF124</f>
        <v>0.23664448464167223</v>
      </c>
      <c r="G114" s="826">
        <f>'Recycling - Case 1'!BG124</f>
        <v>7.4691226423817439E-2</v>
      </c>
      <c r="H114" s="826">
        <f>'Recycling - Case 1'!BH124</f>
        <v>0</v>
      </c>
      <c r="I114" s="826">
        <f>'Recycling - Case 1'!BI124</f>
        <v>0</v>
      </c>
      <c r="J114" s="826">
        <f>'Recycling - Case 1'!BJ124</f>
        <v>0</v>
      </c>
      <c r="K114" s="826">
        <f>'Recycling - Case 1'!BK124</f>
        <v>0.5020759563903896</v>
      </c>
      <c r="L114" s="827">
        <f t="shared" si="100"/>
        <v>0.99999999999999989</v>
      </c>
      <c r="M114" s="104"/>
      <c r="N114" s="838">
        <f t="shared" si="57"/>
        <v>2730.287713080394</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0.10519363737947951</v>
      </c>
      <c r="Q114" s="832">
        <f t="shared" si="62"/>
        <v>137.78846767917727</v>
      </c>
      <c r="R114" s="832">
        <f t="shared" si="63"/>
        <v>137.78846767917727</v>
      </c>
      <c r="S114" s="835">
        <f t="shared" si="64"/>
        <v>0</v>
      </c>
      <c r="T114" s="832">
        <f t="shared" si="65"/>
        <v>7105.6034509686815</v>
      </c>
      <c r="U114" s="832">
        <f t="shared" si="66"/>
        <v>357.24751353854043</v>
      </c>
      <c r="V114" s="839">
        <f t="shared" si="67"/>
        <v>238.16500902569362</v>
      </c>
      <c r="W114" s="1447"/>
      <c r="X114" s="1025">
        <f>'Recycling - Case 1'!AM164</f>
        <v>767.45789340007877</v>
      </c>
      <c r="Y114" s="1026">
        <f>Parameters!S215</f>
        <v>0.71500000000000008</v>
      </c>
      <c r="Z114" s="1027">
        <f t="shared" si="68"/>
        <v>0.4</v>
      </c>
      <c r="AA114" s="1028">
        <f t="shared" si="69"/>
        <v>109.74647875621129</v>
      </c>
      <c r="AB114" s="1028">
        <f t="shared" si="70"/>
        <v>109.74647875621129</v>
      </c>
      <c r="AC114" s="1029">
        <f t="shared" si="71"/>
        <v>0</v>
      </c>
      <c r="AD114" s="1028">
        <f t="shared" si="72"/>
        <v>3754.6433046900802</v>
      </c>
      <c r="AE114" s="1028">
        <f t="shared" si="73"/>
        <v>186.8778564431195</v>
      </c>
      <c r="AF114" s="1030">
        <f t="shared" si="74"/>
        <v>124.58523762874633</v>
      </c>
      <c r="AG114" s="104"/>
      <c r="AH114" s="1025">
        <f>'Recycling - Case 1'!AM204</f>
        <v>767.45789340007877</v>
      </c>
      <c r="AI114" s="1026">
        <f>Parameters!S215</f>
        <v>0.71500000000000008</v>
      </c>
      <c r="AJ114" s="1027">
        <f t="shared" si="75"/>
        <v>0.4</v>
      </c>
      <c r="AK114" s="1028">
        <f t="shared" si="76"/>
        <v>109.74647875621129</v>
      </c>
      <c r="AL114" s="1028">
        <f t="shared" si="77"/>
        <v>109.74647875621129</v>
      </c>
      <c r="AM114" s="1029">
        <f t="shared" si="78"/>
        <v>0</v>
      </c>
      <c r="AN114" s="1028">
        <f t="shared" si="79"/>
        <v>3754.6433046900802</v>
      </c>
      <c r="AO114" s="1028">
        <f t="shared" si="80"/>
        <v>186.8778564431195</v>
      </c>
      <c r="AP114" s="1030">
        <f t="shared" si="81"/>
        <v>124.58523762874633</v>
      </c>
      <c r="AQ114" s="104"/>
      <c r="AR114" s="1064">
        <f>'Recycling - Case 1'!G124</f>
        <v>791.47940053989919</v>
      </c>
      <c r="AS114" s="1065">
        <v>1</v>
      </c>
      <c r="AT114" s="1066">
        <f t="shared" si="82"/>
        <v>0.05</v>
      </c>
      <c r="AU114" s="1044">
        <f t="shared" si="83"/>
        <v>19.786985013497482</v>
      </c>
      <c r="AV114" s="1044">
        <f t="shared" si="84"/>
        <v>19.786985013497482</v>
      </c>
      <c r="AW114" s="1045">
        <f t="shared" si="85"/>
        <v>0</v>
      </c>
      <c r="AX114" s="1044">
        <f t="shared" si="51"/>
        <v>266.83360884210055</v>
      </c>
      <c r="AY114" s="1044">
        <f t="shared" si="54"/>
        <v>15.276510053251362</v>
      </c>
      <c r="AZ114" s="1067">
        <f t="shared" si="52"/>
        <v>10.184340035500908</v>
      </c>
      <c r="BB114" s="1055">
        <f t="shared" si="86"/>
        <v>238.16500902569362</v>
      </c>
      <c r="BC114" s="1056">
        <f t="shared" si="87"/>
        <v>124.58523762874633</v>
      </c>
      <c r="BD114" s="1082">
        <f t="shared" si="101"/>
        <v>10.184340035500908</v>
      </c>
      <c r="BE114" s="1056">
        <f t="shared" si="60"/>
        <v>372.93458668994083</v>
      </c>
      <c r="BF114" s="167">
        <v>0</v>
      </c>
      <c r="BG114" s="1075">
        <f t="shared" si="88"/>
        <v>372.93458668994083</v>
      </c>
      <c r="BI114" s="1055">
        <f t="shared" si="89"/>
        <v>238.16500902569362</v>
      </c>
      <c r="BJ114" s="1056">
        <f t="shared" si="90"/>
        <v>124.58523762874633</v>
      </c>
      <c r="BK114" s="1082">
        <f t="shared" si="91"/>
        <v>10.184340035500908</v>
      </c>
      <c r="BL114" s="1056">
        <f t="shared" si="61"/>
        <v>372.93458668994083</v>
      </c>
      <c r="BM114" s="167">
        <v>0</v>
      </c>
      <c r="BN114" s="1075">
        <f t="shared" si="92"/>
        <v>372.93458668994083</v>
      </c>
    </row>
    <row r="115" spans="1:66">
      <c r="A115" s="927">
        <f>'Input data'!A145</f>
        <v>2045</v>
      </c>
      <c r="B115" s="824">
        <f>'Input data'!B145</f>
        <v>73.645872502840064</v>
      </c>
      <c r="C115" s="824">
        <f>'Recycling - Case 1'!AK125/B115</f>
        <v>250.01313600277132</v>
      </c>
      <c r="D115" s="826">
        <f>'Recycling - Case 1'!AM125</f>
        <v>0.13920631170970701</v>
      </c>
      <c r="E115" s="826">
        <f>'Recycling - Case 1'!BE125</f>
        <v>0.18697097373847829</v>
      </c>
      <c r="F115" s="826">
        <f>'Recycling - Case 1'!BF125</f>
        <v>0.23712977719457098</v>
      </c>
      <c r="G115" s="826">
        <f>'Recycling - Case 1'!BG125</f>
        <v>7.4578829189770782E-2</v>
      </c>
      <c r="H115" s="826">
        <f>'Recycling - Case 1'!BH125</f>
        <v>0</v>
      </c>
      <c r="I115" s="826">
        <f>'Recycling - Case 1'!BI125</f>
        <v>0</v>
      </c>
      <c r="J115" s="826">
        <f>'Recycling - Case 1'!BJ125</f>
        <v>0</v>
      </c>
      <c r="K115" s="826">
        <f>'Recycling - Case 1'!BK125</f>
        <v>0.5013204198771799</v>
      </c>
      <c r="L115" s="827">
        <f t="shared" si="100"/>
        <v>1</v>
      </c>
      <c r="M115" s="104"/>
      <c r="N115" s="838">
        <f t="shared" si="57"/>
        <v>2563.1272408509826</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0.10530313317559425</v>
      </c>
      <c r="Q115" s="832">
        <f t="shared" si="62"/>
        <v>130.39801216459239</v>
      </c>
      <c r="R115" s="832">
        <f t="shared" si="63"/>
        <v>130.39801216459239</v>
      </c>
      <c r="S115" s="835">
        <f t="shared" si="64"/>
        <v>0</v>
      </c>
      <c r="T115" s="832">
        <f t="shared" si="65"/>
        <v>6889.4570935598194</v>
      </c>
      <c r="U115" s="832">
        <f t="shared" si="66"/>
        <v>346.54436957345513</v>
      </c>
      <c r="V115" s="839">
        <f t="shared" si="67"/>
        <v>231.02957971563674</v>
      </c>
      <c r="W115" s="1447"/>
      <c r="X115" s="1025">
        <f>'Recycling - Case 1'!AM165</f>
        <v>761.37649867194079</v>
      </c>
      <c r="Y115" s="1026">
        <f>Parameters!S216</f>
        <v>0.71500000000000008</v>
      </c>
      <c r="Z115" s="1027">
        <f t="shared" si="68"/>
        <v>0.4</v>
      </c>
      <c r="AA115" s="1028">
        <f t="shared" si="69"/>
        <v>108.87683931008755</v>
      </c>
      <c r="AB115" s="1028">
        <f t="shared" si="70"/>
        <v>108.87683931008755</v>
      </c>
      <c r="AC115" s="1029">
        <f t="shared" si="71"/>
        <v>0</v>
      </c>
      <c r="AD115" s="1028">
        <f t="shared" si="72"/>
        <v>3680.4040292358918</v>
      </c>
      <c r="AE115" s="1028">
        <f t="shared" si="73"/>
        <v>183.11611476427618</v>
      </c>
      <c r="AF115" s="1030">
        <f t="shared" si="74"/>
        <v>122.07740984285078</v>
      </c>
      <c r="AG115" s="104"/>
      <c r="AH115" s="1025">
        <f>'Recycling - Case 1'!AM205</f>
        <v>761.37649867194079</v>
      </c>
      <c r="AI115" s="1026">
        <f>Parameters!S216</f>
        <v>0.71500000000000008</v>
      </c>
      <c r="AJ115" s="1027">
        <f t="shared" si="75"/>
        <v>0.4</v>
      </c>
      <c r="AK115" s="1028">
        <f t="shared" si="76"/>
        <v>108.87683931008755</v>
      </c>
      <c r="AL115" s="1028">
        <f t="shared" si="77"/>
        <v>108.87683931008755</v>
      </c>
      <c r="AM115" s="1029">
        <f t="shared" si="78"/>
        <v>0</v>
      </c>
      <c r="AN115" s="1028">
        <f t="shared" si="79"/>
        <v>3680.4040292358918</v>
      </c>
      <c r="AO115" s="1028">
        <f t="shared" si="80"/>
        <v>183.11611476427618</v>
      </c>
      <c r="AP115" s="1030">
        <f t="shared" si="81"/>
        <v>122.07740984285078</v>
      </c>
      <c r="AQ115" s="104"/>
      <c r="AR115" s="1064">
        <f>'Recycling - Case 1'!G125</f>
        <v>801.29337766686433</v>
      </c>
      <c r="AS115" s="1065">
        <v>1</v>
      </c>
      <c r="AT115" s="1066">
        <f t="shared" si="82"/>
        <v>0.05</v>
      </c>
      <c r="AU115" s="1044">
        <f t="shared" si="83"/>
        <v>20.032334441671608</v>
      </c>
      <c r="AV115" s="1044">
        <f t="shared" si="84"/>
        <v>20.032334441671608</v>
      </c>
      <c r="AW115" s="1045">
        <f t="shared" si="85"/>
        <v>0</v>
      </c>
      <c r="AX115" s="1044">
        <f t="shared" si="51"/>
        <v>271.32676361745428</v>
      </c>
      <c r="AY115" s="1044">
        <f t="shared" si="54"/>
        <v>15.53917966631786</v>
      </c>
      <c r="AZ115" s="1067">
        <f t="shared" si="52"/>
        <v>10.359453110878574</v>
      </c>
      <c r="BB115" s="1055">
        <f t="shared" si="86"/>
        <v>231.02957971563674</v>
      </c>
      <c r="BC115" s="1056">
        <f t="shared" si="87"/>
        <v>122.07740984285078</v>
      </c>
      <c r="BD115" s="1082">
        <f t="shared" si="101"/>
        <v>10.359453110878574</v>
      </c>
      <c r="BE115" s="1056">
        <f t="shared" si="60"/>
        <v>363.46644266936607</v>
      </c>
      <c r="BF115" s="167">
        <v>0</v>
      </c>
      <c r="BG115" s="1075">
        <f t="shared" si="88"/>
        <v>363.46644266936607</v>
      </c>
      <c r="BI115" s="1055">
        <f t="shared" si="89"/>
        <v>231.02957971563674</v>
      </c>
      <c r="BJ115" s="1056">
        <f t="shared" si="90"/>
        <v>122.07740984285078</v>
      </c>
      <c r="BK115" s="1082">
        <f t="shared" si="91"/>
        <v>10.359453110878574</v>
      </c>
      <c r="BL115" s="1056">
        <f t="shared" si="61"/>
        <v>363.46644266936607</v>
      </c>
      <c r="BM115" s="167">
        <v>0</v>
      </c>
      <c r="BN115" s="1075">
        <f t="shared" si="92"/>
        <v>363.46644266936607</v>
      </c>
    </row>
    <row r="116" spans="1:66">
      <c r="A116" s="927">
        <f>'Input data'!A146</f>
        <v>2046</v>
      </c>
      <c r="B116" s="824">
        <f>'Input data'!B146</f>
        <v>74.049234192071822</v>
      </c>
      <c r="C116" s="824">
        <f>'Recycling - Case 1'!AK126/B116</f>
        <v>246.26610540050311</v>
      </c>
      <c r="D116" s="826">
        <f>'Recycling - Case 1'!AM126</f>
        <v>0.13138796209076414</v>
      </c>
      <c r="E116" s="826">
        <f>'Recycling - Case 1'!BE126</f>
        <v>0.18733568253520427</v>
      </c>
      <c r="F116" s="826">
        <f>'Recycling - Case 1'!BF126</f>
        <v>0.23759232661590252</v>
      </c>
      <c r="G116" s="826">
        <f>'Recycling - Case 1'!BG126</f>
        <v>7.447169942802806E-2</v>
      </c>
      <c r="H116" s="826">
        <f>'Recycling - Case 1'!BH126</f>
        <v>0</v>
      </c>
      <c r="I116" s="826">
        <f>'Recycling - Case 1'!BI126</f>
        <v>0</v>
      </c>
      <c r="J116" s="826">
        <f>'Recycling - Case 1'!BJ126</f>
        <v>0</v>
      </c>
      <c r="K116" s="826">
        <f>'Recycling - Case 1'!BK126</f>
        <v>0.50060029142086504</v>
      </c>
      <c r="L116" s="827">
        <f t="shared" si="100"/>
        <v>0.99999999999999989</v>
      </c>
      <c r="M116" s="104"/>
      <c r="N116" s="838">
        <f t="shared" si="57"/>
        <v>2395.9667686215707</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0.10540749747467237</v>
      </c>
      <c r="Q116" s="832">
        <f t="shared" si="62"/>
        <v>122.86696693141474</v>
      </c>
      <c r="R116" s="832">
        <f t="shared" si="63"/>
        <v>122.86696693141474</v>
      </c>
      <c r="S116" s="835">
        <f t="shared" si="64"/>
        <v>0</v>
      </c>
      <c r="T116" s="832">
        <f>R116+(T115*$C$8)</f>
        <v>6676.3212731606836</v>
      </c>
      <c r="U116" s="832">
        <f t="shared" si="66"/>
        <v>336.00278733055058</v>
      </c>
      <c r="V116" s="839">
        <f t="shared" si="67"/>
        <v>224.00185822036704</v>
      </c>
      <c r="W116" s="1447"/>
      <c r="X116" s="1025">
        <f>'Recycling - Case 1'!AM166</f>
        <v>745.70806461354016</v>
      </c>
      <c r="Y116" s="1026">
        <f>Parameters!S217</f>
        <v>0.71500000000000008</v>
      </c>
      <c r="Z116" s="1027">
        <f t="shared" si="68"/>
        <v>0.4</v>
      </c>
      <c r="AA116" s="1028">
        <f t="shared" si="69"/>
        <v>106.63625323973626</v>
      </c>
      <c r="AB116" s="1028">
        <f t="shared" si="70"/>
        <v>106.63625323973626</v>
      </c>
      <c r="AC116" s="1029">
        <f t="shared" si="71"/>
        <v>0</v>
      </c>
      <c r="AD116" s="1028">
        <f t="shared" si="72"/>
        <v>3607.5448598999023</v>
      </c>
      <c r="AE116" s="1028">
        <f t="shared" si="73"/>
        <v>179.4954225757254</v>
      </c>
      <c r="AF116" s="1030">
        <f t="shared" si="74"/>
        <v>119.6636150504836</v>
      </c>
      <c r="AG116" s="104"/>
      <c r="AH116" s="1025">
        <f>'Recycling - Case 1'!AM206</f>
        <v>745.70806461354016</v>
      </c>
      <c r="AI116" s="1026">
        <f>Parameters!S217</f>
        <v>0.71500000000000008</v>
      </c>
      <c r="AJ116" s="1027">
        <f t="shared" si="75"/>
        <v>0.4</v>
      </c>
      <c r="AK116" s="1028">
        <f t="shared" si="76"/>
        <v>106.63625323973626</v>
      </c>
      <c r="AL116" s="1028">
        <f t="shared" si="77"/>
        <v>106.63625323973626</v>
      </c>
      <c r="AM116" s="1029">
        <f t="shared" si="78"/>
        <v>0</v>
      </c>
      <c r="AN116" s="1028">
        <f t="shared" si="79"/>
        <v>3607.5448598999023</v>
      </c>
      <c r="AO116" s="1028">
        <f t="shared" si="80"/>
        <v>179.4954225757254</v>
      </c>
      <c r="AP116" s="1030">
        <f t="shared" si="81"/>
        <v>119.6636150504836</v>
      </c>
      <c r="AQ116" s="104"/>
      <c r="AR116" s="1064">
        <f>'Recycling - Case 1'!G126</f>
        <v>811.01507906253039</v>
      </c>
      <c r="AS116" s="1065">
        <v>1</v>
      </c>
      <c r="AT116" s="1066">
        <f t="shared" si="82"/>
        <v>0.05</v>
      </c>
      <c r="AU116" s="1044">
        <f t="shared" si="83"/>
        <v>20.275376976563262</v>
      </c>
      <c r="AV116" s="1044">
        <f t="shared" si="84"/>
        <v>20.275376976563262</v>
      </c>
      <c r="AW116" s="1045">
        <f t="shared" si="85"/>
        <v>0</v>
      </c>
      <c r="AX116" s="1044">
        <f t="shared" si="51"/>
        <v>275.80129996367879</v>
      </c>
      <c r="AY116" s="1044">
        <f t="shared" si="54"/>
        <v>15.800840630338746</v>
      </c>
      <c r="AZ116" s="1067">
        <f t="shared" si="52"/>
        <v>10.533893753559164</v>
      </c>
      <c r="BB116" s="1055">
        <f t="shared" si="86"/>
        <v>224.00185822036704</v>
      </c>
      <c r="BC116" s="1056">
        <f t="shared" si="87"/>
        <v>119.6636150504836</v>
      </c>
      <c r="BD116" s="1082">
        <f t="shared" si="101"/>
        <v>10.533893753559164</v>
      </c>
      <c r="BE116" s="1056">
        <f t="shared" si="60"/>
        <v>354.19936702440975</v>
      </c>
      <c r="BF116" s="167">
        <v>0</v>
      </c>
      <c r="BG116" s="1075">
        <f t="shared" si="88"/>
        <v>354.19936702440975</v>
      </c>
      <c r="BI116" s="1055">
        <f t="shared" si="89"/>
        <v>224.00185822036704</v>
      </c>
      <c r="BJ116" s="1056">
        <f t="shared" si="90"/>
        <v>119.6636150504836</v>
      </c>
      <c r="BK116" s="1082">
        <f t="shared" si="91"/>
        <v>10.533893753559164</v>
      </c>
      <c r="BL116" s="1056">
        <f t="shared" si="61"/>
        <v>354.19936702440975</v>
      </c>
      <c r="BM116" s="167">
        <v>0</v>
      </c>
      <c r="BN116" s="1075">
        <f t="shared" si="92"/>
        <v>354.19936702440975</v>
      </c>
    </row>
    <row r="117" spans="1:66">
      <c r="A117" s="927">
        <f>'Input data'!A147</f>
        <v>2047</v>
      </c>
      <c r="B117" s="824">
        <f>'Input data'!B147</f>
        <v>74.438425238522782</v>
      </c>
      <c r="C117" s="824">
        <f>'Recycling - Case 1'!AK127/B117</f>
        <v>242.586526595067</v>
      </c>
      <c r="D117" s="826">
        <f>'Recycling - Case 1'!AM127</f>
        <v>0.12342651673732946</v>
      </c>
      <c r="E117" s="826">
        <f>'Recycling - Case 1'!BE127</f>
        <v>0.18768285578546989</v>
      </c>
      <c r="F117" s="826">
        <f>'Recycling - Case 1'!BF127</f>
        <v>0.23803263622031495</v>
      </c>
      <c r="G117" s="826">
        <f>'Recycling - Case 1'!BG127</f>
        <v>7.4369720567308867E-2</v>
      </c>
      <c r="H117" s="826">
        <f>'Recycling - Case 1'!BH127</f>
        <v>0</v>
      </c>
      <c r="I117" s="826">
        <f>'Recycling - Case 1'!BI127</f>
        <v>0</v>
      </c>
      <c r="J117" s="826">
        <f>'Recycling - Case 1'!BJ127</f>
        <v>0</v>
      </c>
      <c r="K117" s="826">
        <f>'Recycling - Case 1'!BK127</f>
        <v>0.49991478742690643</v>
      </c>
      <c r="L117" s="827">
        <f t="shared" si="100"/>
        <v>1</v>
      </c>
      <c r="M117" s="104"/>
      <c r="N117" s="838">
        <f t="shared" si="57"/>
        <v>2228.8062963921584</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0.10550684383880703</v>
      </c>
      <c r="Q117" s="832">
        <f t="shared" si="62"/>
        <v>115.19622146186214</v>
      </c>
      <c r="R117" s="832">
        <f t="shared" si="63"/>
        <v>115.19622146186214</v>
      </c>
      <c r="S117" s="835">
        <f t="shared" si="64"/>
        <v>0</v>
      </c>
      <c r="T117" s="832">
        <f t="shared" ref="T117:T120" si="102">R117+(T116*$C$8)</f>
        <v>6465.9094639123741</v>
      </c>
      <c r="U117" s="832">
        <f t="shared" si="66"/>
        <v>325.60803071017227</v>
      </c>
      <c r="V117" s="839">
        <f t="shared" si="67"/>
        <v>217.07202047344819</v>
      </c>
      <c r="W117" s="1447"/>
      <c r="X117" s="1025">
        <f>'Recycling - Case 1'!AM167</f>
        <v>729.21074182900941</v>
      </c>
      <c r="Y117" s="1026">
        <f>Parameters!S218</f>
        <v>0.71500000000000008</v>
      </c>
      <c r="Z117" s="1027">
        <f t="shared" si="68"/>
        <v>0.4</v>
      </c>
      <c r="AA117" s="1028">
        <f t="shared" si="69"/>
        <v>104.27713608154835</v>
      </c>
      <c r="AB117" s="1028">
        <f t="shared" si="70"/>
        <v>104.27713608154835</v>
      </c>
      <c r="AC117" s="1029">
        <f t="shared" si="71"/>
        <v>0</v>
      </c>
      <c r="AD117" s="1028">
        <f t="shared" si="72"/>
        <v>3535.879957024641</v>
      </c>
      <c r="AE117" s="1028">
        <f t="shared" si="73"/>
        <v>175.94203895680926</v>
      </c>
      <c r="AF117" s="1030">
        <f t="shared" si="74"/>
        <v>117.29469263787284</v>
      </c>
      <c r="AG117" s="104"/>
      <c r="AH117" s="1025">
        <f>'Recycling - Case 1'!AM207</f>
        <v>729.21074182900941</v>
      </c>
      <c r="AI117" s="1026">
        <f>Parameters!S218</f>
        <v>0.71500000000000008</v>
      </c>
      <c r="AJ117" s="1027">
        <f t="shared" si="75"/>
        <v>0.4</v>
      </c>
      <c r="AK117" s="1028">
        <f t="shared" si="76"/>
        <v>104.27713608154835</v>
      </c>
      <c r="AL117" s="1028">
        <f t="shared" si="77"/>
        <v>104.27713608154835</v>
      </c>
      <c r="AM117" s="1029">
        <f t="shared" si="78"/>
        <v>0</v>
      </c>
      <c r="AN117" s="1028">
        <f t="shared" si="79"/>
        <v>3535.879957024641</v>
      </c>
      <c r="AO117" s="1028">
        <f t="shared" si="80"/>
        <v>175.94203895680926</v>
      </c>
      <c r="AP117" s="1030">
        <f t="shared" si="81"/>
        <v>117.29469263787284</v>
      </c>
      <c r="AQ117" s="104"/>
      <c r="AR117" s="1064">
        <f>'Recycling - Case 1'!G127</f>
        <v>820.63865742721498</v>
      </c>
      <c r="AS117" s="1065">
        <v>1</v>
      </c>
      <c r="AT117" s="1066">
        <f t="shared" si="82"/>
        <v>0.05</v>
      </c>
      <c r="AU117" s="1044">
        <f t="shared" si="83"/>
        <v>20.515966435680376</v>
      </c>
      <c r="AV117" s="1044">
        <f t="shared" si="84"/>
        <v>20.515966435680376</v>
      </c>
      <c r="AW117" s="1045">
        <f t="shared" si="85"/>
        <v>0</v>
      </c>
      <c r="AX117" s="1044">
        <f t="shared" si="51"/>
        <v>280.25584905790379</v>
      </c>
      <c r="AY117" s="1044">
        <f t="shared" si="54"/>
        <v>16.06141734145536</v>
      </c>
      <c r="AZ117" s="1067">
        <f t="shared" si="52"/>
        <v>10.707611560970241</v>
      </c>
      <c r="BB117" s="1055">
        <f t="shared" si="86"/>
        <v>217.07202047344819</v>
      </c>
      <c r="BC117" s="1056">
        <f t="shared" si="87"/>
        <v>117.29469263787284</v>
      </c>
      <c r="BD117" s="1082">
        <f t="shared" si="101"/>
        <v>10.707611560970241</v>
      </c>
      <c r="BE117" s="1056">
        <f t="shared" si="60"/>
        <v>345.07432467229125</v>
      </c>
      <c r="BF117" s="167">
        <v>0</v>
      </c>
      <c r="BG117" s="1075">
        <f t="shared" si="88"/>
        <v>345.07432467229125</v>
      </c>
      <c r="BI117" s="1055">
        <f t="shared" si="89"/>
        <v>217.07202047344819</v>
      </c>
      <c r="BJ117" s="1056">
        <f t="shared" si="90"/>
        <v>117.29469263787284</v>
      </c>
      <c r="BK117" s="1082">
        <f t="shared" si="91"/>
        <v>10.707611560970241</v>
      </c>
      <c r="BL117" s="1056">
        <f t="shared" si="61"/>
        <v>345.07432467229125</v>
      </c>
      <c r="BM117" s="167">
        <v>0</v>
      </c>
      <c r="BN117" s="1075">
        <f t="shared" si="92"/>
        <v>345.07432467229125</v>
      </c>
    </row>
    <row r="118" spans="1:66">
      <c r="A118" s="927">
        <f>'Input data'!A148</f>
        <v>2048</v>
      </c>
      <c r="B118" s="824">
        <f>'Input data'!B148</f>
        <v>74.813195848926668</v>
      </c>
      <c r="C118" s="824">
        <f>'Recycling - Case 1'!AK128/B118</f>
        <v>241.94109356222521</v>
      </c>
      <c r="D118" s="826">
        <f>'Recycling - Case 1'!AM128</f>
        <v>0.1231358405890868</v>
      </c>
      <c r="E118" s="826">
        <f>'Recycling - Case 1'!BE128</f>
        <v>0.18801286778837473</v>
      </c>
      <c r="F118" s="826">
        <f>'Recycling - Case 1'!BF128</f>
        <v>0.2384511807203282</v>
      </c>
      <c r="G118" s="826">
        <f>'Recycling - Case 1'!BG128</f>
        <v>7.4272782660790501E-2</v>
      </c>
      <c r="H118" s="826">
        <f>'Recycling - Case 1'!BH128</f>
        <v>0</v>
      </c>
      <c r="I118" s="826">
        <f>'Recycling - Case 1'!BI128</f>
        <v>0</v>
      </c>
      <c r="J118" s="826">
        <f>'Recycling - Case 1'!BJ128</f>
        <v>0</v>
      </c>
      <c r="K118" s="826">
        <f>'Recycling - Case 1'!BK128</f>
        <v>0.49926316883050637</v>
      </c>
      <c r="L118" s="827">
        <f t="shared" si="100"/>
        <v>0.99999999999999978</v>
      </c>
      <c r="M118" s="104"/>
      <c r="N118" s="838">
        <f t="shared" si="57"/>
        <v>2228.8062963921584</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0.10560127937663805</v>
      </c>
      <c r="Q118" s="832">
        <f t="shared" si="62"/>
        <v>116.09368581528256</v>
      </c>
      <c r="R118" s="832">
        <f t="shared" si="63"/>
        <v>116.09368581528256</v>
      </c>
      <c r="S118" s="835">
        <f t="shared" si="64"/>
        <v>0</v>
      </c>
      <c r="T118" s="832">
        <f t="shared" si="102"/>
        <v>6266.6570240463707</v>
      </c>
      <c r="U118" s="832">
        <f t="shared" si="66"/>
        <v>315.3461256812862</v>
      </c>
      <c r="V118" s="839">
        <f t="shared" si="67"/>
        <v>210.2307504541908</v>
      </c>
      <c r="W118" s="1447"/>
      <c r="X118" s="1025">
        <f>'Recycling - Case 1'!AM168</f>
        <v>714.56876864293201</v>
      </c>
      <c r="Y118" s="1026">
        <f>Parameters!S219</f>
        <v>0.71500000000000008</v>
      </c>
      <c r="Z118" s="1027">
        <f t="shared" si="68"/>
        <v>0.4</v>
      </c>
      <c r="AA118" s="1028">
        <f t="shared" si="69"/>
        <v>102.1833339159393</v>
      </c>
      <c r="AB118" s="1028">
        <f t="shared" si="70"/>
        <v>102.1833339159393</v>
      </c>
      <c r="AC118" s="1029">
        <f t="shared" si="71"/>
        <v>0</v>
      </c>
      <c r="AD118" s="1028">
        <f t="shared" si="72"/>
        <v>3465.6163905400981</v>
      </c>
      <c r="AE118" s="1028">
        <f t="shared" si="73"/>
        <v>172.44690040048235</v>
      </c>
      <c r="AF118" s="1030">
        <f t="shared" si="74"/>
        <v>114.96460026698823</v>
      </c>
      <c r="AG118" s="104"/>
      <c r="AH118" s="1025">
        <f>'Recycling - Case 1'!AM208</f>
        <v>714.56876864293201</v>
      </c>
      <c r="AI118" s="1026">
        <f>Parameters!S219</f>
        <v>0.71500000000000008</v>
      </c>
      <c r="AJ118" s="1027">
        <f t="shared" si="75"/>
        <v>0.4</v>
      </c>
      <c r="AK118" s="1028">
        <f t="shared" si="76"/>
        <v>102.1833339159393</v>
      </c>
      <c r="AL118" s="1028">
        <f t="shared" si="77"/>
        <v>102.1833339159393</v>
      </c>
      <c r="AM118" s="1029">
        <f t="shared" si="78"/>
        <v>0</v>
      </c>
      <c r="AN118" s="1028">
        <f t="shared" si="79"/>
        <v>3465.6163905400981</v>
      </c>
      <c r="AO118" s="1028">
        <f t="shared" si="80"/>
        <v>172.44690040048235</v>
      </c>
      <c r="AP118" s="1030">
        <f t="shared" si="81"/>
        <v>114.96460026698823</v>
      </c>
      <c r="AQ118" s="104"/>
      <c r="AR118" s="1064">
        <f>'Recycling - Case 1'!G128</f>
        <v>830.15827926708346</v>
      </c>
      <c r="AS118" s="1065">
        <v>1</v>
      </c>
      <c r="AT118" s="1066">
        <f t="shared" si="82"/>
        <v>0.05</v>
      </c>
      <c r="AU118" s="1044">
        <f t="shared" si="83"/>
        <v>20.753956981677089</v>
      </c>
      <c r="AV118" s="1044">
        <f t="shared" si="84"/>
        <v>20.753956981677089</v>
      </c>
      <c r="AW118" s="1045">
        <f t="shared" si="85"/>
        <v>0</v>
      </c>
      <c r="AX118" s="1044">
        <f t="shared" si="51"/>
        <v>284.68897595395146</v>
      </c>
      <c r="AY118" s="1044">
        <f t="shared" si="54"/>
        <v>16.320830085629417</v>
      </c>
      <c r="AZ118" s="1067">
        <f t="shared" si="52"/>
        <v>10.880553390419612</v>
      </c>
      <c r="BB118" s="1055">
        <f t="shared" si="86"/>
        <v>210.2307504541908</v>
      </c>
      <c r="BC118" s="1056">
        <f t="shared" si="87"/>
        <v>114.96460026698823</v>
      </c>
      <c r="BD118" s="1082">
        <f t="shared" si="101"/>
        <v>10.880553390419612</v>
      </c>
      <c r="BE118" s="1056">
        <f t="shared" si="60"/>
        <v>336.07590411159862</v>
      </c>
      <c r="BF118" s="167">
        <v>0</v>
      </c>
      <c r="BG118" s="1075">
        <f t="shared" si="88"/>
        <v>336.07590411159862</v>
      </c>
      <c r="BI118" s="1055">
        <f t="shared" si="89"/>
        <v>210.2307504541908</v>
      </c>
      <c r="BJ118" s="1056">
        <f t="shared" si="90"/>
        <v>114.96460026698823</v>
      </c>
      <c r="BK118" s="1082">
        <f t="shared" si="91"/>
        <v>10.880553390419612</v>
      </c>
      <c r="BL118" s="1056">
        <f t="shared" si="61"/>
        <v>336.07590411159862</v>
      </c>
      <c r="BM118" s="167">
        <v>0</v>
      </c>
      <c r="BN118" s="1075">
        <f t="shared" si="92"/>
        <v>336.07590411159862</v>
      </c>
    </row>
    <row r="119" spans="1:66">
      <c r="A119" s="927">
        <f>'Input data'!A149</f>
        <v>2049</v>
      </c>
      <c r="B119" s="824">
        <f>'Input data'!B149</f>
        <v>75.173102421925719</v>
      </c>
      <c r="C119" s="824">
        <f>'Recycling - Case 1'!AK129/B119</f>
        <v>241.32746748330089</v>
      </c>
      <c r="D119" s="826">
        <f>'Recycling - Case 1'!AM129</f>
        <v>0.12285790248505077</v>
      </c>
      <c r="E119" s="826">
        <f>'Recycling - Case 1'!BE129</f>
        <v>0.18832589655467416</v>
      </c>
      <c r="F119" s="826">
        <f>'Recycling - Case 1'!BF129</f>
        <v>0.23884818588173842</v>
      </c>
      <c r="G119" s="826">
        <f>'Recycling - Case 1'!BG129</f>
        <v>7.4180833419496314E-2</v>
      </c>
      <c r="H119" s="826">
        <f>'Recycling - Case 1'!BH129</f>
        <v>0</v>
      </c>
      <c r="I119" s="826">
        <f>'Recycling - Case 1'!BI129</f>
        <v>0</v>
      </c>
      <c r="J119" s="826">
        <f>'Recycling - Case 1'!BJ129</f>
        <v>0</v>
      </c>
      <c r="K119" s="826">
        <f>'Recycling - Case 1'!BK129</f>
        <v>0.49864508414409087</v>
      </c>
      <c r="L119" s="827">
        <f t="shared" si="100"/>
        <v>0.99999999999999978</v>
      </c>
      <c r="M119" s="104"/>
      <c r="N119" s="838">
        <f t="shared" si="57"/>
        <v>2228.8062963921584</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0.10569085502734733</v>
      </c>
      <c r="Q119" s="832">
        <f t="shared" si="62"/>
        <v>116.98719158235971</v>
      </c>
      <c r="R119" s="832">
        <f t="shared" si="63"/>
        <v>116.98719158235971</v>
      </c>
      <c r="S119" s="835">
        <f t="shared" si="64"/>
        <v>0</v>
      </c>
      <c r="T119" s="832">
        <f t="shared" si="102"/>
        <v>6078.0157461093459</v>
      </c>
      <c r="U119" s="832">
        <f t="shared" si="66"/>
        <v>305.62846951938434</v>
      </c>
      <c r="V119" s="839">
        <f t="shared" si="67"/>
        <v>203.75231301292288</v>
      </c>
      <c r="W119" s="1447"/>
      <c r="X119" s="1025">
        <f>'Recycling - Case 1'!AM169</f>
        <v>702.35704385622523</v>
      </c>
      <c r="Y119" s="1026">
        <f>Parameters!S220</f>
        <v>0.71500000000000008</v>
      </c>
      <c r="Z119" s="1027">
        <f t="shared" si="68"/>
        <v>0.4</v>
      </c>
      <c r="AA119" s="1028">
        <f t="shared" si="69"/>
        <v>100.43705727144022</v>
      </c>
      <c r="AB119" s="1028">
        <f t="shared" si="70"/>
        <v>100.43705727144022</v>
      </c>
      <c r="AC119" s="1029">
        <f t="shared" si="71"/>
        <v>0</v>
      </c>
      <c r="AD119" s="1028">
        <f t="shared" si="72"/>
        <v>3397.0333419851395</v>
      </c>
      <c r="AE119" s="1028">
        <f t="shared" si="73"/>
        <v>169.02010582639883</v>
      </c>
      <c r="AF119" s="1030">
        <f t="shared" si="74"/>
        <v>112.68007055093256</v>
      </c>
      <c r="AG119" s="104"/>
      <c r="AH119" s="1025">
        <f>'Recycling - Case 1'!AM209</f>
        <v>702.35704385622523</v>
      </c>
      <c r="AI119" s="1026">
        <f>Parameters!S220</f>
        <v>0.71500000000000008</v>
      </c>
      <c r="AJ119" s="1027">
        <f t="shared" si="75"/>
        <v>0.4</v>
      </c>
      <c r="AK119" s="1028">
        <f t="shared" si="76"/>
        <v>100.43705727144022</v>
      </c>
      <c r="AL119" s="1028">
        <f t="shared" si="77"/>
        <v>100.43705727144022</v>
      </c>
      <c r="AM119" s="1029">
        <f t="shared" si="78"/>
        <v>0</v>
      </c>
      <c r="AN119" s="1028">
        <f t="shared" si="79"/>
        <v>3397.0333419851395</v>
      </c>
      <c r="AO119" s="1028">
        <f t="shared" si="80"/>
        <v>169.02010582639883</v>
      </c>
      <c r="AP119" s="1030">
        <f t="shared" si="81"/>
        <v>112.68007055093256</v>
      </c>
      <c r="AQ119" s="104"/>
      <c r="AR119" s="1064">
        <f>'Recycling - Case 1'!G129</f>
        <v>839.56587459545926</v>
      </c>
      <c r="AS119" s="1065">
        <v>1</v>
      </c>
      <c r="AT119" s="1066">
        <f t="shared" si="82"/>
        <v>0.05</v>
      </c>
      <c r="AU119" s="1044">
        <f t="shared" si="83"/>
        <v>20.989146864886482</v>
      </c>
      <c r="AV119" s="1044">
        <f t="shared" si="84"/>
        <v>20.989146864886482</v>
      </c>
      <c r="AW119" s="1045">
        <f t="shared" si="85"/>
        <v>0</v>
      </c>
      <c r="AX119" s="1044">
        <f t="shared" si="51"/>
        <v>289.099127520737</v>
      </c>
      <c r="AY119" s="1044">
        <f t="shared" si="54"/>
        <v>16.578995298100963</v>
      </c>
      <c r="AZ119" s="1067">
        <f t="shared" si="52"/>
        <v>11.052663532067308</v>
      </c>
      <c r="BB119" s="1055">
        <f t="shared" si="86"/>
        <v>203.75231301292288</v>
      </c>
      <c r="BC119" s="1056">
        <f t="shared" si="87"/>
        <v>112.68007055093256</v>
      </c>
      <c r="BD119" s="1082">
        <f t="shared" si="101"/>
        <v>11.052663532067308</v>
      </c>
      <c r="BE119" s="1056">
        <f t="shared" si="60"/>
        <v>327.48504709592271</v>
      </c>
      <c r="BF119" s="167">
        <v>0</v>
      </c>
      <c r="BG119" s="1075">
        <f t="shared" si="88"/>
        <v>327.48504709592271</v>
      </c>
      <c r="BI119" s="1055">
        <f t="shared" si="89"/>
        <v>203.75231301292288</v>
      </c>
      <c r="BJ119" s="1056">
        <f t="shared" si="90"/>
        <v>112.68007055093256</v>
      </c>
      <c r="BK119" s="1082">
        <f t="shared" si="91"/>
        <v>11.052663532067308</v>
      </c>
      <c r="BL119" s="1056">
        <f t="shared" si="61"/>
        <v>327.48504709592271</v>
      </c>
      <c r="BM119" s="167">
        <v>0</v>
      </c>
      <c r="BN119" s="1075">
        <f t="shared" si="92"/>
        <v>327.48504709592271</v>
      </c>
    </row>
    <row r="120" spans="1:66" ht="15.75" thickBot="1">
      <c r="A120" s="928">
        <f>'Input data'!A150</f>
        <v>2050</v>
      </c>
      <c r="B120" s="828">
        <f>'Input data'!B150</f>
        <v>75.517908954390194</v>
      </c>
      <c r="C120" s="828">
        <f>'Recycling - Case 1'!AK130/B120</f>
        <v>240.74520729855877</v>
      </c>
      <c r="D120" s="830">
        <f>'Recycling - Case 1'!AM130</f>
        <v>0.12259273096657497</v>
      </c>
      <c r="E120" s="830">
        <f>'Recycling - Case 1'!BE130</f>
        <v>0.18862227746696719</v>
      </c>
      <c r="F120" s="830">
        <f>'Recycling - Case 1'!BF130</f>
        <v>0.23922407706041449</v>
      </c>
      <c r="G120" s="830">
        <f>'Recycling - Case 1'!BG130</f>
        <v>7.409377432795787E-2</v>
      </c>
      <c r="H120" s="830">
        <f>'Recycling - Case 1'!BH130</f>
        <v>0</v>
      </c>
      <c r="I120" s="830">
        <f>'Recycling - Case 1'!BI130</f>
        <v>0</v>
      </c>
      <c r="J120" s="830">
        <f>'Recycling - Case 1'!BJ130</f>
        <v>0</v>
      </c>
      <c r="K120" s="830">
        <f>'Recycling - Case 1'!BK130</f>
        <v>0.49805987114466022</v>
      </c>
      <c r="L120" s="831">
        <f t="shared" si="100"/>
        <v>0.99999999999999978</v>
      </c>
      <c r="M120" s="104"/>
      <c r="N120" s="840">
        <f t="shared" si="57"/>
        <v>2228.8062963921584</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0.10577566676331113</v>
      </c>
      <c r="Q120" s="843">
        <f t="shared" si="62"/>
        <v>117.8767360435733</v>
      </c>
      <c r="R120" s="843">
        <f t="shared" si="63"/>
        <v>117.8767360435733</v>
      </c>
      <c r="S120" s="844">
        <f t="shared" si="64"/>
        <v>0</v>
      </c>
      <c r="T120" s="843">
        <f t="shared" si="102"/>
        <v>5899.4641563214445</v>
      </c>
      <c r="U120" s="843">
        <f t="shared" si="66"/>
        <v>296.42832583147487</v>
      </c>
      <c r="V120" s="845">
        <f t="shared" si="67"/>
        <v>197.6188838876499</v>
      </c>
      <c r="W120" s="1447"/>
      <c r="X120" s="1031">
        <f>'Recycling - Case 1'!AM170</f>
        <v>691.99365541432974</v>
      </c>
      <c r="Y120" s="1032">
        <f>Parameters!S221</f>
        <v>0.71500000000000008</v>
      </c>
      <c r="Z120" s="1033">
        <f t="shared" si="68"/>
        <v>0.4</v>
      </c>
      <c r="AA120" s="1034">
        <f t="shared" si="69"/>
        <v>98.95509272424917</v>
      </c>
      <c r="AB120" s="1034">
        <f t="shared" si="70"/>
        <v>98.95509272424917</v>
      </c>
      <c r="AC120" s="1035">
        <f t="shared" si="71"/>
        <v>0</v>
      </c>
      <c r="AD120" s="1034">
        <f t="shared" si="72"/>
        <v>3330.3131636305106</v>
      </c>
      <c r="AE120" s="1034">
        <f t="shared" si="73"/>
        <v>165.67527107887804</v>
      </c>
      <c r="AF120" s="1036">
        <f t="shared" si="74"/>
        <v>110.45018071925203</v>
      </c>
      <c r="AG120" s="104"/>
      <c r="AH120" s="1031">
        <f>'Recycling - Case 1'!AM210</f>
        <v>691.99365541432974</v>
      </c>
      <c r="AI120" s="1032">
        <f>Parameters!S221</f>
        <v>0.71500000000000008</v>
      </c>
      <c r="AJ120" s="1033">
        <f t="shared" si="75"/>
        <v>0.4</v>
      </c>
      <c r="AK120" s="1034">
        <f t="shared" si="76"/>
        <v>98.95509272424917</v>
      </c>
      <c r="AL120" s="1034">
        <f t="shared" si="77"/>
        <v>98.95509272424917</v>
      </c>
      <c r="AM120" s="1035">
        <f t="shared" si="78"/>
        <v>0</v>
      </c>
      <c r="AN120" s="1034">
        <f t="shared" si="79"/>
        <v>3330.3131636305106</v>
      </c>
      <c r="AO120" s="1034">
        <f t="shared" si="80"/>
        <v>165.67527107887804</v>
      </c>
      <c r="AP120" s="1036">
        <f t="shared" si="81"/>
        <v>110.45018071925203</v>
      </c>
      <c r="AQ120" s="104"/>
      <c r="AR120" s="1068">
        <f>'Recycling - Case 1'!G130</f>
        <v>848.85557913235698</v>
      </c>
      <c r="AS120" s="1069">
        <f>Parameters!R221</f>
        <v>1</v>
      </c>
      <c r="AT120" s="1070">
        <f t="shared" si="82"/>
        <v>0.05</v>
      </c>
      <c r="AU120" s="1049">
        <f t="shared" si="83"/>
        <v>21.221389478308925</v>
      </c>
      <c r="AV120" s="1049">
        <f t="shared" si="84"/>
        <v>21.221389478308925</v>
      </c>
      <c r="AW120" s="1050">
        <f t="shared" si="85"/>
        <v>0</v>
      </c>
      <c r="AX120" s="1049">
        <f t="shared" si="51"/>
        <v>293.48469446748908</v>
      </c>
      <c r="AY120" s="1049">
        <f t="shared" si="54"/>
        <v>16.835822531556875</v>
      </c>
      <c r="AZ120" s="1071">
        <f t="shared" si="52"/>
        <v>11.223881687704583</v>
      </c>
      <c r="BB120" s="1057">
        <f t="shared" si="86"/>
        <v>197.6188838876499</v>
      </c>
      <c r="BC120" s="1058">
        <f t="shared" si="87"/>
        <v>110.45018071925203</v>
      </c>
      <c r="BD120" s="1083">
        <f t="shared" si="101"/>
        <v>11.223881687704583</v>
      </c>
      <c r="BE120" s="1058">
        <f t="shared" si="60"/>
        <v>319.29294629460651</v>
      </c>
      <c r="BF120" s="1059">
        <v>0</v>
      </c>
      <c r="BG120" s="1076">
        <f t="shared" si="88"/>
        <v>319.29294629460651</v>
      </c>
      <c r="BI120" s="1057">
        <f t="shared" si="89"/>
        <v>197.6188838876499</v>
      </c>
      <c r="BJ120" s="1058">
        <f t="shared" si="90"/>
        <v>110.45018071925203</v>
      </c>
      <c r="BK120" s="1083">
        <f t="shared" si="91"/>
        <v>11.223881687704583</v>
      </c>
      <c r="BL120" s="1058">
        <f t="shared" si="61"/>
        <v>319.29294629460651</v>
      </c>
      <c r="BM120" s="1059">
        <v>0</v>
      </c>
      <c r="BN120" s="1076">
        <f t="shared" si="92"/>
        <v>319.29294629460651</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439" t="s">
        <v>315</v>
      </c>
      <c r="E1" s="1172" t="s">
        <v>320</v>
      </c>
      <c r="F1" s="104"/>
      <c r="G1" s="104"/>
    </row>
    <row r="2" spans="1:66">
      <c r="A2" s="150"/>
      <c r="B2" s="99"/>
      <c r="C2" s="99"/>
      <c r="D2" s="104"/>
      <c r="E2" s="130"/>
      <c r="F2" s="104"/>
      <c r="G2" s="104"/>
    </row>
    <row r="3" spans="1:66">
      <c r="A3" s="150" t="s">
        <v>316</v>
      </c>
      <c r="B3" s="99"/>
      <c r="C3" s="99" t="str">
        <f>Parameters!D94</f>
        <v>varies</v>
      </c>
      <c r="D3" s="941">
        <v>0.4</v>
      </c>
      <c r="E3" s="1173">
        <f>Parameters!F94</f>
        <v>0.05</v>
      </c>
      <c r="F3" s="104"/>
      <c r="G3" s="104"/>
    </row>
    <row r="4" spans="1:66">
      <c r="A4" s="150" t="s">
        <v>260</v>
      </c>
      <c r="B4" s="99"/>
      <c r="C4" s="99">
        <f>Parameters!D95</f>
        <v>0.5</v>
      </c>
      <c r="D4" s="99">
        <f>Parameters!E95</f>
        <v>0.5</v>
      </c>
      <c r="E4" s="1173">
        <f>Parameters!F95</f>
        <v>0.5</v>
      </c>
      <c r="F4" s="104"/>
      <c r="G4" s="104"/>
    </row>
    <row r="5" spans="1:66">
      <c r="A5" s="174" t="s">
        <v>257</v>
      </c>
      <c r="B5" s="175"/>
      <c r="C5" s="175">
        <f>Parameters!D96</f>
        <v>0.05</v>
      </c>
      <c r="D5" s="99">
        <f>Parameters!E96</f>
        <v>0.05</v>
      </c>
      <c r="E5" s="1173">
        <f>Parameters!F96</f>
        <v>0.06</v>
      </c>
      <c r="F5" s="104"/>
      <c r="G5" s="104"/>
    </row>
    <row r="6" spans="1:66">
      <c r="A6" s="150" t="s">
        <v>258</v>
      </c>
      <c r="B6" s="107" t="s">
        <v>211</v>
      </c>
      <c r="C6" s="107">
        <f>Parameters!D97</f>
        <v>13.862943611198904</v>
      </c>
      <c r="D6" s="106">
        <f>Parameters!E97</f>
        <v>13.862943611198904</v>
      </c>
      <c r="E6" s="1174">
        <f>Parameters!F97</f>
        <v>11.552453009332423</v>
      </c>
      <c r="F6" s="104"/>
      <c r="G6" s="104"/>
    </row>
    <row r="7" spans="1:66">
      <c r="A7" s="150" t="s">
        <v>255</v>
      </c>
      <c r="B7" s="107" t="s">
        <v>256</v>
      </c>
      <c r="C7" s="107">
        <f>Parameters!D98</f>
        <v>6</v>
      </c>
      <c r="D7" s="99">
        <f>Parameters!E98</f>
        <v>6</v>
      </c>
      <c r="E7" s="1173">
        <f>Parameters!F98</f>
        <v>6</v>
      </c>
      <c r="F7" s="104"/>
      <c r="G7" s="104"/>
    </row>
    <row r="8" spans="1:66">
      <c r="A8" s="151" t="s">
        <v>248</v>
      </c>
      <c r="B8" s="108" t="s">
        <v>249</v>
      </c>
      <c r="C8" s="108">
        <f>Parameters!D99</f>
        <v>0.95122942450071402</v>
      </c>
      <c r="D8" s="158">
        <f>Parameters!E99</f>
        <v>0.95122942450071402</v>
      </c>
      <c r="E8" s="1175">
        <f>Parameters!F99</f>
        <v>0.94176453358424872</v>
      </c>
      <c r="F8" s="104"/>
      <c r="G8" s="104"/>
    </row>
    <row r="9" spans="1:66">
      <c r="A9" s="151" t="s">
        <v>250</v>
      </c>
      <c r="B9" s="108" t="s">
        <v>251</v>
      </c>
      <c r="C9" s="108">
        <f>Parameters!D100</f>
        <v>13</v>
      </c>
      <c r="D9" s="99">
        <f>Parameters!E100</f>
        <v>13</v>
      </c>
      <c r="E9" s="1173">
        <f>Parameters!F100</f>
        <v>13</v>
      </c>
      <c r="F9" s="104"/>
      <c r="G9" s="104"/>
      <c r="H9" s="561"/>
    </row>
    <row r="10" spans="1:66">
      <c r="A10" s="151" t="s">
        <v>252</v>
      </c>
      <c r="B10" s="108" t="s">
        <v>253</v>
      </c>
      <c r="C10" s="108">
        <f>Parameters!D101</f>
        <v>1</v>
      </c>
      <c r="D10" s="99">
        <f>Parameters!E101</f>
        <v>1</v>
      </c>
      <c r="E10" s="1173">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3">
        <f>Parameters!F102</f>
        <v>0.5</v>
      </c>
      <c r="F11" s="104"/>
      <c r="G11" s="104"/>
      <c r="X11" s="2"/>
      <c r="Y11" s="2"/>
      <c r="Z11" s="2"/>
      <c r="AA11" s="2"/>
      <c r="AB11" s="2"/>
      <c r="AC11" s="2"/>
      <c r="AD11" s="2"/>
      <c r="AE11" s="2"/>
      <c r="AF11" s="2"/>
      <c r="AG11" s="2"/>
      <c r="AH11" s="2"/>
      <c r="AI11" s="2"/>
    </row>
    <row r="12" spans="1:66" ht="15.75" thickBot="1">
      <c r="A12" s="151" t="s">
        <v>729</v>
      </c>
      <c r="B12" s="108">
        <v>2002</v>
      </c>
      <c r="C12" s="108"/>
      <c r="D12" s="1444">
        <f>'Waste Summary 2017 SASOW'!L29</f>
        <v>0.13527885904981399</v>
      </c>
      <c r="E12" s="1173"/>
      <c r="F12" s="104"/>
      <c r="G12" s="104"/>
      <c r="X12" s="2" t="s">
        <v>645</v>
      </c>
      <c r="Y12" s="2"/>
      <c r="Z12" s="2"/>
      <c r="AA12" s="2"/>
      <c r="AB12" s="2"/>
      <c r="AC12" s="2"/>
      <c r="AD12" s="2"/>
      <c r="AE12" s="2"/>
      <c r="AF12" s="2"/>
      <c r="AG12" s="2"/>
      <c r="AH12" s="2" t="s">
        <v>649</v>
      </c>
      <c r="AI12" s="2"/>
      <c r="BB12" s="314" t="s">
        <v>645</v>
      </c>
      <c r="BI12" t="s">
        <v>649</v>
      </c>
    </row>
    <row r="13" spans="1:66" ht="15.75" thickBot="1">
      <c r="A13" s="151" t="s">
        <v>729</v>
      </c>
      <c r="B13" s="108">
        <v>2017</v>
      </c>
      <c r="C13" s="108"/>
      <c r="D13" s="1444">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31" t="s">
        <v>319</v>
      </c>
      <c r="BC13" s="1732"/>
      <c r="BD13" s="1732"/>
      <c r="BE13" s="1732"/>
      <c r="BF13" s="1732"/>
      <c r="BG13" s="1733"/>
      <c r="BI13" s="1731" t="s">
        <v>319</v>
      </c>
      <c r="BJ13" s="1732"/>
      <c r="BK13" s="1732"/>
      <c r="BL13" s="1732"/>
      <c r="BM13" s="1732"/>
      <c r="BN13" s="1733"/>
    </row>
    <row r="14" spans="1:66" ht="15.75" thickBot="1">
      <c r="A14" s="152" t="s">
        <v>728</v>
      </c>
      <c r="B14" s="163"/>
      <c r="C14" s="163"/>
      <c r="D14" s="683">
        <f>'Waste Summary 2017 SASOW'!$L$26</f>
        <v>6.9875113374971584E-2</v>
      </c>
      <c r="E14" s="1445"/>
      <c r="F14" s="10"/>
      <c r="G14" s="10"/>
      <c r="H14" s="10"/>
      <c r="I14" s="10"/>
      <c r="J14" s="10"/>
      <c r="K14" s="10"/>
      <c r="L14" s="10"/>
      <c r="M14" s="10"/>
      <c r="N14" s="231"/>
      <c r="O14" s="10"/>
      <c r="P14" s="10"/>
      <c r="Q14" s="10"/>
      <c r="R14" s="10"/>
      <c r="S14" s="10"/>
      <c r="T14" s="10"/>
      <c r="U14" s="10"/>
      <c r="V14" s="10"/>
      <c r="W14" s="10"/>
      <c r="X14" s="2"/>
      <c r="AG14" s="10"/>
      <c r="AH14" s="2"/>
      <c r="AR14" s="2"/>
      <c r="BB14" s="1186"/>
      <c r="BC14" s="168"/>
      <c r="BD14" s="168"/>
      <c r="BE14" s="168"/>
      <c r="BF14" s="168"/>
      <c r="BG14" s="1187"/>
      <c r="BI14" s="1186"/>
      <c r="BJ14" s="168"/>
      <c r="BK14" s="168"/>
      <c r="BL14" s="168"/>
      <c r="BM14" s="168"/>
      <c r="BN14" s="1187"/>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6"/>
      <c r="BC15" s="168"/>
      <c r="BD15" s="168"/>
      <c r="BE15" s="168"/>
      <c r="BF15" s="168"/>
      <c r="BG15" s="1187"/>
      <c r="BI15" s="1186"/>
      <c r="BJ15" s="168"/>
      <c r="BK15" s="168"/>
      <c r="BL15" s="168"/>
      <c r="BM15" s="168"/>
      <c r="BN15" s="1187"/>
    </row>
    <row r="16" spans="1:66" ht="115.15" customHeight="1">
      <c r="A16" s="1961" t="s">
        <v>217</v>
      </c>
      <c r="B16" s="1964" t="s">
        <v>218</v>
      </c>
      <c r="C16" s="1964" t="s">
        <v>219</v>
      </c>
      <c r="D16" s="1964" t="s">
        <v>220</v>
      </c>
      <c r="E16" s="1961" t="s">
        <v>221</v>
      </c>
      <c r="F16" s="1966" t="s">
        <v>85</v>
      </c>
      <c r="G16" s="1966" t="s">
        <v>87</v>
      </c>
      <c r="H16" s="1966" t="s">
        <v>222</v>
      </c>
      <c r="I16" s="1966" t="s">
        <v>115</v>
      </c>
      <c r="J16" s="1966" t="s">
        <v>223</v>
      </c>
      <c r="K16" s="1966" t="s">
        <v>224</v>
      </c>
      <c r="L16" s="1959" t="s">
        <v>225</v>
      </c>
      <c r="M16" s="294"/>
      <c r="N16" s="213" t="s">
        <v>235</v>
      </c>
      <c r="O16" s="214" t="s">
        <v>22</v>
      </c>
      <c r="P16" s="214" t="s">
        <v>236</v>
      </c>
      <c r="Q16" s="215" t="s">
        <v>237</v>
      </c>
      <c r="R16" s="215" t="s">
        <v>238</v>
      </c>
      <c r="S16" s="215" t="s">
        <v>239</v>
      </c>
      <c r="T16" s="215" t="s">
        <v>240</v>
      </c>
      <c r="U16" s="215" t="s">
        <v>241</v>
      </c>
      <c r="V16" s="221" t="s">
        <v>300</v>
      </c>
      <c r="W16" s="1968" t="s">
        <v>729</v>
      </c>
      <c r="X16" s="213" t="s">
        <v>726</v>
      </c>
      <c r="Y16" s="214" t="s">
        <v>22</v>
      </c>
      <c r="Z16" s="214" t="s">
        <v>236</v>
      </c>
      <c r="AA16" s="215" t="s">
        <v>237</v>
      </c>
      <c r="AB16" s="215" t="s">
        <v>238</v>
      </c>
      <c r="AC16" s="215" t="s">
        <v>239</v>
      </c>
      <c r="AD16" s="215" t="s">
        <v>240</v>
      </c>
      <c r="AE16" s="215" t="s">
        <v>241</v>
      </c>
      <c r="AF16" s="221" t="s">
        <v>300</v>
      </c>
      <c r="AG16" s="1742" t="s">
        <v>729</v>
      </c>
      <c r="AH16" s="1450"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1" t="s">
        <v>267</v>
      </c>
      <c r="BC16" s="1953" t="s">
        <v>315</v>
      </c>
      <c r="BD16" s="1955" t="s">
        <v>320</v>
      </c>
      <c r="BE16" s="1953" t="s">
        <v>225</v>
      </c>
      <c r="BF16" s="1953" t="s">
        <v>321</v>
      </c>
      <c r="BG16" s="1957" t="s">
        <v>322</v>
      </c>
      <c r="BI16" s="1951" t="s">
        <v>267</v>
      </c>
      <c r="BJ16" s="1953" t="s">
        <v>315</v>
      </c>
      <c r="BK16" s="1955" t="s">
        <v>320</v>
      </c>
      <c r="BL16" s="1953" t="s">
        <v>225</v>
      </c>
      <c r="BM16" s="1953" t="s">
        <v>321</v>
      </c>
      <c r="BN16" s="1957" t="s">
        <v>322</v>
      </c>
    </row>
    <row r="17" spans="1:66" ht="24.75">
      <c r="A17" s="1962"/>
      <c r="B17" s="1965"/>
      <c r="C17" s="1965"/>
      <c r="D17" s="1965"/>
      <c r="E17" s="1962"/>
      <c r="F17" s="1967"/>
      <c r="G17" s="1967"/>
      <c r="H17" s="1967"/>
      <c r="I17" s="1967"/>
      <c r="J17" s="1967"/>
      <c r="K17" s="1967"/>
      <c r="L17" s="1960"/>
      <c r="M17" s="295"/>
      <c r="N17" s="222" t="s">
        <v>242</v>
      </c>
      <c r="O17" s="223" t="s">
        <v>22</v>
      </c>
      <c r="P17" s="223" t="s">
        <v>236</v>
      </c>
      <c r="Q17" s="224" t="s">
        <v>243</v>
      </c>
      <c r="R17" s="224" t="s">
        <v>244</v>
      </c>
      <c r="S17" s="224" t="s">
        <v>245</v>
      </c>
      <c r="T17" s="224" t="s">
        <v>301</v>
      </c>
      <c r="U17" s="224" t="s">
        <v>302</v>
      </c>
      <c r="V17" s="225" t="s">
        <v>246</v>
      </c>
      <c r="W17" s="1969"/>
      <c r="X17" s="222" t="s">
        <v>242</v>
      </c>
      <c r="Y17" s="223" t="s">
        <v>22</v>
      </c>
      <c r="Z17" s="223" t="s">
        <v>236</v>
      </c>
      <c r="AA17" s="224" t="s">
        <v>243</v>
      </c>
      <c r="AB17" s="224" t="s">
        <v>244</v>
      </c>
      <c r="AC17" s="224" t="s">
        <v>245</v>
      </c>
      <c r="AD17" s="224" t="s">
        <v>301</v>
      </c>
      <c r="AE17" s="224" t="s">
        <v>302</v>
      </c>
      <c r="AF17" s="225" t="s">
        <v>246</v>
      </c>
      <c r="AG17" s="1949"/>
      <c r="AH17" s="1451"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2"/>
      <c r="BC17" s="1954"/>
      <c r="BD17" s="1956"/>
      <c r="BE17" s="1954"/>
      <c r="BF17" s="1954"/>
      <c r="BG17" s="1958"/>
      <c r="BI17" s="1952"/>
      <c r="BJ17" s="1954"/>
      <c r="BK17" s="1956"/>
      <c r="BL17" s="1954"/>
      <c r="BM17" s="1954"/>
      <c r="BN17" s="1958"/>
    </row>
    <row r="18" spans="1:66" ht="15.75" thickBot="1">
      <c r="A18" s="1963"/>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9"/>
      <c r="X18" s="217" t="s">
        <v>228</v>
      </c>
      <c r="Y18" s="218" t="s">
        <v>41</v>
      </c>
      <c r="Z18" s="218" t="s">
        <v>41</v>
      </c>
      <c r="AA18" s="219" t="s">
        <v>228</v>
      </c>
      <c r="AB18" s="219" t="s">
        <v>228</v>
      </c>
      <c r="AC18" s="219" t="s">
        <v>228</v>
      </c>
      <c r="AD18" s="219" t="s">
        <v>228</v>
      </c>
      <c r="AE18" s="219" t="s">
        <v>228</v>
      </c>
      <c r="AF18" s="220" t="s">
        <v>228</v>
      </c>
      <c r="AG18" s="1950"/>
      <c r="AH18" s="1452"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48">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48">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48">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48">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48">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48">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48">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48">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48">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48">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48">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48">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915">
        <f t="shared" si="15"/>
        <v>0</v>
      </c>
      <c r="AG31" s="1448">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48">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915">
        <f t="shared" si="15"/>
        <v>9.3640777725485727</v>
      </c>
      <c r="AG32" s="1448">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915">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48">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915">
        <f t="shared" si="15"/>
        <v>18.84996586082281</v>
      </c>
      <c r="AG33" s="1448">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 t="shared" si="20"/>
        <v>0</v>
      </c>
      <c r="AN33" s="906">
        <f t="shared" si="21"/>
        <v>879.82401535960275</v>
      </c>
      <c r="AO33" s="906">
        <f t="shared" si="22"/>
        <v>28.274948791234216</v>
      </c>
      <c r="AP33" s="915">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48">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915">
        <f t="shared" si="15"/>
        <v>28.60634904478697</v>
      </c>
      <c r="AG34" s="1448">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915">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48">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915">
        <f t="shared" si="15"/>
        <v>38.734535622950872</v>
      </c>
      <c r="AG35" s="1448">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915">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48">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915">
        <f t="shared" si="15"/>
        <v>49.074310934930338</v>
      </c>
      <c r="AG36" s="1448">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915">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48">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915">
        <f t="shared" si="15"/>
        <v>59.452564886624224</v>
      </c>
      <c r="AG37" s="1448">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915">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48">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915">
        <f t="shared" si="15"/>
        <v>70.243785928404691</v>
      </c>
      <c r="AG38" s="1448">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915">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48">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915">
        <f t="shared" si="15"/>
        <v>81.077350939863791</v>
      </c>
      <c r="AG39" s="1448">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915">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48">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915">
        <f t="shared" si="15"/>
        <v>92.055005659246248</v>
      </c>
      <c r="AG40" s="1448">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915">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48">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915">
        <f t="shared" si="15"/>
        <v>103.28099766293691</v>
      </c>
      <c r="AG41" s="1448">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915">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48">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915">
        <f t="shared" si="15"/>
        <v>114.63195606672234</v>
      </c>
      <c r="AG42" s="1448">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915">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48">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915">
        <f t="shared" si="15"/>
        <v>125.70050463111039</v>
      </c>
      <c r="AG43" s="1448">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915">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48">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915">
        <f t="shared" si="15"/>
        <v>136.99089265868122</v>
      </c>
      <c r="AG44" s="1448">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915">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48">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915">
        <f t="shared" si="15"/>
        <v>148.79524106097486</v>
      </c>
      <c r="AG45" s="1448">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915">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48">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915">
        <f t="shared" si="15"/>
        <v>160.3372962145616</v>
      </c>
      <c r="AG46" s="1448">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915">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48">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915">
        <f t="shared" si="15"/>
        <v>171.73939556464839</v>
      </c>
      <c r="AG47" s="1448">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915">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48">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915">
        <f t="shared" si="15"/>
        <v>182.56733222173861</v>
      </c>
      <c r="AG48" s="1448">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915">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48">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915">
        <f t="shared" si="15"/>
        <v>193.44609110039212</v>
      </c>
      <c r="AG49" s="1448">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915">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48">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915">
        <f t="shared" si="15"/>
        <v>204.54414961208317</v>
      </c>
      <c r="AG50" s="1448">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915">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48">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915">
        <f t="shared" si="15"/>
        <v>216.46032341872123</v>
      </c>
      <c r="AG51" s="1448">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915">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48">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915">
        <f t="shared" si="15"/>
        <v>228.96890636598684</v>
      </c>
      <c r="AG52" s="1448">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915">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48">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915">
        <f t="shared" si="15"/>
        <v>240.77900761269916</v>
      </c>
      <c r="AG53" s="1448">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915">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48">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915">
        <f t="shared" si="15"/>
        <v>251.58884204027379</v>
      </c>
      <c r="AG54" s="1448">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915">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48">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915">
        <f t="shared" si="15"/>
        <v>263.02146603454077</v>
      </c>
      <c r="AG55" s="1448">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915">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48">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915">
        <f t="shared" si="15"/>
        <v>273.60935933985888</v>
      </c>
      <c r="AG56" s="1448">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915">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48">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915">
        <f t="shared" si="15"/>
        <v>283.6850511159094</v>
      </c>
      <c r="AG57" s="1448">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915">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48">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915">
        <f t="shared" si="15"/>
        <v>293.76133312416624</v>
      </c>
      <c r="AG58" s="1448">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915">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48">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915">
        <f t="shared" si="15"/>
        <v>304.35051489368533</v>
      </c>
      <c r="AG59" s="1448">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915">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48">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915">
        <f t="shared" si="15"/>
        <v>315.0199427756362</v>
      </c>
      <c r="AG60" s="1448">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915">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48">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915">
        <f t="shared" si="15"/>
        <v>325.08794056662492</v>
      </c>
      <c r="AG61" s="1448">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915">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48">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915">
        <f t="shared" si="15"/>
        <v>334.40596567053211</v>
      </c>
      <c r="AG62" s="1448">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915">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48">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915">
        <f t="shared" si="15"/>
        <v>342.73158931707127</v>
      </c>
      <c r="AG63" s="1448">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915">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48">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915">
        <f t="shared" si="15"/>
        <v>350.95504260935667</v>
      </c>
      <c r="AG64" s="1448">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915">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48">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915">
        <f t="shared" si="15"/>
        <v>359.57547105823437</v>
      </c>
      <c r="AG65" s="1448">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915">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48">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915">
        <f t="shared" si="15"/>
        <v>368.57331301474466</v>
      </c>
      <c r="AG66" s="1448">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915">
        <f t="shared" si="23"/>
        <v>368.57331301474466</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48">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915">
        <f t="shared" si="15"/>
        <v>378.27331018355466</v>
      </c>
      <c r="AG67" s="1448">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915">
        <f t="shared" si="23"/>
        <v>378.27331018355466</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48">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915">
        <f t="shared" si="15"/>
        <v>388.21979726742819</v>
      </c>
      <c r="AG68" s="1448">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915">
        <f t="shared" si="23"/>
        <v>388.21979726742819</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48">
        <f t="shared" si="8"/>
        <v>0.13527885904981399</v>
      </c>
      <c r="X69" s="914">
        <f>'Baseline data (from input)'!AS55*W69</f>
        <v>6285.0199437970532</v>
      </c>
      <c r="Y69" s="908">
        <f>Parameters!S170</f>
        <v>0.71500000000000008</v>
      </c>
      <c r="Z69" s="908">
        <f t="shared" si="9"/>
        <v>0.4</v>
      </c>
      <c r="AA69" s="906">
        <f t="shared" si="10"/>
        <v>898.75785196297875</v>
      </c>
      <c r="AB69" s="906">
        <f t="shared" si="11"/>
        <v>898.75785196297875</v>
      </c>
      <c r="AC69" s="286">
        <f t="shared" si="12"/>
        <v>0</v>
      </c>
      <c r="AD69" s="906">
        <f t="shared" si="13"/>
        <v>12537.571695398445</v>
      </c>
      <c r="AE69" s="906">
        <f t="shared" si="14"/>
        <v>596.73474626938241</v>
      </c>
      <c r="AF69" s="915">
        <f t="shared" si="15"/>
        <v>397.82316417958828</v>
      </c>
      <c r="AG69" s="1448">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920">
        <f t="shared" si="23"/>
        <v>397.82316417958828</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3">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57">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599">
        <f t="shared" si="31"/>
        <v>339.95650666301094</v>
      </c>
      <c r="BC70" s="1600">
        <f t="shared" si="32"/>
        <v>407.6430579654272</v>
      </c>
      <c r="BD70" s="1601">
        <f>AZ70</f>
        <v>0</v>
      </c>
      <c r="BE70" s="1600">
        <f t="shared" si="34"/>
        <v>747.5995646284382</v>
      </c>
      <c r="BF70" s="495">
        <v>0</v>
      </c>
      <c r="BG70" s="1602">
        <f t="shared" si="35"/>
        <v>747.5995646284382</v>
      </c>
      <c r="BI70" s="1599">
        <f t="shared" si="36"/>
        <v>339.95650666301094</v>
      </c>
      <c r="BJ70" s="1600">
        <f t="shared" si="37"/>
        <v>407.6430579654272</v>
      </c>
      <c r="BK70" s="1601">
        <f t="shared" si="38"/>
        <v>0</v>
      </c>
      <c r="BL70" s="1600">
        <f t="shared" si="39"/>
        <v>747.5995646284382</v>
      </c>
      <c r="BM70" s="495">
        <v>0</v>
      </c>
      <c r="BN70" s="1602">
        <f t="shared" si="40"/>
        <v>747.5995646284382</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4">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58">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3">
        <f t="shared" si="31"/>
        <v>352.50382234400405</v>
      </c>
      <c r="BC71" s="1604">
        <f t="shared" si="32"/>
        <v>418.2113531506368</v>
      </c>
      <c r="BD71" s="1605">
        <f t="shared" ref="BD71:BD87" si="48">AZ71</f>
        <v>0.48626614457152323</v>
      </c>
      <c r="BE71" s="1604">
        <f t="shared" si="34"/>
        <v>771.20144163921236</v>
      </c>
      <c r="BF71" s="1606">
        <v>0</v>
      </c>
      <c r="BG71" s="1607">
        <f t="shared" si="35"/>
        <v>771.20144163921236</v>
      </c>
      <c r="BI71" s="1603">
        <f t="shared" si="36"/>
        <v>352.50382234400405</v>
      </c>
      <c r="BJ71" s="1604">
        <f t="shared" si="37"/>
        <v>418.2113531506368</v>
      </c>
      <c r="BK71" s="1605">
        <f t="shared" si="38"/>
        <v>0.48626614457152323</v>
      </c>
      <c r="BL71" s="1604">
        <f t="shared" si="39"/>
        <v>771.20144163921236</v>
      </c>
      <c r="BM71" s="1606">
        <v>0</v>
      </c>
      <c r="BN71" s="1607">
        <f t="shared" si="40"/>
        <v>771.20144163921236</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4">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58">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3">
        <f t="shared" si="31"/>
        <v>365.04160146921089</v>
      </c>
      <c r="BC72" s="1604">
        <f t="shared" si="32"/>
        <v>429.08635544976073</v>
      </c>
      <c r="BD72" s="1605">
        <f t="shared" si="48"/>
        <v>0.94421435341173465</v>
      </c>
      <c r="BE72" s="1604">
        <f t="shared" si="34"/>
        <v>795.07217127238346</v>
      </c>
      <c r="BF72" s="1606">
        <v>0</v>
      </c>
      <c r="BG72" s="1607">
        <f t="shared" si="35"/>
        <v>795.07217127238346</v>
      </c>
      <c r="BI72" s="1603">
        <f t="shared" si="36"/>
        <v>365.04160146921089</v>
      </c>
      <c r="BJ72" s="1604">
        <f t="shared" si="37"/>
        <v>429.08635544976073</v>
      </c>
      <c r="BK72" s="1605">
        <f t="shared" si="38"/>
        <v>0.94421435341173465</v>
      </c>
      <c r="BL72" s="1604">
        <f t="shared" si="39"/>
        <v>795.07217127238346</v>
      </c>
      <c r="BM72" s="1606">
        <v>0</v>
      </c>
      <c r="BN72" s="1607">
        <f t="shared" si="40"/>
        <v>795.07217127238346</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4">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58">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3">
        <f t="shared" si="31"/>
        <v>377.380320424339</v>
      </c>
      <c r="BC73" s="1604">
        <f t="shared" si="32"/>
        <v>440.58813938995121</v>
      </c>
      <c r="BD73" s="1605">
        <f t="shared" si="48"/>
        <v>1.3754937347158787</v>
      </c>
      <c r="BE73" s="1604">
        <f t="shared" si="34"/>
        <v>819.34395354900607</v>
      </c>
      <c r="BF73" s="1606">
        <v>0</v>
      </c>
      <c r="BG73" s="1607">
        <f t="shared" si="35"/>
        <v>819.34395354900607</v>
      </c>
      <c r="BI73" s="1603">
        <f t="shared" si="36"/>
        <v>377.380320424339</v>
      </c>
      <c r="BJ73" s="1604">
        <f t="shared" si="37"/>
        <v>440.58813938995121</v>
      </c>
      <c r="BK73" s="1605">
        <f t="shared" si="38"/>
        <v>1.3754937347158787</v>
      </c>
      <c r="BL73" s="1604">
        <f t="shared" si="39"/>
        <v>819.34395354900607</v>
      </c>
      <c r="BM73" s="1606">
        <v>0</v>
      </c>
      <c r="BN73" s="1607">
        <f t="shared" si="40"/>
        <v>819.34395354900607</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4">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58">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3">
        <f t="shared" si="31"/>
        <v>389.50320822466421</v>
      </c>
      <c r="BC74" s="1604">
        <f t="shared" si="32"/>
        <v>449.33471885423859</v>
      </c>
      <c r="BD74" s="1605">
        <f t="shared" si="48"/>
        <v>1.7816573600942787</v>
      </c>
      <c r="BE74" s="1604">
        <f t="shared" si="34"/>
        <v>840.61958443899709</v>
      </c>
      <c r="BF74" s="1606">
        <v>0</v>
      </c>
      <c r="BG74" s="1607">
        <f t="shared" si="35"/>
        <v>840.61958443899709</v>
      </c>
      <c r="BI74" s="1603">
        <f t="shared" si="36"/>
        <v>389.50320822466421</v>
      </c>
      <c r="BJ74" s="1604">
        <f t="shared" si="37"/>
        <v>449.33471885423859</v>
      </c>
      <c r="BK74" s="1605">
        <f t="shared" si="38"/>
        <v>1.7816573600942787</v>
      </c>
      <c r="BL74" s="1604">
        <f t="shared" si="39"/>
        <v>840.61958443899709</v>
      </c>
      <c r="BM74" s="1606">
        <v>0</v>
      </c>
      <c r="BN74" s="1607">
        <f t="shared" si="40"/>
        <v>840.61958443899709</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4">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58">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3">
        <f t="shared" si="31"/>
        <v>401.39828370560582</v>
      </c>
      <c r="BC75" s="1604">
        <f t="shared" si="32"/>
        <v>455.80540481488362</v>
      </c>
      <c r="BD75" s="1605">
        <f t="shared" si="48"/>
        <v>2.1641678573076555</v>
      </c>
      <c r="BE75" s="1604">
        <f t="shared" si="34"/>
        <v>859.36785637779712</v>
      </c>
      <c r="BF75" s="1606">
        <v>0</v>
      </c>
      <c r="BG75" s="1607">
        <f t="shared" si="35"/>
        <v>859.36785637779712</v>
      </c>
      <c r="BI75" s="1603">
        <f t="shared" si="36"/>
        <v>401.39828370560582</v>
      </c>
      <c r="BJ75" s="1604">
        <f t="shared" si="37"/>
        <v>455.80540481488362</v>
      </c>
      <c r="BK75" s="1605">
        <f t="shared" si="38"/>
        <v>2.1641678573076555</v>
      </c>
      <c r="BL75" s="1604">
        <f t="shared" si="39"/>
        <v>859.36785637779712</v>
      </c>
      <c r="BM75" s="1606">
        <v>0</v>
      </c>
      <c r="BN75" s="1607">
        <f t="shared" si="40"/>
        <v>859.36785637779712</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4">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58">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3">
        <f t="shared" si="31"/>
        <v>413.06606569957484</v>
      </c>
      <c r="BC76" s="1604">
        <f t="shared" si="32"/>
        <v>460.13310664023578</v>
      </c>
      <c r="BD76" s="1605">
        <f t="shared" si="48"/>
        <v>2.5244026773068904</v>
      </c>
      <c r="BE76" s="1604">
        <f t="shared" si="34"/>
        <v>875.72357501711747</v>
      </c>
      <c r="BF76" s="1606">
        <v>0</v>
      </c>
      <c r="BG76" s="1607">
        <f t="shared" si="35"/>
        <v>875.72357501711747</v>
      </c>
      <c r="BI76" s="1603">
        <f t="shared" si="36"/>
        <v>413.06606569957484</v>
      </c>
      <c r="BJ76" s="1604">
        <f t="shared" si="37"/>
        <v>460.13310664023578</v>
      </c>
      <c r="BK76" s="1605">
        <f t="shared" si="38"/>
        <v>2.5244026773068904</v>
      </c>
      <c r="BL76" s="1604">
        <f t="shared" si="39"/>
        <v>875.72357501711747</v>
      </c>
      <c r="BM76" s="1606">
        <v>0</v>
      </c>
      <c r="BN76" s="1607">
        <f t="shared" si="40"/>
        <v>875.72357501711747</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4">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58">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3">
        <f t="shared" si="31"/>
        <v>424.51763944073804</v>
      </c>
      <c r="BC77" s="1604">
        <f t="shared" si="32"/>
        <v>462.30164861039526</v>
      </c>
      <c r="BD77" s="1605">
        <f t="shared" si="48"/>
        <v>2.8636590545442755</v>
      </c>
      <c r="BE77" s="1604">
        <f t="shared" si="34"/>
        <v>889.68294710567761</v>
      </c>
      <c r="BF77" s="1606">
        <v>0</v>
      </c>
      <c r="BG77" s="1607">
        <f t="shared" si="35"/>
        <v>889.68294710567761</v>
      </c>
      <c r="BI77" s="1603">
        <f t="shared" si="36"/>
        <v>424.51763944073804</v>
      </c>
      <c r="BJ77" s="1604">
        <f t="shared" si="37"/>
        <v>462.30164861039526</v>
      </c>
      <c r="BK77" s="1605">
        <f t="shared" si="38"/>
        <v>2.8636590545442755</v>
      </c>
      <c r="BL77" s="1604">
        <f t="shared" si="39"/>
        <v>889.68294710567761</v>
      </c>
      <c r="BM77" s="1606">
        <v>0</v>
      </c>
      <c r="BN77" s="1607">
        <f t="shared" si="40"/>
        <v>889.68294710567761</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4">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58">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3">
        <f t="shared" si="31"/>
        <v>435.75891565885144</v>
      </c>
      <c r="BC78" s="1604">
        <f t="shared" si="32"/>
        <v>462.14243125415283</v>
      </c>
      <c r="BD78" s="1605">
        <f t="shared" si="48"/>
        <v>3.183158678418724</v>
      </c>
      <c r="BE78" s="1604">
        <f t="shared" si="34"/>
        <v>901.08450559142307</v>
      </c>
      <c r="BF78" s="1606">
        <v>0</v>
      </c>
      <c r="BG78" s="1607">
        <f t="shared" si="35"/>
        <v>901.08450559142307</v>
      </c>
      <c r="BI78" s="1603">
        <f t="shared" si="36"/>
        <v>435.75891565885144</v>
      </c>
      <c r="BJ78" s="1604">
        <f t="shared" si="37"/>
        <v>462.14243125415283</v>
      </c>
      <c r="BK78" s="1605">
        <f t="shared" si="38"/>
        <v>3.183158678418724</v>
      </c>
      <c r="BL78" s="1604">
        <f t="shared" si="39"/>
        <v>901.08450559142307</v>
      </c>
      <c r="BM78" s="1606">
        <v>0</v>
      </c>
      <c r="BN78" s="1607">
        <f t="shared" si="40"/>
        <v>901.08450559142307</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4">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58">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3">
        <f t="shared" si="31"/>
        <v>446.80677050108471</v>
      </c>
      <c r="BC79" s="1604">
        <f t="shared" si="32"/>
        <v>459.13306952818652</v>
      </c>
      <c r="BD79" s="1605">
        <f t="shared" si="48"/>
        <v>3.484052092677187</v>
      </c>
      <c r="BE79" s="1604">
        <f t="shared" si="34"/>
        <v>909.42389212194837</v>
      </c>
      <c r="BF79" s="1606">
        <v>0</v>
      </c>
      <c r="BG79" s="1607">
        <f t="shared" si="35"/>
        <v>909.42389212194837</v>
      </c>
      <c r="BI79" s="1603">
        <f t="shared" si="36"/>
        <v>446.80677050108471</v>
      </c>
      <c r="BJ79" s="1604">
        <f t="shared" si="37"/>
        <v>459.13306952818652</v>
      </c>
      <c r="BK79" s="1605">
        <f t="shared" si="38"/>
        <v>3.484052092677187</v>
      </c>
      <c r="BL79" s="1604">
        <f t="shared" si="39"/>
        <v>909.42389212194837</v>
      </c>
      <c r="BM79" s="1606">
        <v>0</v>
      </c>
      <c r="BN79" s="1607">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4">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58">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3">
        <f t="shared" si="31"/>
        <v>457.66467940490338</v>
      </c>
      <c r="BC80" s="1604">
        <f t="shared" si="32"/>
        <v>452.53335460608736</v>
      </c>
      <c r="BD80" s="1605">
        <f t="shared" si="48"/>
        <v>3.76742283861488</v>
      </c>
      <c r="BE80" s="1604">
        <f t="shared" si="34"/>
        <v>913.96545684960563</v>
      </c>
      <c r="BF80" s="1606">
        <v>0</v>
      </c>
      <c r="BG80" s="1607">
        <f t="shared" si="35"/>
        <v>913.96545684960563</v>
      </c>
      <c r="BI80" s="1603">
        <f t="shared" si="36"/>
        <v>457.66467940490338</v>
      </c>
      <c r="BJ80" s="1604">
        <f t="shared" si="37"/>
        <v>452.53335460608736</v>
      </c>
      <c r="BK80" s="1605">
        <f t="shared" si="38"/>
        <v>3.76742283861488</v>
      </c>
      <c r="BL80" s="1604">
        <f t="shared" si="39"/>
        <v>913.96545684960563</v>
      </c>
      <c r="BM80" s="1606">
        <v>0</v>
      </c>
      <c r="BN80" s="1607">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4">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58">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3">
        <f t="shared" si="31"/>
        <v>465.58393089502232</v>
      </c>
      <c r="BC81" s="1604">
        <f t="shared" si="32"/>
        <v>443.27742511609495</v>
      </c>
      <c r="BD81" s="1605">
        <f t="shared" si="48"/>
        <v>4.034291356994312</v>
      </c>
      <c r="BE81" s="1604">
        <f t="shared" si="34"/>
        <v>912.89564736811167</v>
      </c>
      <c r="BF81" s="1606">
        <v>0</v>
      </c>
      <c r="BG81" s="1607">
        <f t="shared" si="35"/>
        <v>912.89564736811167</v>
      </c>
      <c r="BI81" s="1603">
        <f t="shared" si="36"/>
        <v>465.58393089502232</v>
      </c>
      <c r="BJ81" s="1604">
        <f t="shared" si="37"/>
        <v>443.27742511609495</v>
      </c>
      <c r="BK81" s="1605">
        <f t="shared" si="38"/>
        <v>4.034291356994312</v>
      </c>
      <c r="BL81" s="1604">
        <f t="shared" si="39"/>
        <v>912.89564736811167</v>
      </c>
      <c r="BM81" s="1606">
        <v>0</v>
      </c>
      <c r="BN81" s="1607">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5">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59">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3">
        <f t="shared" si="31"/>
        <v>471.51055951772577</v>
      </c>
      <c r="BC82" s="1604">
        <f t="shared" si="32"/>
        <v>431.40785228448499</v>
      </c>
      <c r="BD82" s="1605">
        <f t="shared" si="48"/>
        <v>4.2856186627342376</v>
      </c>
      <c r="BE82" s="1604">
        <f t="shared" si="34"/>
        <v>907.20403046494505</v>
      </c>
      <c r="BF82" s="1606">
        <v>0</v>
      </c>
      <c r="BG82" s="1607">
        <f t="shared" si="35"/>
        <v>907.20403046494505</v>
      </c>
      <c r="BI82" s="1603">
        <f t="shared" si="36"/>
        <v>471.51055951772577</v>
      </c>
      <c r="BJ82" s="1604">
        <f t="shared" si="37"/>
        <v>431.40785228448499</v>
      </c>
      <c r="BK82" s="1605">
        <f t="shared" si="38"/>
        <v>4.2856186627342376</v>
      </c>
      <c r="BL82" s="1604">
        <f t="shared" si="39"/>
        <v>907.20403046494505</v>
      </c>
      <c r="BM82" s="1606">
        <v>0</v>
      </c>
      <c r="BN82" s="1607">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5">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59">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3">
        <f t="shared" si="31"/>
        <v>474.78721249604229</v>
      </c>
      <c r="BC83" s="1604">
        <f t="shared" si="32"/>
        <v>416.85758956150511</v>
      </c>
      <c r="BD83" s="1605">
        <f t="shared" si="48"/>
        <v>4.5223098056013837</v>
      </c>
      <c r="BE83" s="1604">
        <f t="shared" si="34"/>
        <v>896.16711186314876</v>
      </c>
      <c r="BF83" s="1606">
        <v>0</v>
      </c>
      <c r="BG83" s="1607">
        <f t="shared" si="35"/>
        <v>896.16711186314876</v>
      </c>
      <c r="BI83" s="1603">
        <f t="shared" si="36"/>
        <v>474.78721249604229</v>
      </c>
      <c r="BJ83" s="1604">
        <f t="shared" si="37"/>
        <v>416.85758956150511</v>
      </c>
      <c r="BK83" s="1605">
        <f t="shared" si="38"/>
        <v>4.5223098056013837</v>
      </c>
      <c r="BL83" s="1604">
        <f t="shared" si="39"/>
        <v>896.16711186314876</v>
      </c>
      <c r="BM83" s="1606">
        <v>0</v>
      </c>
      <c r="BN83" s="1607">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5">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59">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3">
        <f t="shared" si="31"/>
        <v>475.71077220994249</v>
      </c>
      <c r="BC84" s="1604">
        <f t="shared" si="32"/>
        <v>403.18657895653814</v>
      </c>
      <c r="BD84" s="1605">
        <f t="shared" si="48"/>
        <v>4.7452171293671848</v>
      </c>
      <c r="BE84" s="1604">
        <f t="shared" ref="BE84:BE120" si="54">SUM(BB84:BD84)</f>
        <v>883.64256829584781</v>
      </c>
      <c r="BF84" s="1606">
        <v>0</v>
      </c>
      <c r="BG84" s="1607">
        <f t="shared" si="35"/>
        <v>883.64256829584781</v>
      </c>
      <c r="BI84" s="1603">
        <f t="shared" si="36"/>
        <v>475.71077220994249</v>
      </c>
      <c r="BJ84" s="1604">
        <f t="shared" si="37"/>
        <v>403.18657895653814</v>
      </c>
      <c r="BK84" s="1605">
        <f t="shared" si="38"/>
        <v>4.7452171293671848</v>
      </c>
      <c r="BL84" s="1604">
        <f t="shared" ref="BL84:BL120" si="55">SUM(BI84:BK84)</f>
        <v>883.64256829584781</v>
      </c>
      <c r="BM84" s="1606">
        <v>0</v>
      </c>
      <c r="BN84" s="1607">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5">
        <f t="shared" si="52"/>
        <v>2.197312110627072E-2</v>
      </c>
      <c r="X85" s="891">
        <f>'Baseline data (from input)'!AS71*W85</f>
        <v>1476.20316835363</v>
      </c>
      <c r="Y85" s="885">
        <f>Parameters!S186</f>
        <v>0.71500000000000008</v>
      </c>
      <c r="Z85" s="885">
        <f t="shared" ref="Z85:Z120" si="63">$D$3</f>
        <v>0.4</v>
      </c>
      <c r="AA85" s="884">
        <f t="shared" ref="AA85:AA120"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59">
        <f t="shared" si="53"/>
        <v>2.197312110627072E-2</v>
      </c>
      <c r="AH85" s="891">
        <f>'Baseline data (from input)'!AS71*AG85</f>
        <v>1476.20316835363</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3">
        <f t="shared" ref="BB85:BB120" si="81">V85</f>
        <v>474.45668773704853</v>
      </c>
      <c r="BC85" s="1604">
        <f t="shared" ref="BC85:BC120" si="82">AF85</f>
        <v>390.3012281152715</v>
      </c>
      <c r="BD85" s="1605">
        <f t="shared" si="48"/>
        <v>4.9551433411659982</v>
      </c>
      <c r="BE85" s="1604">
        <f t="shared" si="54"/>
        <v>869.71305919348606</v>
      </c>
      <c r="BF85" s="1606">
        <v>0</v>
      </c>
      <c r="BG85" s="1607">
        <f t="shared" ref="BG85:BG120" si="83">BE85-BF85</f>
        <v>869.71305919348606</v>
      </c>
      <c r="BI85" s="1603">
        <f t="shared" ref="BI85:BI120" si="84">V85</f>
        <v>474.45668773704853</v>
      </c>
      <c r="BJ85" s="1604">
        <f t="shared" ref="BJ85:BJ120" si="85">AP85</f>
        <v>390.3012281152715</v>
      </c>
      <c r="BK85" s="1605">
        <f t="shared" ref="BK85:BK120" si="86">AZ85</f>
        <v>4.9551433411659982</v>
      </c>
      <c r="BL85" s="1604">
        <f t="shared" si="55"/>
        <v>869.71305919348606</v>
      </c>
      <c r="BM85" s="1606">
        <v>0</v>
      </c>
      <c r="BN85" s="1607">
        <f t="shared" ref="BN85:BN120" si="87">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5">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59">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3">
        <f t="shared" si="81"/>
        <v>471.19383124565587</v>
      </c>
      <c r="BC86" s="1604">
        <f t="shared" si="82"/>
        <v>378.12956244511162</v>
      </c>
      <c r="BD86" s="1605">
        <f t="shared" si="48"/>
        <v>5.1528444021078155</v>
      </c>
      <c r="BE86" s="1604">
        <f t="shared" si="54"/>
        <v>854.47623809287529</v>
      </c>
      <c r="BF86" s="1606">
        <v>0</v>
      </c>
      <c r="BG86" s="1607">
        <f t="shared" si="83"/>
        <v>854.47623809287529</v>
      </c>
      <c r="BI86" s="1603">
        <f t="shared" si="84"/>
        <v>471.19383124565587</v>
      </c>
      <c r="BJ86" s="1604">
        <f t="shared" si="85"/>
        <v>378.12956244511162</v>
      </c>
      <c r="BK86" s="1605">
        <f t="shared" si="86"/>
        <v>5.1528444021078155</v>
      </c>
      <c r="BL86" s="1604">
        <f t="shared" si="55"/>
        <v>854.47623809287529</v>
      </c>
      <c r="BM86" s="1606">
        <v>0</v>
      </c>
      <c r="BN86" s="1607">
        <f t="shared" si="87"/>
        <v>854.47623809287529</v>
      </c>
    </row>
    <row r="87" spans="1:66"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6">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10940.456135133396</v>
      </c>
      <c r="AE87" s="894">
        <f t="shared" si="68"/>
        <v>549.90342073558929</v>
      </c>
      <c r="AF87" s="898">
        <f t="shared" si="69"/>
        <v>366.60228049039284</v>
      </c>
      <c r="AG87" s="1460">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10940.456135133396</v>
      </c>
      <c r="AO87" s="894">
        <f t="shared" si="75"/>
        <v>549.90342073558929</v>
      </c>
      <c r="AP87" s="898">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08">
        <f t="shared" si="81"/>
        <v>466.08505262809604</v>
      </c>
      <c r="BC87" s="1609">
        <f t="shared" si="82"/>
        <v>366.60228049039284</v>
      </c>
      <c r="BD87" s="1610">
        <f t="shared" si="48"/>
        <v>5.3390322495547968</v>
      </c>
      <c r="BE87" s="1609">
        <f t="shared" si="54"/>
        <v>838.02636536804357</v>
      </c>
      <c r="BF87" s="1611">
        <v>0</v>
      </c>
      <c r="BG87" s="1612">
        <f t="shared" si="83"/>
        <v>838.02636536804357</v>
      </c>
      <c r="BI87" s="1608">
        <f t="shared" si="84"/>
        <v>466.08505262809604</v>
      </c>
      <c r="BJ87" s="1609">
        <f t="shared" si="85"/>
        <v>366.60228049039284</v>
      </c>
      <c r="BK87" s="1610">
        <f t="shared" si="86"/>
        <v>5.3390322495547968</v>
      </c>
      <c r="BL87" s="1609">
        <f t="shared" si="55"/>
        <v>838.02636536804357</v>
      </c>
      <c r="BM87" s="1611">
        <v>0</v>
      </c>
      <c r="BN87" s="1612">
        <f t="shared" si="87"/>
        <v>838.02636536804357</v>
      </c>
    </row>
    <row r="88" spans="1:66">
      <c r="A88" s="926">
        <f>'Input data'!A118</f>
        <v>2018</v>
      </c>
      <c r="B88" s="820">
        <f>'Input data'!B118</f>
        <v>57.436000617299655</v>
      </c>
      <c r="C88" s="820">
        <f>'Recycling - Case 2'!AK98/B88</f>
        <v>414.46358774486276</v>
      </c>
      <c r="D88" s="821">
        <f>'Recycling - Case 2'!AM98</f>
        <v>0.44004755299021142</v>
      </c>
      <c r="E88" s="822">
        <f>'Recycling - Case 2'!BE98</f>
        <v>0.23669038763569289</v>
      </c>
      <c r="F88" s="822">
        <f>'Recycling - Case 2'!BF98</f>
        <v>0.30018744493813254</v>
      </c>
      <c r="G88" s="822">
        <f>'Recycling - Case 2'!BG98</f>
        <v>5.9354168810873881E-2</v>
      </c>
      <c r="H88" s="822">
        <f>'Recycling - Case 2'!BH98</f>
        <v>0</v>
      </c>
      <c r="I88" s="822">
        <f>'Recycling - Case 2'!BI98</f>
        <v>0</v>
      </c>
      <c r="J88" s="822">
        <f>'Recycling - Case 2'!BJ98</f>
        <v>0</v>
      </c>
      <c r="K88" s="822">
        <f>'Recycling - Case 2'!BK98</f>
        <v>0.40376799861530049</v>
      </c>
      <c r="L88" s="823">
        <f t="shared" si="89"/>
        <v>0.99999999999999978</v>
      </c>
      <c r="M88" s="4"/>
      <c r="N88" s="838">
        <f>B88*C88*D88</f>
        <v>10475.389593043146</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832">
        <f t="shared" si="57"/>
        <v>469.05542998665317</v>
      </c>
      <c r="R88" s="832">
        <f t="shared" si="58"/>
        <v>469.05542998665317</v>
      </c>
      <c r="S88" s="835">
        <f t="shared" si="59"/>
        <v>0</v>
      </c>
      <c r="T88" s="832">
        <f t="shared" si="60"/>
        <v>13906.091750488869</v>
      </c>
      <c r="U88" s="832">
        <f t="shared" si="61"/>
        <v>688.93158419660449</v>
      </c>
      <c r="V88" s="839">
        <f t="shared" si="62"/>
        <v>459.28772279773631</v>
      </c>
      <c r="X88" s="852">
        <f>'Recycling - Case 2'!AM138</f>
        <v>1225.3415122615597</v>
      </c>
      <c r="Y88" s="853">
        <f>Parameters!S223</f>
        <v>0.71500000000000008</v>
      </c>
      <c r="Z88" s="853">
        <f t="shared" si="63"/>
        <v>0.4</v>
      </c>
      <c r="AA88" s="854">
        <f t="shared" si="64"/>
        <v>175.22383625340308</v>
      </c>
      <c r="AB88" s="854">
        <f t="shared" si="65"/>
        <v>175.22383625340308</v>
      </c>
      <c r="AC88" s="855">
        <f t="shared" si="66"/>
        <v>0</v>
      </c>
      <c r="AD88" s="854">
        <f t="shared" si="67"/>
        <v>10582.107629451648</v>
      </c>
      <c r="AE88" s="854">
        <f t="shared" si="68"/>
        <v>533.57234193514978</v>
      </c>
      <c r="AF88" s="856">
        <f t="shared" si="69"/>
        <v>355.71489462343317</v>
      </c>
      <c r="AH88" s="852">
        <f>'Recycling - Case 2'!AM178</f>
        <v>1225.3415122615597</v>
      </c>
      <c r="AI88" s="853">
        <f>Parameters!S223</f>
        <v>0.71500000000000008</v>
      </c>
      <c r="AJ88" s="853">
        <f t="shared" si="70"/>
        <v>0.4</v>
      </c>
      <c r="AK88" s="854">
        <f t="shared" si="71"/>
        <v>175.22383625340308</v>
      </c>
      <c r="AL88" s="854">
        <f t="shared" si="72"/>
        <v>175.22383625340308</v>
      </c>
      <c r="AM88" s="855">
        <f t="shared" si="73"/>
        <v>0</v>
      </c>
      <c r="AN88" s="854">
        <f t="shared" si="74"/>
        <v>10582.107629451648</v>
      </c>
      <c r="AO88" s="854">
        <f t="shared" si="75"/>
        <v>533.57234193514978</v>
      </c>
      <c r="AP88" s="856">
        <f t="shared" si="76"/>
        <v>355.71489462343317</v>
      </c>
      <c r="AR88" s="1037">
        <f>'Recycling - Case 2'!G98</f>
        <v>519.60235526187978</v>
      </c>
      <c r="AS88" s="1038">
        <v>1</v>
      </c>
      <c r="AT88" s="1038">
        <f t="shared" si="77"/>
        <v>0.05</v>
      </c>
      <c r="AU88" s="1039">
        <f t="shared" si="78"/>
        <v>12.990058881546995</v>
      </c>
      <c r="AV88" s="1039">
        <f t="shared" si="79"/>
        <v>12.990058881546995</v>
      </c>
      <c r="AW88" s="1040">
        <f t="shared" si="80"/>
        <v>0</v>
      </c>
      <c r="AX88" s="1039">
        <f t="shared" si="44"/>
        <v>146.75506523146674</v>
      </c>
      <c r="AY88" s="1039">
        <f t="shared" si="49"/>
        <v>8.2715660412971381</v>
      </c>
      <c r="AZ88" s="1041">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AP88</f>
        <v>355.71489462343317</v>
      </c>
      <c r="BK88" s="1081">
        <f t="shared" si="86"/>
        <v>5.514377360864759</v>
      </c>
      <c r="BL88" s="1053">
        <f t="shared" si="55"/>
        <v>820.5169947820342</v>
      </c>
      <c r="BM88" s="1054">
        <v>0</v>
      </c>
      <c r="BN88" s="1074">
        <f t="shared" si="87"/>
        <v>820.5169947820342</v>
      </c>
    </row>
    <row r="89" spans="1:66">
      <c r="A89" s="927">
        <f>'Input data'!A119</f>
        <v>2019</v>
      </c>
      <c r="B89" s="824">
        <f>'Input data'!B119</f>
        <v>58.364834921819444</v>
      </c>
      <c r="C89" s="824">
        <f>'Recycling - Case 2'!AK99/B89</f>
        <v>406.33320283022556</v>
      </c>
      <c r="D89" s="825">
        <f>'Recycling - Case 2'!AM99</f>
        <v>0.41821418969847352</v>
      </c>
      <c r="E89" s="826">
        <f>'Recycling - Case 2'!BE99</f>
        <v>0.23330174817357269</v>
      </c>
      <c r="F89" s="826">
        <f>'Recycling - Case 2'!BF99</f>
        <v>0.29588973334911756</v>
      </c>
      <c r="G89" s="826">
        <f>'Recycling - Case 2'!BG99</f>
        <v>5.9682776972246526E-2</v>
      </c>
      <c r="H89" s="826">
        <f>'Recycling - Case 2'!BH99</f>
        <v>0</v>
      </c>
      <c r="I89" s="826">
        <f>'Recycling - Case 2'!BI99</f>
        <v>0</v>
      </c>
      <c r="J89" s="826">
        <f>'Recycling - Case 2'!BJ99</f>
        <v>0</v>
      </c>
      <c r="K89" s="826">
        <f>'Recycling - Case 2'!BK99</f>
        <v>0.41112574150506326</v>
      </c>
      <c r="L89" s="827">
        <f t="shared" si="89"/>
        <v>1</v>
      </c>
      <c r="M89" s="4"/>
      <c r="N89" s="838">
        <f t="shared" si="56"/>
        <v>9918.1880189451058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2'!AM139</f>
        <v>860.97445433485484</v>
      </c>
      <c r="Y89" s="853">
        <f>Parameters!S224</f>
        <v>0.71500000000000008</v>
      </c>
      <c r="Z89" s="853">
        <f t="shared" si="63"/>
        <v>0.4</v>
      </c>
      <c r="AA89" s="854">
        <f t="shared" si="64"/>
        <v>123.11934696988426</v>
      </c>
      <c r="AB89" s="854">
        <f t="shared" si="65"/>
        <v>123.11934696988426</v>
      </c>
      <c r="AC89" s="855">
        <f t="shared" si="66"/>
        <v>0</v>
      </c>
      <c r="AD89" s="854">
        <f t="shared" si="67"/>
        <v>10189.13149733779</v>
      </c>
      <c r="AE89" s="854">
        <f t="shared" si="68"/>
        <v>516.09547908374179</v>
      </c>
      <c r="AF89" s="856">
        <f t="shared" si="69"/>
        <v>344.06365272249451</v>
      </c>
      <c r="AH89" s="852">
        <f>'Recycling - Case 2'!AM179</f>
        <v>860.97445433485484</v>
      </c>
      <c r="AI89" s="853">
        <f>Parameters!S224</f>
        <v>0.71500000000000008</v>
      </c>
      <c r="AJ89" s="853">
        <f t="shared" si="70"/>
        <v>0.4</v>
      </c>
      <c r="AK89" s="854">
        <f t="shared" si="71"/>
        <v>123.11934696988426</v>
      </c>
      <c r="AL89" s="854">
        <f t="shared" si="72"/>
        <v>123.11934696988426</v>
      </c>
      <c r="AM89" s="855">
        <f t="shared" si="73"/>
        <v>0</v>
      </c>
      <c r="AN89" s="854">
        <f t="shared" si="74"/>
        <v>10189.13149733779</v>
      </c>
      <c r="AO89" s="854">
        <f t="shared" si="75"/>
        <v>516.09547908374179</v>
      </c>
      <c r="AP89" s="856">
        <f t="shared" si="76"/>
        <v>344.06365272249451</v>
      </c>
      <c r="AR89" s="1042">
        <f>'Recycling - Case 2'!G99</f>
        <v>538.67534920907258</v>
      </c>
      <c r="AS89" s="1043">
        <v>1</v>
      </c>
      <c r="AT89" s="1043">
        <f t="shared" si="77"/>
        <v>0.05</v>
      </c>
      <c r="AU89" s="1044">
        <f t="shared" si="78"/>
        <v>13.466883730226815</v>
      </c>
      <c r="AV89" s="1044">
        <f t="shared" si="79"/>
        <v>13.466883730226815</v>
      </c>
      <c r="AW89" s="1045">
        <f t="shared" si="80"/>
        <v>0</v>
      </c>
      <c r="AX89" s="1044">
        <f t="shared" si="44"/>
        <v>151.67559928906508</v>
      </c>
      <c r="AY89" s="1044">
        <f t="shared" si="49"/>
        <v>8.5463496726284696</v>
      </c>
      <c r="AZ89" s="1046">
        <f t="shared" si="47"/>
        <v>5.6975664484189794</v>
      </c>
      <c r="BA89" s="4"/>
      <c r="BB89" s="1055">
        <f t="shared" si="81"/>
        <v>452.13873174481023</v>
      </c>
      <c r="BC89" s="1056">
        <f t="shared" si="82"/>
        <v>344.06365272249451</v>
      </c>
      <c r="BD89" s="1082">
        <f t="shared" ref="BD89:BD120" si="90">AZ89</f>
        <v>5.6975664484189794</v>
      </c>
      <c r="BE89" s="1056">
        <f t="shared" si="54"/>
        <v>801.89995091572371</v>
      </c>
      <c r="BF89" s="167">
        <v>0</v>
      </c>
      <c r="BG89" s="1075">
        <f t="shared" si="83"/>
        <v>801.89995091572371</v>
      </c>
      <c r="BI89" s="1055">
        <f t="shared" si="84"/>
        <v>452.13873174481023</v>
      </c>
      <c r="BJ89" s="1056">
        <f t="shared" si="85"/>
        <v>344.06365272249451</v>
      </c>
      <c r="BK89" s="1082">
        <f t="shared" si="86"/>
        <v>5.6975664484189794</v>
      </c>
      <c r="BL89" s="1056">
        <f t="shared" si="55"/>
        <v>801.89995091572371</v>
      </c>
      <c r="BM89" s="167">
        <v>0</v>
      </c>
      <c r="BN89" s="1075">
        <f t="shared" si="87"/>
        <v>801.89995091572371</v>
      </c>
    </row>
    <row r="90" spans="1:66">
      <c r="A90" s="927">
        <f>'Input data'!A120</f>
        <v>2020</v>
      </c>
      <c r="B90" s="824">
        <f>'Input data'!B120</f>
        <v>59.308690000000006</v>
      </c>
      <c r="C90" s="824">
        <f>'Recycling - Case 2'!AK100/B90</f>
        <v>397.49323210110077</v>
      </c>
      <c r="D90" s="825">
        <f>'Recycling - Case 2'!AM100</f>
        <v>0.38289463315638228</v>
      </c>
      <c r="E90" s="826">
        <f>'Recycling - Case 2'!BE100</f>
        <v>0.22354491991078579</v>
      </c>
      <c r="F90" s="826">
        <f>'Recycling - Case 2'!BF100</f>
        <v>0.28351543553262054</v>
      </c>
      <c r="G90" s="826">
        <f>'Recycling - Case 2'!BG100</f>
        <v>6.1771817655591317E-2</v>
      </c>
      <c r="H90" s="826">
        <f>'Recycling - Case 2'!BH100</f>
        <v>0</v>
      </c>
      <c r="I90" s="826">
        <f>'Recycling - Case 2'!BI100</f>
        <v>0</v>
      </c>
      <c r="J90" s="826">
        <f>'Recycling - Case 2'!BJ100</f>
        <v>0</v>
      </c>
      <c r="K90" s="826">
        <f>'Recycling - Case 2'!BK100</f>
        <v>0.43116782690100253</v>
      </c>
      <c r="L90" s="827">
        <f t="shared" si="89"/>
        <v>1.0000000000000002</v>
      </c>
      <c r="M90" s="4"/>
      <c r="N90" s="838">
        <f t="shared" si="56"/>
        <v>9026.6655003882443</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2'!AM140</f>
        <v>670.42237130031697</v>
      </c>
      <c r="Y90" s="853">
        <f>Parameters!S225</f>
        <v>0.71500000000000008</v>
      </c>
      <c r="Z90" s="853">
        <f t="shared" si="63"/>
        <v>0.4</v>
      </c>
      <c r="AA90" s="854">
        <f t="shared" si="64"/>
        <v>95.870399095945331</v>
      </c>
      <c r="AB90" s="854">
        <f t="shared" si="65"/>
        <v>95.870399095945331</v>
      </c>
      <c r="AC90" s="855">
        <f t="shared" si="66"/>
        <v>0</v>
      </c>
      <c r="AD90" s="854">
        <f t="shared" si="67"/>
        <v>9788.0720894706701</v>
      </c>
      <c r="AE90" s="854">
        <f t="shared" si="68"/>
        <v>496.92980696306557</v>
      </c>
      <c r="AF90" s="856">
        <f t="shared" si="69"/>
        <v>331.28653797537703</v>
      </c>
      <c r="AH90" s="852">
        <f>'Recycling - Case 2'!AM180</f>
        <v>670.42237130031697</v>
      </c>
      <c r="AI90" s="853">
        <f>Parameters!S225</f>
        <v>0.71500000000000008</v>
      </c>
      <c r="AJ90" s="853">
        <f t="shared" si="70"/>
        <v>0.4</v>
      </c>
      <c r="AK90" s="854">
        <f t="shared" si="71"/>
        <v>95.870399095945331</v>
      </c>
      <c r="AL90" s="854">
        <f t="shared" si="72"/>
        <v>95.870399095945331</v>
      </c>
      <c r="AM90" s="855">
        <f t="shared" si="73"/>
        <v>0</v>
      </c>
      <c r="AN90" s="854">
        <f t="shared" si="74"/>
        <v>9788.0720894706701</v>
      </c>
      <c r="AO90" s="854">
        <f t="shared" si="75"/>
        <v>496.92980696306557</v>
      </c>
      <c r="AP90" s="856">
        <f t="shared" si="76"/>
        <v>331.28653797537703</v>
      </c>
      <c r="AR90" s="1042">
        <f>'Recycling - Case 2'!G100</f>
        <v>558.22933891619243</v>
      </c>
      <c r="AS90" s="1043">
        <v>1</v>
      </c>
      <c r="AT90" s="1043">
        <f t="shared" si="77"/>
        <v>0.05</v>
      </c>
      <c r="AU90" s="1044">
        <f t="shared" si="78"/>
        <v>13.955733472904811</v>
      </c>
      <c r="AV90" s="1044">
        <f t="shared" si="79"/>
        <v>13.955733472904811</v>
      </c>
      <c r="AW90" s="1045">
        <f t="shared" si="80"/>
        <v>0</v>
      </c>
      <c r="AX90" s="1044">
        <f t="shared" si="44"/>
        <v>156.79843349348261</v>
      </c>
      <c r="AY90" s="1044">
        <f t="shared" si="49"/>
        <v>8.8328992684872976</v>
      </c>
      <c r="AZ90" s="1046">
        <f t="shared" si="47"/>
        <v>5.8885995123248653</v>
      </c>
      <c r="BA90" s="4"/>
      <c r="BB90" s="1055">
        <f t="shared" si="81"/>
        <v>444.77283615219312</v>
      </c>
      <c r="BC90" s="1056">
        <f t="shared" si="82"/>
        <v>331.28653797537703</v>
      </c>
      <c r="BD90" s="1082">
        <f t="shared" si="90"/>
        <v>5.8885995123248653</v>
      </c>
      <c r="BE90" s="1056">
        <f t="shared" si="54"/>
        <v>781.94797363989505</v>
      </c>
      <c r="BF90" s="167">
        <v>0</v>
      </c>
      <c r="BG90" s="1075">
        <f t="shared" si="83"/>
        <v>781.94797363989505</v>
      </c>
      <c r="BI90" s="1055">
        <f t="shared" si="84"/>
        <v>444.77283615219312</v>
      </c>
      <c r="BJ90" s="1056">
        <f t="shared" si="85"/>
        <v>331.28653797537703</v>
      </c>
      <c r="BK90" s="1082">
        <f t="shared" si="86"/>
        <v>5.8885995123248653</v>
      </c>
      <c r="BL90" s="1056">
        <f t="shared" si="55"/>
        <v>781.94797363989505</v>
      </c>
      <c r="BM90" s="167">
        <v>0</v>
      </c>
      <c r="BN90" s="1075">
        <f t="shared" si="87"/>
        <v>781.94797363989505</v>
      </c>
    </row>
    <row r="91" spans="1:66">
      <c r="A91" s="927">
        <f>'Input data'!A121</f>
        <v>2021</v>
      </c>
      <c r="B91" s="824">
        <f>'Input data'!B121</f>
        <v>60.097873988486953</v>
      </c>
      <c r="C91" s="824">
        <f>'Recycling - Case 2'!AK101/B91</f>
        <v>382.51682184889864</v>
      </c>
      <c r="D91" s="825">
        <f>'Recycling - Case 2'!AM101</f>
        <v>0.31509828499703613</v>
      </c>
      <c r="E91" s="826">
        <f>'Recycling - Case 2'!BE101</f>
        <v>0.19728260037999343</v>
      </c>
      <c r="F91" s="826">
        <f>'Recycling - Case 2'!BF101</f>
        <v>0.25020770944857024</v>
      </c>
      <c r="G91" s="826">
        <f>'Recycling - Case 2'!BG101</f>
        <v>6.8398961883618048E-2</v>
      </c>
      <c r="H91" s="826">
        <f>'Recycling - Case 2'!BH101</f>
        <v>0</v>
      </c>
      <c r="I91" s="826">
        <f>'Recycling - Case 2'!BI101</f>
        <v>0</v>
      </c>
      <c r="J91" s="826">
        <f>'Recycling - Case 2'!BJ101</f>
        <v>0</v>
      </c>
      <c r="K91" s="826">
        <f>'Recycling - Case 2'!BK101</f>
        <v>0.4841107282878182</v>
      </c>
      <c r="L91" s="827">
        <f t="shared" si="89"/>
        <v>0.99999999999999989</v>
      </c>
      <c r="M91" s="4"/>
      <c r="N91" s="838">
        <f t="shared" si="56"/>
        <v>7243.6204632745166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0.10699351670016027</v>
      </c>
      <c r="Q91" s="832">
        <f t="shared" si="57"/>
        <v>315.07561205630111</v>
      </c>
      <c r="R91" s="832">
        <f t="shared" si="58"/>
        <v>315.07561205630111</v>
      </c>
      <c r="S91" s="835">
        <f t="shared" si="59"/>
        <v>0</v>
      </c>
      <c r="T91" s="832">
        <f t="shared" si="60"/>
        <v>13083.825188632223</v>
      </c>
      <c r="U91" s="832">
        <f t="shared" si="61"/>
        <v>654.66779014194015</v>
      </c>
      <c r="V91" s="839">
        <f t="shared" si="62"/>
        <v>436.44519342796008</v>
      </c>
      <c r="W91" s="4"/>
      <c r="X91" s="852">
        <f>'Recycling - Case 2'!AM141</f>
        <v>100.55222252947536</v>
      </c>
      <c r="Y91" s="853">
        <f>Parameters!S226</f>
        <v>0.71500000000000008</v>
      </c>
      <c r="Z91" s="853">
        <f t="shared" si="63"/>
        <v>0.4</v>
      </c>
      <c r="AA91" s="854">
        <f t="shared" si="64"/>
        <v>14.37896782171498</v>
      </c>
      <c r="AB91" s="854">
        <f t="shared" si="65"/>
        <v>14.37896782171498</v>
      </c>
      <c r="AC91" s="855">
        <f t="shared" si="66"/>
        <v>0</v>
      </c>
      <c r="AD91" s="854">
        <f t="shared" si="67"/>
        <v>9325.0811484604019</v>
      </c>
      <c r="AE91" s="854">
        <f t="shared" si="68"/>
        <v>477.36990883198325</v>
      </c>
      <c r="AF91" s="856">
        <f t="shared" si="69"/>
        <v>318.24660588798884</v>
      </c>
      <c r="AG91" s="4"/>
      <c r="AH91" s="852">
        <f>'Recycling - Case 2'!AM181</f>
        <v>100.55222252947536</v>
      </c>
      <c r="AI91" s="853">
        <f>Parameters!S226</f>
        <v>0.71500000000000008</v>
      </c>
      <c r="AJ91" s="853">
        <f t="shared" si="70"/>
        <v>0.4</v>
      </c>
      <c r="AK91" s="854">
        <f t="shared" si="71"/>
        <v>14.37896782171498</v>
      </c>
      <c r="AL91" s="854">
        <f t="shared" si="72"/>
        <v>14.37896782171498</v>
      </c>
      <c r="AM91" s="855">
        <f t="shared" si="73"/>
        <v>0</v>
      </c>
      <c r="AN91" s="854">
        <f t="shared" si="74"/>
        <v>9325.0811484604019</v>
      </c>
      <c r="AO91" s="854">
        <f t="shared" si="75"/>
        <v>477.36990883198325</v>
      </c>
      <c r="AP91" s="856">
        <f t="shared" si="76"/>
        <v>318.24660588798884</v>
      </c>
      <c r="AR91" s="1042">
        <f>'Recycling - Case 2'!G101</f>
        <v>576.64435434700079</v>
      </c>
      <c r="AS91" s="1043">
        <v>1</v>
      </c>
      <c r="AT91" s="1043">
        <f t="shared" si="77"/>
        <v>0.05</v>
      </c>
      <c r="AU91" s="1044">
        <f t="shared" si="78"/>
        <v>14.41610885867502</v>
      </c>
      <c r="AV91" s="1044">
        <f t="shared" si="79"/>
        <v>14.41610885867502</v>
      </c>
      <c r="AW91" s="1045">
        <f t="shared" si="80"/>
        <v>0</v>
      </c>
      <c r="AX91" s="1044">
        <f t="shared" si="44"/>
        <v>162.08331244440549</v>
      </c>
      <c r="AY91" s="1044">
        <f t="shared" si="49"/>
        <v>9.1312299077521164</v>
      </c>
      <c r="AZ91" s="1046">
        <f t="shared" si="47"/>
        <v>6.0874866051680776</v>
      </c>
      <c r="BA91" s="4"/>
      <c r="BB91" s="1055">
        <f t="shared" si="81"/>
        <v>436.44519342796008</v>
      </c>
      <c r="BC91" s="1056">
        <f t="shared" si="82"/>
        <v>318.24660588798884</v>
      </c>
      <c r="BD91" s="1082">
        <f t="shared" si="90"/>
        <v>6.0874866051680776</v>
      </c>
      <c r="BE91" s="1056">
        <f t="shared" si="54"/>
        <v>760.77928592111698</v>
      </c>
      <c r="BF91" s="167">
        <v>0</v>
      </c>
      <c r="BG91" s="1075">
        <f t="shared" si="83"/>
        <v>760.77928592111698</v>
      </c>
      <c r="BI91" s="1055">
        <f t="shared" si="84"/>
        <v>436.44519342796008</v>
      </c>
      <c r="BJ91" s="1056">
        <f t="shared" si="85"/>
        <v>318.24660588798884</v>
      </c>
      <c r="BK91" s="1082">
        <f t="shared" si="86"/>
        <v>6.0874866051680776</v>
      </c>
      <c r="BL91" s="1056">
        <f t="shared" si="55"/>
        <v>760.77928592111698</v>
      </c>
      <c r="BM91" s="167">
        <v>0</v>
      </c>
      <c r="BN91" s="1075">
        <f t="shared" si="87"/>
        <v>760.77928592111698</v>
      </c>
    </row>
    <row r="92" spans="1:66">
      <c r="A92" s="927">
        <f>'Input data'!A122</f>
        <v>2022</v>
      </c>
      <c r="B92" s="824">
        <f>'Input data'!B122</f>
        <v>60.841582286809363</v>
      </c>
      <c r="C92" s="824">
        <f>'Recycling - Case 2'!AK102/B92</f>
        <v>356.74101143002122</v>
      </c>
      <c r="D92" s="825">
        <f>'Recycling - Case 2'!AM102</f>
        <v>0.2567194627794207</v>
      </c>
      <c r="E92" s="826">
        <f>'Recycling - Case 2'!BE102</f>
        <v>0.18314644524561838</v>
      </c>
      <c r="F92" s="826">
        <f>'Recycling - Case 2'!BF102</f>
        <v>0.23227924039063536</v>
      </c>
      <c r="G92" s="826">
        <f>'Recycling - Case 2'!BG102</f>
        <v>7.1442883166452392E-2</v>
      </c>
      <c r="H92" s="826">
        <f>'Recycling - Case 2'!BH102</f>
        <v>0</v>
      </c>
      <c r="I92" s="826">
        <f>'Recycling - Case 2'!BI102</f>
        <v>0</v>
      </c>
      <c r="J92" s="826">
        <f>'Recycling - Case 2'!BJ102</f>
        <v>0</v>
      </c>
      <c r="K92" s="826">
        <f>'Recycling - Case 2'!BK102</f>
        <v>0.51313143119729399</v>
      </c>
      <c r="L92" s="827">
        <f t="shared" si="89"/>
        <v>1</v>
      </c>
      <c r="M92" s="4"/>
      <c r="N92" s="838">
        <f t="shared" si="56"/>
        <v>5572.015740980396</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0.10250496813155079</v>
      </c>
      <c r="Q92" s="832">
        <f t="shared" si="57"/>
        <v>238.1294910839004</v>
      </c>
      <c r="R92" s="832">
        <f t="shared" si="58"/>
        <v>238.1294910839004</v>
      </c>
      <c r="S92" s="835">
        <f t="shared" si="59"/>
        <v>0</v>
      </c>
      <c r="T92" s="832">
        <f t="shared" si="60"/>
        <v>12683.848995534476</v>
      </c>
      <c r="U92" s="832">
        <f t="shared" si="61"/>
        <v>638.10568418164758</v>
      </c>
      <c r="V92" s="839">
        <f t="shared" si="62"/>
        <v>425.40378945443172</v>
      </c>
      <c r="W92" s="4"/>
      <c r="X92" s="852">
        <f>'Recycling - Case 2'!AM142</f>
        <v>0</v>
      </c>
      <c r="Y92" s="853">
        <f>Parameters!S227</f>
        <v>0.71500000000000008</v>
      </c>
      <c r="Z92" s="853">
        <f t="shared" si="63"/>
        <v>0.4</v>
      </c>
      <c r="AA92" s="854">
        <f t="shared" si="64"/>
        <v>0</v>
      </c>
      <c r="AB92" s="854">
        <f t="shared" si="65"/>
        <v>0</v>
      </c>
      <c r="AC92" s="855">
        <f t="shared" si="66"/>
        <v>0</v>
      </c>
      <c r="AD92" s="854">
        <f t="shared" si="67"/>
        <v>8870.2915742724454</v>
      </c>
      <c r="AE92" s="854">
        <f t="shared" si="68"/>
        <v>454.78957418795648</v>
      </c>
      <c r="AF92" s="856">
        <f t="shared" si="69"/>
        <v>303.19304945863763</v>
      </c>
      <c r="AG92" s="4"/>
      <c r="AH92" s="852">
        <f>'Recycling - Case 2'!AM182</f>
        <v>0</v>
      </c>
      <c r="AI92" s="853">
        <f>Parameters!S227</f>
        <v>0.71500000000000008</v>
      </c>
      <c r="AJ92" s="853">
        <f t="shared" si="70"/>
        <v>0.4</v>
      </c>
      <c r="AK92" s="854">
        <f t="shared" si="71"/>
        <v>0</v>
      </c>
      <c r="AL92" s="854">
        <f t="shared" si="72"/>
        <v>0</v>
      </c>
      <c r="AM92" s="855">
        <f t="shared" si="73"/>
        <v>0</v>
      </c>
      <c r="AN92" s="854">
        <f t="shared" si="74"/>
        <v>8870.2915742724454</v>
      </c>
      <c r="AO92" s="854">
        <f t="shared" si="75"/>
        <v>454.78957418795648</v>
      </c>
      <c r="AP92" s="856">
        <f t="shared" si="76"/>
        <v>303.19304945863763</v>
      </c>
      <c r="AR92" s="1042">
        <f>'Recycling - Case 2'!G102</f>
        <v>594.90326763257065</v>
      </c>
      <c r="AS92" s="1043">
        <v>1</v>
      </c>
      <c r="AT92" s="1043">
        <f t="shared" si="77"/>
        <v>0.05</v>
      </c>
      <c r="AU92" s="1044">
        <f t="shared" si="78"/>
        <v>14.872581690814267</v>
      </c>
      <c r="AV92" s="1044">
        <f t="shared" si="79"/>
        <v>14.872581690814267</v>
      </c>
      <c r="AW92" s="1045">
        <f t="shared" si="80"/>
        <v>0</v>
      </c>
      <c r="AX92" s="1044">
        <f t="shared" si="44"/>
        <v>167.51689683680985</v>
      </c>
      <c r="AY92" s="1044">
        <f t="shared" si="49"/>
        <v>9.4389972984098982</v>
      </c>
      <c r="AZ92" s="1046">
        <f t="shared" si="47"/>
        <v>6.2926648656065991</v>
      </c>
      <c r="BA92" s="4"/>
      <c r="BB92" s="1055">
        <f t="shared" si="81"/>
        <v>425.40378945443172</v>
      </c>
      <c r="BC92" s="1056">
        <f t="shared" si="82"/>
        <v>303.19304945863763</v>
      </c>
      <c r="BD92" s="1082">
        <f t="shared" si="90"/>
        <v>6.2926648656065991</v>
      </c>
      <c r="BE92" s="1056">
        <f t="shared" si="54"/>
        <v>734.88950377867604</v>
      </c>
      <c r="BF92" s="167">
        <v>0</v>
      </c>
      <c r="BG92" s="1075">
        <f t="shared" si="83"/>
        <v>734.88950377867604</v>
      </c>
      <c r="BI92" s="1055">
        <f t="shared" si="84"/>
        <v>425.40378945443172</v>
      </c>
      <c r="BJ92" s="1056">
        <f t="shared" si="85"/>
        <v>303.19304945863763</v>
      </c>
      <c r="BK92" s="1082">
        <f t="shared" si="86"/>
        <v>6.2926648656065991</v>
      </c>
      <c r="BL92" s="1056">
        <f t="shared" si="55"/>
        <v>734.88950377867604</v>
      </c>
      <c r="BM92" s="167">
        <v>0</v>
      </c>
      <c r="BN92" s="1075">
        <f t="shared" si="87"/>
        <v>734.88950377867604</v>
      </c>
    </row>
    <row r="93" spans="1:66">
      <c r="A93" s="927">
        <f>'Input data'!A123</f>
        <v>2023</v>
      </c>
      <c r="B93" s="824">
        <f>'Input data'!B123</f>
        <v>61.537824355929828</v>
      </c>
      <c r="C93" s="824">
        <f>'Recycling - Case 2'!AK103/B93</f>
        <v>348.73670596215072</v>
      </c>
      <c r="D93" s="825">
        <f>'Recycling - Case 2'!AM103</f>
        <v>0.2440621255838728</v>
      </c>
      <c r="E93" s="826">
        <f>'Recycling - Case 2'!BE103</f>
        <v>0.18659467086164952</v>
      </c>
      <c r="F93" s="826">
        <f>'Recycling - Case 2'!BF103</f>
        <v>0.23665252334304582</v>
      </c>
      <c r="G93" s="826">
        <f>'Recycling - Case 2'!BG103</f>
        <v>6.9532503062923412E-2</v>
      </c>
      <c r="H93" s="826">
        <f>'Recycling - Case 2'!BH103</f>
        <v>0</v>
      </c>
      <c r="I93" s="826">
        <f>'Recycling - Case 2'!BI103</f>
        <v>0</v>
      </c>
      <c r="J93" s="826">
        <f>'Recycling - Case 2'!BJ103</f>
        <v>0</v>
      </c>
      <c r="K93" s="826">
        <f>'Recycling - Case 2'!BK103</f>
        <v>0.50722030273238117</v>
      </c>
      <c r="L93" s="827">
        <f t="shared" si="89"/>
        <v>1</v>
      </c>
      <c r="M93" s="4"/>
      <c r="N93" s="838">
        <f t="shared" si="56"/>
        <v>5237.6947965215732</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0.10313270652302595</v>
      </c>
      <c r="Q93" s="832">
        <f t="shared" si="57"/>
        <v>230.82206091573025</v>
      </c>
      <c r="R93" s="832">
        <f t="shared" si="58"/>
        <v>230.82206091573025</v>
      </c>
      <c r="S93" s="835">
        <f t="shared" si="59"/>
        <v>0</v>
      </c>
      <c r="T93" s="832">
        <f t="shared" si="60"/>
        <v>12296.072441391949</v>
      </c>
      <c r="U93" s="832">
        <f t="shared" si="61"/>
        <v>618.59861505825688</v>
      </c>
      <c r="V93" s="839">
        <f t="shared" si="62"/>
        <v>412.39907670550457</v>
      </c>
      <c r="W93" s="4"/>
      <c r="X93" s="852">
        <f>'Recycling - Case 2'!AM143</f>
        <v>0</v>
      </c>
      <c r="Y93" s="853">
        <f>Parameters!S228</f>
        <v>0.71500000000000008</v>
      </c>
      <c r="Z93" s="853">
        <f t="shared" si="63"/>
        <v>0.4</v>
      </c>
      <c r="AA93" s="854">
        <f t="shared" si="64"/>
        <v>0</v>
      </c>
      <c r="AB93" s="854">
        <f t="shared" si="65"/>
        <v>0</v>
      </c>
      <c r="AC93" s="855">
        <f t="shared" si="66"/>
        <v>0</v>
      </c>
      <c r="AD93" s="854">
        <f t="shared" si="67"/>
        <v>8437.68234934871</v>
      </c>
      <c r="AE93" s="854">
        <f t="shared" si="68"/>
        <v>432.60922492373464</v>
      </c>
      <c r="AF93" s="856">
        <f t="shared" si="69"/>
        <v>288.40614994915643</v>
      </c>
      <c r="AG93" s="4"/>
      <c r="AH93" s="852">
        <f>'Recycling - Case 2'!AM183</f>
        <v>0</v>
      </c>
      <c r="AI93" s="853">
        <f>Parameters!S228</f>
        <v>0.71500000000000008</v>
      </c>
      <c r="AJ93" s="853">
        <f t="shared" si="70"/>
        <v>0.4</v>
      </c>
      <c r="AK93" s="854">
        <f t="shared" si="71"/>
        <v>0</v>
      </c>
      <c r="AL93" s="854">
        <f t="shared" si="72"/>
        <v>0</v>
      </c>
      <c r="AM93" s="855">
        <f t="shared" si="73"/>
        <v>0</v>
      </c>
      <c r="AN93" s="854">
        <f t="shared" si="74"/>
        <v>8437.68234934871</v>
      </c>
      <c r="AO93" s="854">
        <f t="shared" si="75"/>
        <v>432.60922492373464</v>
      </c>
      <c r="AP93" s="856">
        <f t="shared" si="76"/>
        <v>288.40614994915643</v>
      </c>
      <c r="AQ93" s="4"/>
      <c r="AR93" s="1042">
        <f>'Recycling - Case 2'!G103</f>
        <v>612.9613101689398</v>
      </c>
      <c r="AS93" s="1043">
        <v>1</v>
      </c>
      <c r="AT93" s="1043">
        <f t="shared" si="77"/>
        <v>0.05</v>
      </c>
      <c r="AU93" s="1044">
        <f t="shared" si="78"/>
        <v>15.324032754223495</v>
      </c>
      <c r="AV93" s="1044">
        <f t="shared" si="79"/>
        <v>15.324032754223495</v>
      </c>
      <c r="AW93" s="1045">
        <f t="shared" si="80"/>
        <v>0</v>
      </c>
      <c r="AX93" s="1044">
        <f t="shared" si="44"/>
        <v>173.08550497122241</v>
      </c>
      <c r="AY93" s="1044">
        <f t="shared" si="49"/>
        <v>9.7554246198109116</v>
      </c>
      <c r="AZ93" s="1046">
        <f t="shared" si="47"/>
        <v>6.5036164132072747</v>
      </c>
      <c r="BA93" s="4"/>
      <c r="BB93" s="1055">
        <f t="shared" si="81"/>
        <v>412.39907670550457</v>
      </c>
      <c r="BC93" s="1056">
        <f t="shared" si="82"/>
        <v>288.40614994915643</v>
      </c>
      <c r="BD93" s="1082">
        <f t="shared" si="90"/>
        <v>6.5036164132072747</v>
      </c>
      <c r="BE93" s="1056">
        <f t="shared" si="54"/>
        <v>707.30884306786834</v>
      </c>
      <c r="BF93" s="167">
        <v>0</v>
      </c>
      <c r="BG93" s="1075">
        <f t="shared" si="83"/>
        <v>707.30884306786834</v>
      </c>
      <c r="BI93" s="1055">
        <f t="shared" si="84"/>
        <v>412.39907670550457</v>
      </c>
      <c r="BJ93" s="1056">
        <f t="shared" si="85"/>
        <v>288.40614994915643</v>
      </c>
      <c r="BK93" s="1082">
        <f t="shared" si="86"/>
        <v>6.5036164132072747</v>
      </c>
      <c r="BL93" s="1056">
        <f t="shared" si="55"/>
        <v>707.30884306786834</v>
      </c>
      <c r="BM93" s="167">
        <v>0</v>
      </c>
      <c r="BN93" s="1075">
        <f t="shared" si="87"/>
        <v>707.30884306786834</v>
      </c>
    </row>
    <row r="94" spans="1:66">
      <c r="A94" s="927">
        <f>'Input data'!A124</f>
        <v>2024</v>
      </c>
      <c r="B94" s="824">
        <f>'Input data'!B124</f>
        <v>62.221509701386374</v>
      </c>
      <c r="C94" s="824">
        <f>'Recycling - Case 2'!AK104/B94</f>
        <v>340.9682493805812</v>
      </c>
      <c r="D94" s="825">
        <f>'Recycling - Case 2'!AM104</f>
        <v>0.23112159323054371</v>
      </c>
      <c r="E94" s="826">
        <f>'Recycling - Case 2'!BE104</f>
        <v>0.19006356703225424</v>
      </c>
      <c r="F94" s="826">
        <f>'Recycling - Case 2'!BF104</f>
        <v>0.24105202215079755</v>
      </c>
      <c r="G94" s="826">
        <f>'Recycling - Case 2'!BG104</f>
        <v>6.7598881340952627E-2</v>
      </c>
      <c r="H94" s="826">
        <f>'Recycling - Case 2'!BH104</f>
        <v>0</v>
      </c>
      <c r="I94" s="826">
        <f>'Recycling - Case 2'!BI104</f>
        <v>0</v>
      </c>
      <c r="J94" s="826">
        <f>'Recycling - Case 2'!BJ104</f>
        <v>0</v>
      </c>
      <c r="K94" s="826">
        <f>'Recycling - Case 2'!BK104</f>
        <v>0.50128552947599581</v>
      </c>
      <c r="L94" s="827">
        <f t="shared" si="89"/>
        <v>1.0000000000000002</v>
      </c>
      <c r="M94" s="4"/>
      <c r="N94" s="838">
        <f t="shared" si="56"/>
        <v>4903.3738520627494</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0.10375949202137869</v>
      </c>
      <c r="Q94" s="832">
        <f t="shared" si="57"/>
        <v>222.68540697388903</v>
      </c>
      <c r="R94" s="832">
        <f t="shared" si="58"/>
        <v>222.68540697388903</v>
      </c>
      <c r="S94" s="835">
        <f t="shared" si="59"/>
        <v>0</v>
      </c>
      <c r="T94" s="832">
        <f t="shared" si="60"/>
        <v>11919.071319018241</v>
      </c>
      <c r="U94" s="832">
        <f t="shared" si="61"/>
        <v>599.68652934759575</v>
      </c>
      <c r="V94" s="839">
        <f t="shared" si="62"/>
        <v>399.79101956506383</v>
      </c>
      <c r="W94" s="4"/>
      <c r="X94" s="852">
        <f>'Recycling - Case 2'!AM144</f>
        <v>0</v>
      </c>
      <c r="Y94" s="853">
        <f>Parameters!S229</f>
        <v>0.71500000000000008</v>
      </c>
      <c r="Z94" s="853">
        <f t="shared" si="63"/>
        <v>0.4</v>
      </c>
      <c r="AA94" s="854">
        <f t="shared" si="64"/>
        <v>0</v>
      </c>
      <c r="AB94" s="854">
        <f t="shared" si="65"/>
        <v>0</v>
      </c>
      <c r="AC94" s="855">
        <f t="shared" si="66"/>
        <v>0</v>
      </c>
      <c r="AD94" s="854">
        <f t="shared" si="67"/>
        <v>8026.1717252908056</v>
      </c>
      <c r="AE94" s="854">
        <f t="shared" si="68"/>
        <v>411.51062405790401</v>
      </c>
      <c r="AF94" s="856">
        <f t="shared" si="69"/>
        <v>274.34041603860265</v>
      </c>
      <c r="AG94" s="4"/>
      <c r="AH94" s="852">
        <f>'Recycling - Case 2'!AM184</f>
        <v>0</v>
      </c>
      <c r="AI94" s="853">
        <f>Parameters!S229</f>
        <v>0.71500000000000008</v>
      </c>
      <c r="AJ94" s="853">
        <f t="shared" si="70"/>
        <v>0.4</v>
      </c>
      <c r="AK94" s="854">
        <f t="shared" si="71"/>
        <v>0</v>
      </c>
      <c r="AL94" s="854">
        <f t="shared" si="72"/>
        <v>0</v>
      </c>
      <c r="AM94" s="855">
        <f t="shared" si="73"/>
        <v>0</v>
      </c>
      <c r="AN94" s="854">
        <f t="shared" si="74"/>
        <v>8026.1717252908056</v>
      </c>
      <c r="AO94" s="854">
        <f t="shared" si="75"/>
        <v>411.51062405790401</v>
      </c>
      <c r="AP94" s="856">
        <f t="shared" si="76"/>
        <v>274.34041603860265</v>
      </c>
      <c r="AQ94" s="4"/>
      <c r="AR94" s="1042">
        <f>'Recycling - Case 2'!G104</f>
        <v>631.14655490897758</v>
      </c>
      <c r="AS94" s="1043">
        <v>1</v>
      </c>
      <c r="AT94" s="1043">
        <f t="shared" si="77"/>
        <v>0.05</v>
      </c>
      <c r="AU94" s="1044">
        <f t="shared" si="78"/>
        <v>15.77866387272444</v>
      </c>
      <c r="AV94" s="1044">
        <f t="shared" si="79"/>
        <v>15.77866387272444</v>
      </c>
      <c r="AW94" s="1045">
        <f t="shared" si="80"/>
        <v>0</v>
      </c>
      <c r="AX94" s="1044">
        <f t="shared" si="44"/>
        <v>178.78445373214188</v>
      </c>
      <c r="AY94" s="1044">
        <f t="shared" si="49"/>
        <v>10.079715111804974</v>
      </c>
      <c r="AZ94" s="1046">
        <f t="shared" si="47"/>
        <v>6.7198100745366496</v>
      </c>
      <c r="BA94" s="4"/>
      <c r="BB94" s="1055">
        <f t="shared" si="81"/>
        <v>399.79101956506383</v>
      </c>
      <c r="BC94" s="1056">
        <f t="shared" si="82"/>
        <v>274.34041603860265</v>
      </c>
      <c r="BD94" s="1082">
        <f t="shared" si="90"/>
        <v>6.7198100745366496</v>
      </c>
      <c r="BE94" s="1056">
        <f t="shared" si="54"/>
        <v>680.8512456782031</v>
      </c>
      <c r="BF94" s="167">
        <v>0</v>
      </c>
      <c r="BG94" s="1075">
        <f t="shared" si="83"/>
        <v>680.8512456782031</v>
      </c>
      <c r="BI94" s="1055">
        <f t="shared" si="84"/>
        <v>399.79101956506383</v>
      </c>
      <c r="BJ94" s="1056">
        <f t="shared" si="85"/>
        <v>274.34041603860265</v>
      </c>
      <c r="BK94" s="1082">
        <f t="shared" si="86"/>
        <v>6.7198100745366496</v>
      </c>
      <c r="BL94" s="1056">
        <f t="shared" si="55"/>
        <v>680.8512456782031</v>
      </c>
      <c r="BM94" s="167">
        <v>0</v>
      </c>
      <c r="BN94" s="1075">
        <f t="shared" si="87"/>
        <v>680.8512456782031</v>
      </c>
    </row>
    <row r="95" spans="1:66">
      <c r="A95" s="927">
        <f>'Input data'!A125</f>
        <v>2025</v>
      </c>
      <c r="B95" s="824">
        <f>'Input data'!B125</f>
        <v>62.892038582526091</v>
      </c>
      <c r="C95" s="824">
        <f>'Recycling - Case 2'!AK105/B95</f>
        <v>333.42245520975717</v>
      </c>
      <c r="D95" s="825">
        <f>'Recycling - Case 2'!AM105</f>
        <v>0.21788918260772572</v>
      </c>
      <c r="E95" s="826">
        <f>'Recycling - Case 2'!BE105</f>
        <v>0.19355654057484101</v>
      </c>
      <c r="F95" s="826">
        <f>'Recycling - Case 2'!BF105</f>
        <v>0.24548205758003311</v>
      </c>
      <c r="G95" s="826">
        <f>'Recycling - Case 2'!BG105</f>
        <v>6.5640113605096362E-2</v>
      </c>
      <c r="H95" s="826">
        <f>'Recycling - Case 2'!BH105</f>
        <v>0</v>
      </c>
      <c r="I95" s="826">
        <f>'Recycling - Case 2'!BI105</f>
        <v>0</v>
      </c>
      <c r="J95" s="826">
        <f>'Recycling - Case 2'!BJ105</f>
        <v>0</v>
      </c>
      <c r="K95" s="826">
        <f>'Recycling - Case 2'!BK105</f>
        <v>0.4953212882400293</v>
      </c>
      <c r="L95" s="827">
        <f t="shared" si="89"/>
        <v>0.99999999999999978</v>
      </c>
      <c r="M95" s="4"/>
      <c r="N95" s="838">
        <f t="shared" si="56"/>
        <v>4569.0529076039256</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0.10438593804427132</v>
      </c>
      <c r="Q95" s="832">
        <f t="shared" si="57"/>
        <v>213.70799150010546</v>
      </c>
      <c r="R95" s="832">
        <f t="shared" si="58"/>
        <v>213.70799150010546</v>
      </c>
      <c r="S95" s="835">
        <f t="shared" si="59"/>
        <v>0</v>
      </c>
      <c r="T95" s="832">
        <f t="shared" si="60"/>
        <v>11551.479342872793</v>
      </c>
      <c r="U95" s="832">
        <f t="shared" si="61"/>
        <v>581.29996764555335</v>
      </c>
      <c r="V95" s="839">
        <f t="shared" si="62"/>
        <v>387.53331176370222</v>
      </c>
      <c r="W95" s="4"/>
      <c r="X95" s="852">
        <f>'Recycling - Case 2'!AM145</f>
        <v>0</v>
      </c>
      <c r="Y95" s="853">
        <f>Parameters!S230</f>
        <v>0.71500000000000008</v>
      </c>
      <c r="Z95" s="853">
        <f t="shared" si="63"/>
        <v>0.4</v>
      </c>
      <c r="AA95" s="854">
        <f t="shared" si="64"/>
        <v>0</v>
      </c>
      <c r="AB95" s="854">
        <f t="shared" si="65"/>
        <v>0</v>
      </c>
      <c r="AC95" s="855">
        <f t="shared" si="66"/>
        <v>0</v>
      </c>
      <c r="AD95" s="854">
        <f t="shared" si="67"/>
        <v>7634.7307111922755</v>
      </c>
      <c r="AE95" s="854">
        <f t="shared" si="68"/>
        <v>391.44101409852971</v>
      </c>
      <c r="AF95" s="856">
        <f t="shared" si="69"/>
        <v>260.96067606568647</v>
      </c>
      <c r="AG95" s="4"/>
      <c r="AH95" s="852">
        <f>'Recycling - Case 2'!AM185</f>
        <v>0</v>
      </c>
      <c r="AI95" s="853">
        <f>Parameters!S230</f>
        <v>0.71500000000000008</v>
      </c>
      <c r="AJ95" s="853">
        <f t="shared" si="70"/>
        <v>0.4</v>
      </c>
      <c r="AK95" s="854">
        <f t="shared" si="71"/>
        <v>0</v>
      </c>
      <c r="AL95" s="854">
        <f t="shared" si="72"/>
        <v>0</v>
      </c>
      <c r="AM95" s="855">
        <f t="shared" si="73"/>
        <v>0</v>
      </c>
      <c r="AN95" s="854">
        <f t="shared" si="74"/>
        <v>7634.7307111922755</v>
      </c>
      <c r="AO95" s="854">
        <f t="shared" si="75"/>
        <v>391.44101409852971</v>
      </c>
      <c r="AP95" s="856">
        <f t="shared" si="76"/>
        <v>260.96067606568647</v>
      </c>
      <c r="AQ95" s="4"/>
      <c r="AR95" s="1042">
        <f>'Recycling - Case 2'!G105</f>
        <v>649.44592190956689</v>
      </c>
      <c r="AS95" s="1043">
        <v>1</v>
      </c>
      <c r="AT95" s="1043">
        <f t="shared" si="77"/>
        <v>0.05</v>
      </c>
      <c r="AU95" s="1044">
        <f t="shared" si="78"/>
        <v>16.236148047739174</v>
      </c>
      <c r="AV95" s="1044">
        <f t="shared" si="79"/>
        <v>16.236148047739174</v>
      </c>
      <c r="AW95" s="1045">
        <f t="shared" si="80"/>
        <v>0</v>
      </c>
      <c r="AX95" s="1044">
        <f t="shared" si="44"/>
        <v>184.60900572890446</v>
      </c>
      <c r="AY95" s="1044">
        <f t="shared" si="49"/>
        <v>10.411596050976588</v>
      </c>
      <c r="AZ95" s="1046">
        <f t="shared" si="47"/>
        <v>6.9410640339843921</v>
      </c>
      <c r="BA95" s="4"/>
      <c r="BB95" s="1055">
        <f t="shared" si="81"/>
        <v>387.53331176370222</v>
      </c>
      <c r="BC95" s="1056">
        <f t="shared" si="82"/>
        <v>260.96067606568647</v>
      </c>
      <c r="BD95" s="1082">
        <f t="shared" si="90"/>
        <v>6.9410640339843921</v>
      </c>
      <c r="BE95" s="1056">
        <f t="shared" si="54"/>
        <v>655.43505186337313</v>
      </c>
      <c r="BF95" s="167">
        <v>0</v>
      </c>
      <c r="BG95" s="1075">
        <f t="shared" si="83"/>
        <v>655.43505186337313</v>
      </c>
      <c r="BI95" s="1055">
        <f t="shared" si="84"/>
        <v>387.53331176370222</v>
      </c>
      <c r="BJ95" s="1056">
        <f t="shared" si="85"/>
        <v>260.96067606568647</v>
      </c>
      <c r="BK95" s="1082">
        <f t="shared" si="86"/>
        <v>6.9410640339843921</v>
      </c>
      <c r="BL95" s="1056">
        <f t="shared" si="55"/>
        <v>655.43505186337313</v>
      </c>
      <c r="BM95" s="167">
        <v>0</v>
      </c>
      <c r="BN95" s="1075">
        <f t="shared" si="87"/>
        <v>655.43505186337313</v>
      </c>
    </row>
    <row r="96" spans="1:66">
      <c r="A96" s="927">
        <f>'Input data'!A126</f>
        <v>2026</v>
      </c>
      <c r="B96" s="824">
        <f>'Input data'!B126</f>
        <v>63.548817559440096</v>
      </c>
      <c r="C96" s="824">
        <f>'Recycling - Case 2'!AK106/B96</f>
        <v>326.08654539180856</v>
      </c>
      <c r="D96" s="825">
        <f>'Recycling - Case 2'!AM106</f>
        <v>0.20435514342799796</v>
      </c>
      <c r="E96" s="826">
        <f>'Recycling - Case 2'!BE106</f>
        <v>0.19707703729266704</v>
      </c>
      <c r="F96" s="826">
        <f>'Recycling - Case 2'!BF106</f>
        <v>0.24994699984149868</v>
      </c>
      <c r="G96" s="826">
        <f>'Recycling - Case 2'!BG106</f>
        <v>6.3654247025737618E-2</v>
      </c>
      <c r="H96" s="826">
        <f>'Recycling - Case 2'!BH106</f>
        <v>0</v>
      </c>
      <c r="I96" s="826">
        <f>'Recycling - Case 2'!BI106</f>
        <v>0</v>
      </c>
      <c r="J96" s="826">
        <f>'Recycling - Case 2'!BJ106</f>
        <v>0</v>
      </c>
      <c r="K96" s="826">
        <f>'Recycling - Case 2'!BK106</f>
        <v>0.48932171584009665</v>
      </c>
      <c r="L96" s="827">
        <f t="shared" si="89"/>
        <v>1</v>
      </c>
      <c r="M96" s="4"/>
      <c r="N96" s="838">
        <f t="shared" si="56"/>
        <v>4234.7319631451019</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0.10501265437249484</v>
      </c>
      <c r="Q96" s="832">
        <f t="shared" si="57"/>
        <v>203.87804971348012</v>
      </c>
      <c r="R96" s="832">
        <f t="shared" si="58"/>
        <v>203.87804971348012</v>
      </c>
      <c r="S96" s="835">
        <f t="shared" si="59"/>
        <v>0</v>
      </c>
      <c r="T96" s="832">
        <f t="shared" si="60"/>
        <v>11191.985097166253</v>
      </c>
      <c r="U96" s="832">
        <f t="shared" si="61"/>
        <v>563.37229542002001</v>
      </c>
      <c r="V96" s="839">
        <f t="shared" si="62"/>
        <v>375.58153028001334</v>
      </c>
      <c r="W96" s="4"/>
      <c r="X96" s="852">
        <f>'Recycling - Case 2'!AM146</f>
        <v>0</v>
      </c>
      <c r="Y96" s="853">
        <f>Parameters!S231</f>
        <v>0.71500000000000008</v>
      </c>
      <c r="Z96" s="853">
        <f t="shared" si="63"/>
        <v>0.4</v>
      </c>
      <c r="AA96" s="854">
        <f t="shared" si="64"/>
        <v>0</v>
      </c>
      <c r="AB96" s="854">
        <f t="shared" si="65"/>
        <v>0</v>
      </c>
      <c r="AC96" s="855">
        <f t="shared" si="66"/>
        <v>0</v>
      </c>
      <c r="AD96" s="854">
        <f t="shared" si="67"/>
        <v>7262.3805006253551</v>
      </c>
      <c r="AE96" s="854">
        <f t="shared" si="68"/>
        <v>372.35021056692023</v>
      </c>
      <c r="AF96" s="856">
        <f t="shared" si="69"/>
        <v>248.23347371128014</v>
      </c>
      <c r="AG96" s="4"/>
      <c r="AH96" s="852">
        <f>'Recycling - Case 2'!AM186</f>
        <v>0</v>
      </c>
      <c r="AI96" s="853">
        <f>Parameters!S231</f>
        <v>0.71500000000000008</v>
      </c>
      <c r="AJ96" s="853">
        <f t="shared" si="70"/>
        <v>0.4</v>
      </c>
      <c r="AK96" s="854">
        <f t="shared" si="71"/>
        <v>0</v>
      </c>
      <c r="AL96" s="854">
        <f t="shared" si="72"/>
        <v>0</v>
      </c>
      <c r="AM96" s="855">
        <f t="shared" si="73"/>
        <v>0</v>
      </c>
      <c r="AN96" s="854">
        <f t="shared" si="74"/>
        <v>7262.3805006253551</v>
      </c>
      <c r="AO96" s="854">
        <f t="shared" si="75"/>
        <v>372.35021056692023</v>
      </c>
      <c r="AP96" s="856">
        <f t="shared" si="76"/>
        <v>248.23347371128014</v>
      </c>
      <c r="AQ96" s="4"/>
      <c r="AR96" s="1042">
        <f>'Recycling - Case 2'!G106</f>
        <v>667.84595886848376</v>
      </c>
      <c r="AS96" s="1043">
        <v>1</v>
      </c>
      <c r="AT96" s="1043">
        <f t="shared" si="77"/>
        <v>0.05</v>
      </c>
      <c r="AU96" s="1044">
        <f t="shared" si="78"/>
        <v>16.696148971712095</v>
      </c>
      <c r="AV96" s="1044">
        <f t="shared" si="79"/>
        <v>16.696148971712095</v>
      </c>
      <c r="AW96" s="1045">
        <f t="shared" si="80"/>
        <v>0</v>
      </c>
      <c r="AX96" s="1044">
        <f t="shared" si="44"/>
        <v>190.55436314744571</v>
      </c>
      <c r="AY96" s="1044">
        <f t="shared" si="49"/>
        <v>10.750791553170851</v>
      </c>
      <c r="AZ96" s="1046">
        <f t="shared" si="47"/>
        <v>7.1671943687805673</v>
      </c>
      <c r="BA96" s="4"/>
      <c r="BB96" s="1055">
        <f t="shared" si="81"/>
        <v>375.58153028001334</v>
      </c>
      <c r="BC96" s="1056">
        <f t="shared" si="82"/>
        <v>248.23347371128014</v>
      </c>
      <c r="BD96" s="1082">
        <f t="shared" si="90"/>
        <v>7.1671943687805673</v>
      </c>
      <c r="BE96" s="1056">
        <f t="shared" si="54"/>
        <v>630.98219836007399</v>
      </c>
      <c r="BF96" s="167">
        <v>0</v>
      </c>
      <c r="BG96" s="1075">
        <f t="shared" si="83"/>
        <v>630.98219836007399</v>
      </c>
      <c r="BI96" s="1055">
        <f t="shared" si="84"/>
        <v>375.58153028001334</v>
      </c>
      <c r="BJ96" s="1056">
        <f t="shared" si="85"/>
        <v>248.23347371128014</v>
      </c>
      <c r="BK96" s="1082">
        <f t="shared" si="86"/>
        <v>7.1671943687805673</v>
      </c>
      <c r="BL96" s="1056">
        <f t="shared" si="55"/>
        <v>630.98219836007399</v>
      </c>
      <c r="BM96" s="167">
        <v>0</v>
      </c>
      <c r="BN96" s="1075">
        <f t="shared" si="87"/>
        <v>630.98219836007399</v>
      </c>
    </row>
    <row r="97" spans="1:66">
      <c r="A97" s="927">
        <f>'Input data'!A127</f>
        <v>2027</v>
      </c>
      <c r="B97" s="824">
        <f>'Input data'!B127</f>
        <v>64.191260356766122</v>
      </c>
      <c r="C97" s="824">
        <f>'Recycling - Case 2'!AK107/B97</f>
        <v>318.94811809555193</v>
      </c>
      <c r="D97" s="825">
        <f>'Recycling - Case 2'!AM107</f>
        <v>0.19050853080260471</v>
      </c>
      <c r="E97" s="826">
        <f>'Recycling - Case 2'!BE107</f>
        <v>0.20062855392392273</v>
      </c>
      <c r="F97" s="826">
        <f>'Recycling - Case 2'!BF107</f>
        <v>0.25445128374521531</v>
      </c>
      <c r="G97" s="826">
        <f>'Recycling - Case 2'!BG107</f>
        <v>6.1639273401389631E-2</v>
      </c>
      <c r="H97" s="826">
        <f>'Recycling - Case 2'!BH107</f>
        <v>0</v>
      </c>
      <c r="I97" s="826">
        <f>'Recycling - Case 2'!BI107</f>
        <v>0</v>
      </c>
      <c r="J97" s="826">
        <f>'Recycling - Case 2'!BJ107</f>
        <v>0</v>
      </c>
      <c r="K97" s="826">
        <f>'Recycling - Case 2'!BK107</f>
        <v>0.48328088892947224</v>
      </c>
      <c r="L97" s="827">
        <f t="shared" si="89"/>
        <v>1</v>
      </c>
      <c r="M97" s="4"/>
      <c r="N97" s="838">
        <f t="shared" si="56"/>
        <v>3900.4110186862777</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0.10564024919818732</v>
      </c>
      <c r="Q97" s="832">
        <f t="shared" si="57"/>
        <v>193.1835530134795</v>
      </c>
      <c r="R97" s="832">
        <f t="shared" si="58"/>
        <v>193.1835530134795</v>
      </c>
      <c r="S97" s="835">
        <f t="shared" si="59"/>
        <v>0</v>
      </c>
      <c r="T97" s="832">
        <f t="shared" si="60"/>
        <v>10839.329096011501</v>
      </c>
      <c r="U97" s="832">
        <f t="shared" si="61"/>
        <v>545.83955416823028</v>
      </c>
      <c r="V97" s="839">
        <f t="shared" si="62"/>
        <v>363.89303611215354</v>
      </c>
      <c r="W97" s="4"/>
      <c r="X97" s="852">
        <f>'Recycling - Case 2'!AM147</f>
        <v>0</v>
      </c>
      <c r="Y97" s="853">
        <f>Parameters!S232</f>
        <v>0.71500000000000008</v>
      </c>
      <c r="Z97" s="853">
        <f t="shared" si="63"/>
        <v>0.4</v>
      </c>
      <c r="AA97" s="854">
        <f t="shared" si="64"/>
        <v>0</v>
      </c>
      <c r="AB97" s="854">
        <f t="shared" si="65"/>
        <v>0</v>
      </c>
      <c r="AC97" s="855">
        <f t="shared" si="66"/>
        <v>0</v>
      </c>
      <c r="AD97" s="854">
        <f t="shared" si="67"/>
        <v>6908.1900241150643</v>
      </c>
      <c r="AE97" s="854">
        <f t="shared" si="68"/>
        <v>354.19047651029121</v>
      </c>
      <c r="AF97" s="856">
        <f t="shared" si="69"/>
        <v>236.12698434019413</v>
      </c>
      <c r="AG97" s="4"/>
      <c r="AH97" s="852">
        <f>'Recycling - Case 2'!AM187</f>
        <v>0</v>
      </c>
      <c r="AI97" s="853">
        <f>Parameters!S232</f>
        <v>0.71500000000000008</v>
      </c>
      <c r="AJ97" s="853">
        <f t="shared" si="70"/>
        <v>0.4</v>
      </c>
      <c r="AK97" s="854">
        <f t="shared" si="71"/>
        <v>0</v>
      </c>
      <c r="AL97" s="854">
        <f t="shared" si="72"/>
        <v>0</v>
      </c>
      <c r="AM97" s="855">
        <f t="shared" si="73"/>
        <v>0</v>
      </c>
      <c r="AN97" s="854">
        <f t="shared" si="74"/>
        <v>6908.1900241150643</v>
      </c>
      <c r="AO97" s="854">
        <f t="shared" si="75"/>
        <v>354.19047651029121</v>
      </c>
      <c r="AP97" s="856">
        <f t="shared" si="76"/>
        <v>236.12698434019413</v>
      </c>
      <c r="AQ97" s="4"/>
      <c r="AR97" s="1042">
        <f>'Recycling - Case 2'!G107</f>
        <v>686.33285611963663</v>
      </c>
      <c r="AS97" s="1043">
        <v>1</v>
      </c>
      <c r="AT97" s="1043">
        <f t="shared" si="77"/>
        <v>0.05</v>
      </c>
      <c r="AU97" s="1044">
        <f t="shared" si="78"/>
        <v>17.158321402990918</v>
      </c>
      <c r="AV97" s="1044">
        <f t="shared" si="79"/>
        <v>17.158321402990918</v>
      </c>
      <c r="AW97" s="1045">
        <f t="shared" si="80"/>
        <v>0</v>
      </c>
      <c r="AX97" s="1044">
        <f t="shared" si="44"/>
        <v>196.61566233498868</v>
      </c>
      <c r="AY97" s="1044">
        <f t="shared" si="49"/>
        <v>11.097022215447948</v>
      </c>
      <c r="AZ97" s="1046">
        <f t="shared" si="47"/>
        <v>7.3980148102986325</v>
      </c>
      <c r="BA97" s="4"/>
      <c r="BB97" s="1055">
        <f t="shared" si="81"/>
        <v>363.89303611215354</v>
      </c>
      <c r="BC97" s="1056">
        <f t="shared" si="82"/>
        <v>236.12698434019413</v>
      </c>
      <c r="BD97" s="1082">
        <f t="shared" si="90"/>
        <v>7.3980148102986325</v>
      </c>
      <c r="BE97" s="1056">
        <f t="shared" si="54"/>
        <v>607.4180352626463</v>
      </c>
      <c r="BF97" s="167">
        <v>0</v>
      </c>
      <c r="BG97" s="1075">
        <f t="shared" si="83"/>
        <v>607.4180352626463</v>
      </c>
      <c r="BI97" s="1055">
        <f t="shared" si="84"/>
        <v>363.89303611215354</v>
      </c>
      <c r="BJ97" s="1056">
        <f t="shared" si="85"/>
        <v>236.12698434019413</v>
      </c>
      <c r="BK97" s="1082">
        <f t="shared" si="86"/>
        <v>7.3980148102986325</v>
      </c>
      <c r="BL97" s="1056">
        <f t="shared" si="55"/>
        <v>607.4180352626463</v>
      </c>
      <c r="BM97" s="167">
        <v>0</v>
      </c>
      <c r="BN97" s="1075">
        <f t="shared" si="87"/>
        <v>607.4180352626463</v>
      </c>
    </row>
    <row r="98" spans="1:66">
      <c r="A98" s="927">
        <f>'Input data'!A128</f>
        <v>2028</v>
      </c>
      <c r="B98" s="824">
        <f>'Input data'!B128</f>
        <v>64.818788725428234</v>
      </c>
      <c r="C98" s="824">
        <f>'Recycling - Case 2'!AK108/B98</f>
        <v>311.99511644861855</v>
      </c>
      <c r="D98" s="825">
        <f>'Recycling - Case 2'!AM108</f>
        <v>0.176337062293314</v>
      </c>
      <c r="E98" s="826">
        <f>'Recycling - Case 2'!BE108</f>
        <v>0.20421465044194656</v>
      </c>
      <c r="F98" s="826">
        <f>'Recycling - Case 2'!BF108</f>
        <v>0.25899942430047956</v>
      </c>
      <c r="G98" s="826">
        <f>'Recycling - Case 2'!BG108</f>
        <v>5.9593121881565098E-2</v>
      </c>
      <c r="H98" s="826">
        <f>'Recycling - Case 2'!BH108</f>
        <v>0</v>
      </c>
      <c r="I98" s="826">
        <f>'Recycling - Case 2'!BI108</f>
        <v>0</v>
      </c>
      <c r="J98" s="826">
        <f>'Recycling - Case 2'!BJ108</f>
        <v>0</v>
      </c>
      <c r="K98" s="826">
        <f>'Recycling - Case 2'!BK108</f>
        <v>0.47719280337600883</v>
      </c>
      <c r="L98" s="827">
        <f t="shared" si="89"/>
        <v>1</v>
      </c>
      <c r="M98" s="4"/>
      <c r="N98" s="838">
        <f t="shared" si="56"/>
        <v>3566.0900742274539</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0.10626933117901394</v>
      </c>
      <c r="Q98" s="832">
        <f t="shared" si="57"/>
        <v>181.61217110072707</v>
      </c>
      <c r="R98" s="832">
        <f t="shared" si="58"/>
        <v>181.61217110072707</v>
      </c>
      <c r="S98" s="835">
        <f t="shared" si="59"/>
        <v>0</v>
      </c>
      <c r="T98" s="832">
        <f t="shared" si="60"/>
        <v>10492.300949073591</v>
      </c>
      <c r="U98" s="832">
        <f t="shared" si="61"/>
        <v>528.64031803863622</v>
      </c>
      <c r="V98" s="839">
        <f t="shared" si="62"/>
        <v>352.42687869242417</v>
      </c>
      <c r="W98" s="4"/>
      <c r="X98" s="852">
        <f>'Recycling - Case 2'!AM148</f>
        <v>0</v>
      </c>
      <c r="Y98" s="853">
        <f>Parameters!S233</f>
        <v>0.71500000000000008</v>
      </c>
      <c r="Z98" s="853">
        <f t="shared" si="63"/>
        <v>0.4</v>
      </c>
      <c r="AA98" s="854">
        <f t="shared" si="64"/>
        <v>0</v>
      </c>
      <c r="AB98" s="854">
        <f t="shared" si="65"/>
        <v>0</v>
      </c>
      <c r="AC98" s="855">
        <f t="shared" si="66"/>
        <v>0</v>
      </c>
      <c r="AD98" s="854">
        <f t="shared" si="67"/>
        <v>6571.2736209805462</v>
      </c>
      <c r="AE98" s="854">
        <f t="shared" si="68"/>
        <v>336.91640313451802</v>
      </c>
      <c r="AF98" s="856">
        <f t="shared" si="69"/>
        <v>224.61093542301202</v>
      </c>
      <c r="AG98" s="4"/>
      <c r="AH98" s="852">
        <f>'Recycling - Case 2'!AM188</f>
        <v>0</v>
      </c>
      <c r="AI98" s="853">
        <f>Parameters!S233</f>
        <v>0.71500000000000008</v>
      </c>
      <c r="AJ98" s="853">
        <f t="shared" si="70"/>
        <v>0.4</v>
      </c>
      <c r="AK98" s="854">
        <f t="shared" si="71"/>
        <v>0</v>
      </c>
      <c r="AL98" s="854">
        <f t="shared" si="72"/>
        <v>0</v>
      </c>
      <c r="AM98" s="855">
        <f t="shared" si="73"/>
        <v>0</v>
      </c>
      <c r="AN98" s="854">
        <f t="shared" si="74"/>
        <v>6571.2736209805462</v>
      </c>
      <c r="AO98" s="854">
        <f t="shared" si="75"/>
        <v>336.91640313451802</v>
      </c>
      <c r="AP98" s="856">
        <f t="shared" si="76"/>
        <v>224.61093542301202</v>
      </c>
      <c r="AQ98" s="4"/>
      <c r="AR98" s="1042">
        <f>'Recycling - Case 2'!G108</f>
        <v>704.89246255338583</v>
      </c>
      <c r="AS98" s="1043">
        <v>1</v>
      </c>
      <c r="AT98" s="1043">
        <f t="shared" si="77"/>
        <v>0.05</v>
      </c>
      <c r="AU98" s="1044">
        <f t="shared" si="78"/>
        <v>17.622311563834646</v>
      </c>
      <c r="AV98" s="1044">
        <f t="shared" si="79"/>
        <v>17.622311563834646</v>
      </c>
      <c r="AW98" s="1045">
        <f t="shared" si="80"/>
        <v>0</v>
      </c>
      <c r="AX98" s="1044">
        <f t="shared" si="44"/>
        <v>202.78796909810339</v>
      </c>
      <c r="AY98" s="1044">
        <f t="shared" si="49"/>
        <v>11.450004800719928</v>
      </c>
      <c r="AZ98" s="1046">
        <f t="shared" si="47"/>
        <v>7.633336533813285</v>
      </c>
      <c r="BA98" s="4"/>
      <c r="BB98" s="1055">
        <f t="shared" si="81"/>
        <v>352.42687869242417</v>
      </c>
      <c r="BC98" s="1056">
        <f t="shared" si="82"/>
        <v>224.61093542301202</v>
      </c>
      <c r="BD98" s="1082">
        <f t="shared" si="90"/>
        <v>7.633336533813285</v>
      </c>
      <c r="BE98" s="1056">
        <f t="shared" si="54"/>
        <v>584.6711506492494</v>
      </c>
      <c r="BF98" s="167">
        <v>0</v>
      </c>
      <c r="BG98" s="1075">
        <f t="shared" si="83"/>
        <v>584.6711506492494</v>
      </c>
      <c r="BI98" s="1055">
        <f t="shared" si="84"/>
        <v>352.42687869242417</v>
      </c>
      <c r="BJ98" s="1056">
        <f t="shared" si="85"/>
        <v>224.61093542301202</v>
      </c>
      <c r="BK98" s="1082">
        <f t="shared" si="86"/>
        <v>7.633336533813285</v>
      </c>
      <c r="BL98" s="1056">
        <f t="shared" si="55"/>
        <v>584.6711506492494</v>
      </c>
      <c r="BM98" s="167">
        <v>0</v>
      </c>
      <c r="BN98" s="1075">
        <f t="shared" si="87"/>
        <v>584.6711506492494</v>
      </c>
    </row>
    <row r="99" spans="1:66">
      <c r="A99" s="927">
        <f>'Input data'!A129</f>
        <v>2029</v>
      </c>
      <c r="B99" s="824">
        <f>'Input data'!B129</f>
        <v>65.435442210930105</v>
      </c>
      <c r="C99" s="824">
        <f>'Recycling - Case 2'!AK109/B99</f>
        <v>305.20350626422811</v>
      </c>
      <c r="D99" s="825">
        <f>'Recycling - Case 2'!AM109</f>
        <v>0.16182207580932503</v>
      </c>
      <c r="E99" s="826">
        <f>'Recycling - Case 2'!BE109</f>
        <v>0.2078448457589184</v>
      </c>
      <c r="F99" s="826">
        <f>'Recycling - Case 2'!BF109</f>
        <v>0.26360349406314965</v>
      </c>
      <c r="G99" s="826">
        <f>'Recycling - Case 2'!BG109</f>
        <v>5.7512199304914538E-2</v>
      </c>
      <c r="H99" s="826">
        <f>'Recycling - Case 2'!BH109</f>
        <v>0</v>
      </c>
      <c r="I99" s="826">
        <f>'Recycling - Case 2'!BI109</f>
        <v>0</v>
      </c>
      <c r="J99" s="826">
        <f>'Recycling - Case 2'!BJ109</f>
        <v>0</v>
      </c>
      <c r="K99" s="826">
        <f>'Recycling - Case 2'!BK109</f>
        <v>0.4710394608730174</v>
      </c>
      <c r="L99" s="827">
        <f t="shared" si="89"/>
        <v>1</v>
      </c>
      <c r="M99" s="4"/>
      <c r="N99" s="838">
        <f t="shared" si="56"/>
        <v>3231.7691297686301</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0.1069023053984335</v>
      </c>
      <c r="Q99" s="832">
        <f t="shared" si="57"/>
        <v>169.1540712426588</v>
      </c>
      <c r="R99" s="832">
        <f t="shared" si="58"/>
        <v>169.1540712426588</v>
      </c>
      <c r="S99" s="835">
        <f t="shared" si="59"/>
        <v>0</v>
      </c>
      <c r="T99" s="832">
        <f t="shared" si="60"/>
        <v>10149.739464718226</v>
      </c>
      <c r="U99" s="832">
        <f t="shared" si="61"/>
        <v>511.71555559802357</v>
      </c>
      <c r="V99" s="839">
        <f t="shared" si="62"/>
        <v>341.14370373201569</v>
      </c>
      <c r="W99" s="4"/>
      <c r="X99" s="852">
        <f>'Recycling - Case 2'!AM149</f>
        <v>0</v>
      </c>
      <c r="Y99" s="853">
        <f>Parameters!S234</f>
        <v>0.71500000000000008</v>
      </c>
      <c r="Z99" s="853">
        <f t="shared" si="63"/>
        <v>0.4</v>
      </c>
      <c r="AA99" s="854">
        <f t="shared" si="64"/>
        <v>0</v>
      </c>
      <c r="AB99" s="854">
        <f t="shared" si="65"/>
        <v>0</v>
      </c>
      <c r="AC99" s="855">
        <f t="shared" si="66"/>
        <v>0</v>
      </c>
      <c r="AD99" s="854">
        <f t="shared" si="67"/>
        <v>6250.788824722048</v>
      </c>
      <c r="AE99" s="854">
        <f t="shared" si="68"/>
        <v>320.48479625849814</v>
      </c>
      <c r="AF99" s="856">
        <f t="shared" si="69"/>
        <v>213.65653083899875</v>
      </c>
      <c r="AG99" s="4"/>
      <c r="AH99" s="852">
        <f>'Recycling - Case 2'!AM189</f>
        <v>0</v>
      </c>
      <c r="AI99" s="853">
        <f>Parameters!S234</f>
        <v>0.71500000000000008</v>
      </c>
      <c r="AJ99" s="853">
        <f t="shared" si="70"/>
        <v>0.4</v>
      </c>
      <c r="AK99" s="854">
        <f t="shared" si="71"/>
        <v>0</v>
      </c>
      <c r="AL99" s="854">
        <f t="shared" si="72"/>
        <v>0</v>
      </c>
      <c r="AM99" s="855">
        <f t="shared" si="73"/>
        <v>0</v>
      </c>
      <c r="AN99" s="854">
        <f t="shared" si="74"/>
        <v>6250.788824722048</v>
      </c>
      <c r="AO99" s="854">
        <f t="shared" si="75"/>
        <v>320.48479625849814</v>
      </c>
      <c r="AP99" s="856">
        <f t="shared" si="76"/>
        <v>213.65653083899875</v>
      </c>
      <c r="AQ99" s="4"/>
      <c r="AR99" s="1042">
        <f>'Recycling - Case 2'!G109</f>
        <v>723.56126609065177</v>
      </c>
      <c r="AS99" s="1043">
        <v>1</v>
      </c>
      <c r="AT99" s="1043">
        <f t="shared" si="77"/>
        <v>0.05</v>
      </c>
      <c r="AU99" s="1044">
        <f t="shared" si="78"/>
        <v>18.089031652266296</v>
      </c>
      <c r="AV99" s="1044">
        <f t="shared" si="79"/>
        <v>18.089031652266296</v>
      </c>
      <c r="AW99" s="1045">
        <f t="shared" si="80"/>
        <v>0</v>
      </c>
      <c r="AX99" s="1044">
        <f t="shared" si="44"/>
        <v>209.06754878643869</v>
      </c>
      <c r="AY99" s="1044">
        <f t="shared" si="49"/>
        <v>11.809451963931009</v>
      </c>
      <c r="AZ99" s="1046">
        <f t="shared" si="47"/>
        <v>7.8729679759540057</v>
      </c>
      <c r="BA99" s="4"/>
      <c r="BB99" s="1055">
        <f t="shared" si="81"/>
        <v>341.14370373201569</v>
      </c>
      <c r="BC99" s="1056">
        <f t="shared" si="82"/>
        <v>213.65653083899875</v>
      </c>
      <c r="BD99" s="1082">
        <f t="shared" si="90"/>
        <v>7.8729679759540057</v>
      </c>
      <c r="BE99" s="1056">
        <f t="shared" si="54"/>
        <v>562.67320254696847</v>
      </c>
      <c r="BF99" s="167">
        <v>0</v>
      </c>
      <c r="BG99" s="1075">
        <f t="shared" si="83"/>
        <v>562.67320254696847</v>
      </c>
      <c r="BI99" s="1055">
        <f t="shared" si="84"/>
        <v>341.14370373201569</v>
      </c>
      <c r="BJ99" s="1056">
        <f t="shared" si="85"/>
        <v>213.65653083899875</v>
      </c>
      <c r="BK99" s="1082">
        <f t="shared" si="86"/>
        <v>7.8729679759540057</v>
      </c>
      <c r="BL99" s="1056">
        <f t="shared" si="55"/>
        <v>562.67320254696847</v>
      </c>
      <c r="BM99" s="167">
        <v>0</v>
      </c>
      <c r="BN99" s="1075">
        <f t="shared" si="87"/>
        <v>562.67320254696847</v>
      </c>
    </row>
    <row r="100" spans="1:66">
      <c r="A100" s="927">
        <f>'Input data'!A130</f>
        <v>2030</v>
      </c>
      <c r="B100" s="824">
        <f>'Input data'!B130</f>
        <v>66.040790860694059</v>
      </c>
      <c r="C100" s="824">
        <f>'Recycling - Case 2'!AK110/B100</f>
        <v>298.56375160658246</v>
      </c>
      <c r="D100" s="825">
        <f>'Recycling - Case 2'!AM110</f>
        <v>0.14694889801285832</v>
      </c>
      <c r="E100" s="826">
        <f>'Recycling - Case 2'!BE110</f>
        <v>0.21152261618513082</v>
      </c>
      <c r="F100" s="826">
        <f>'Recycling - Case 2'!BF110</f>
        <v>0.26826790193514582</v>
      </c>
      <c r="G100" s="826">
        <f>'Recycling - Case 2'!BG110</f>
        <v>5.5394439284700059E-2</v>
      </c>
      <c r="H100" s="826">
        <f>'Recycling - Case 2'!BH110</f>
        <v>0</v>
      </c>
      <c r="I100" s="826">
        <f>'Recycling - Case 2'!BI110</f>
        <v>0</v>
      </c>
      <c r="J100" s="826">
        <f>'Recycling - Case 2'!BJ110</f>
        <v>0</v>
      </c>
      <c r="K100" s="826">
        <f>'Recycling - Case 2'!BK110</f>
        <v>0.46481504259502315</v>
      </c>
      <c r="L100" s="827">
        <f t="shared" si="89"/>
        <v>0.99999999999999989</v>
      </c>
      <c r="M100" s="4"/>
      <c r="N100" s="838">
        <f t="shared" si="56"/>
        <v>2897.4481853098068</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0.10753974852867881</v>
      </c>
      <c r="Q100" s="832">
        <f t="shared" si="57"/>
        <v>155.79542461154671</v>
      </c>
      <c r="R100" s="832">
        <f t="shared" si="58"/>
        <v>155.79542461154671</v>
      </c>
      <c r="S100" s="835">
        <f t="shared" si="59"/>
        <v>0</v>
      </c>
      <c r="T100" s="832">
        <f t="shared" si="60"/>
        <v>9810.5262544676498</v>
      </c>
      <c r="U100" s="832">
        <f t="shared" si="61"/>
        <v>495.00863486212279</v>
      </c>
      <c r="V100" s="839">
        <f t="shared" si="62"/>
        <v>330.00575657474855</v>
      </c>
      <c r="W100" s="4"/>
      <c r="X100" s="852">
        <f>'Recycling - Case 2'!AM150</f>
        <v>0</v>
      </c>
      <c r="Y100" s="853">
        <f>Parameters!S235</f>
        <v>0.71500000000000008</v>
      </c>
      <c r="Z100" s="853">
        <f t="shared" si="63"/>
        <v>0.4</v>
      </c>
      <c r="AA100" s="854">
        <f t="shared" si="64"/>
        <v>0</v>
      </c>
      <c r="AB100" s="854">
        <f t="shared" si="65"/>
        <v>0</v>
      </c>
      <c r="AC100" s="855">
        <f t="shared" si="66"/>
        <v>0</v>
      </c>
      <c r="AD100" s="854">
        <f t="shared" si="67"/>
        <v>5945.9342564158487</v>
      </c>
      <c r="AE100" s="854">
        <f t="shared" si="68"/>
        <v>304.85456830619972</v>
      </c>
      <c r="AF100" s="856">
        <f t="shared" si="69"/>
        <v>203.23637887079983</v>
      </c>
      <c r="AG100" s="4"/>
      <c r="AH100" s="852">
        <f>'Recycling - Case 2'!AM190</f>
        <v>0</v>
      </c>
      <c r="AI100" s="853">
        <f>Parameters!S235</f>
        <v>0.71500000000000008</v>
      </c>
      <c r="AJ100" s="853">
        <f t="shared" si="70"/>
        <v>0.4</v>
      </c>
      <c r="AK100" s="854">
        <f t="shared" si="71"/>
        <v>0</v>
      </c>
      <c r="AL100" s="854">
        <f t="shared" si="72"/>
        <v>0</v>
      </c>
      <c r="AM100" s="855">
        <f t="shared" si="73"/>
        <v>0</v>
      </c>
      <c r="AN100" s="854">
        <f t="shared" si="74"/>
        <v>5945.9342564158487</v>
      </c>
      <c r="AO100" s="854">
        <f t="shared" si="75"/>
        <v>304.85456830619972</v>
      </c>
      <c r="AP100" s="856">
        <f t="shared" si="76"/>
        <v>203.23637887079983</v>
      </c>
      <c r="AQ100" s="4"/>
      <c r="AR100" s="1042">
        <f>'Recycling - Case 2'!G110</f>
        <v>742.32846947961411</v>
      </c>
      <c r="AS100" s="1043">
        <v>1</v>
      </c>
      <c r="AT100" s="1043">
        <f t="shared" si="77"/>
        <v>0.05</v>
      </c>
      <c r="AU100" s="1044">
        <f t="shared" si="78"/>
        <v>18.558211736990355</v>
      </c>
      <c r="AV100" s="1044">
        <f t="shared" si="79"/>
        <v>18.558211736990355</v>
      </c>
      <c r="AW100" s="1045">
        <f t="shared" si="80"/>
        <v>0</v>
      </c>
      <c r="AX100" s="1044">
        <f t="shared" si="44"/>
        <v>215.45061430745295</v>
      </c>
      <c r="AY100" s="1044">
        <f t="shared" si="49"/>
        <v>12.175146215976092</v>
      </c>
      <c r="AZ100" s="1046">
        <f t="shared" si="47"/>
        <v>8.1167641439840619</v>
      </c>
      <c r="BA100" s="4"/>
      <c r="BB100" s="1055">
        <f t="shared" si="81"/>
        <v>330.00575657474855</v>
      </c>
      <c r="BC100" s="1056">
        <f t="shared" si="82"/>
        <v>203.23637887079983</v>
      </c>
      <c r="BD100" s="1082">
        <f t="shared" si="90"/>
        <v>8.1167641439840619</v>
      </c>
      <c r="BE100" s="1056">
        <f t="shared" si="54"/>
        <v>541.35889958953237</v>
      </c>
      <c r="BF100" s="167">
        <v>0</v>
      </c>
      <c r="BG100" s="1075">
        <f t="shared" si="83"/>
        <v>541.35889958953237</v>
      </c>
      <c r="BI100" s="1055">
        <f t="shared" si="84"/>
        <v>330.00575657474855</v>
      </c>
      <c r="BJ100" s="1056">
        <f t="shared" si="85"/>
        <v>203.23637887079983</v>
      </c>
      <c r="BK100" s="1082">
        <f t="shared" si="86"/>
        <v>8.1167641439840619</v>
      </c>
      <c r="BL100" s="1056">
        <f t="shared" si="55"/>
        <v>541.35889958953237</v>
      </c>
      <c r="BM100" s="167">
        <v>0</v>
      </c>
      <c r="BN100" s="1075">
        <f t="shared" si="87"/>
        <v>541.35889958953237</v>
      </c>
    </row>
    <row r="101" spans="1:66">
      <c r="A101" s="927">
        <f>'Input data'!A131</f>
        <v>2031</v>
      </c>
      <c r="B101" s="824">
        <f>'Input data'!B131</f>
        <v>66.6344094187031</v>
      </c>
      <c r="C101" s="824">
        <f>'Recycling - Case 2'!AK111/B101</f>
        <v>290.06021478695209</v>
      </c>
      <c r="D101" s="825">
        <f>'Recycling - Case 2'!AM111</f>
        <v>0.13261219060499221</v>
      </c>
      <c r="E101" s="826">
        <f>'Recycling - Case 2'!BE111</f>
        <v>0.21225356152019015</v>
      </c>
      <c r="F101" s="826">
        <f>'Recycling - Case 2'!BF111</f>
        <v>0.26919493836747704</v>
      </c>
      <c r="G101" s="826">
        <f>'Recycling - Case 2'!BG111</f>
        <v>5.5217889310991419E-2</v>
      </c>
      <c r="H101" s="826">
        <f>'Recycling - Case 2'!BH111</f>
        <v>0</v>
      </c>
      <c r="I101" s="826">
        <f>'Recycling - Case 2'!BI111</f>
        <v>0</v>
      </c>
      <c r="J101" s="826">
        <f>'Recycling - Case 2'!BJ111</f>
        <v>0</v>
      </c>
      <c r="K101" s="826">
        <f>'Recycling - Case 2'!BK111</f>
        <v>0.46333361080134122</v>
      </c>
      <c r="L101" s="827">
        <f t="shared" si="89"/>
        <v>0.99999999999999978</v>
      </c>
      <c r="M101" s="4"/>
      <c r="N101" s="838">
        <f t="shared" si="56"/>
        <v>2563.1272408509831</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0.1077641776259205</v>
      </c>
      <c r="Q101" s="832">
        <f t="shared" si="57"/>
        <v>138.10664963045042</v>
      </c>
      <c r="R101" s="832">
        <f t="shared" si="58"/>
        <v>138.10664963045042</v>
      </c>
      <c r="S101" s="835">
        <f t="shared" si="59"/>
        <v>0</v>
      </c>
      <c r="T101" s="832">
        <f t="shared" si="60"/>
        <v>9470.1678927168578</v>
      </c>
      <c r="U101" s="832">
        <f t="shared" si="61"/>
        <v>478.46501138124188</v>
      </c>
      <c r="V101" s="839">
        <f t="shared" si="62"/>
        <v>318.97667425416125</v>
      </c>
      <c r="W101" s="4"/>
      <c r="X101" s="852">
        <f>'Recycling - Case 2'!AM151</f>
        <v>0</v>
      </c>
      <c r="Y101" s="853">
        <f>Parameters!S236</f>
        <v>0.71500000000000008</v>
      </c>
      <c r="Z101" s="853">
        <f t="shared" si="63"/>
        <v>0.4</v>
      </c>
      <c r="AA101" s="854">
        <f t="shared" si="64"/>
        <v>0</v>
      </c>
      <c r="AB101" s="854">
        <f t="shared" si="65"/>
        <v>0</v>
      </c>
      <c r="AC101" s="855">
        <f t="shared" si="66"/>
        <v>0</v>
      </c>
      <c r="AD101" s="854">
        <f t="shared" si="67"/>
        <v>5655.9476208495289</v>
      </c>
      <c r="AE101" s="854">
        <f t="shared" si="68"/>
        <v>289.98663556631999</v>
      </c>
      <c r="AF101" s="856">
        <f t="shared" si="69"/>
        <v>193.32442371087998</v>
      </c>
      <c r="AG101" s="4"/>
      <c r="AH101" s="852">
        <f>'Recycling - Case 2'!AM191</f>
        <v>0</v>
      </c>
      <c r="AI101" s="853">
        <f>Parameters!S236</f>
        <v>0.71500000000000008</v>
      </c>
      <c r="AJ101" s="853">
        <f t="shared" si="70"/>
        <v>0.4</v>
      </c>
      <c r="AK101" s="854">
        <f t="shared" si="71"/>
        <v>0</v>
      </c>
      <c r="AL101" s="854">
        <f t="shared" si="72"/>
        <v>0</v>
      </c>
      <c r="AM101" s="855">
        <f t="shared" si="73"/>
        <v>0</v>
      </c>
      <c r="AN101" s="854">
        <f t="shared" si="74"/>
        <v>5655.9476208495289</v>
      </c>
      <c r="AO101" s="854">
        <f t="shared" si="75"/>
        <v>289.98663556631999</v>
      </c>
      <c r="AP101" s="856">
        <f t="shared" si="76"/>
        <v>193.32442371087998</v>
      </c>
      <c r="AQ101" s="4"/>
      <c r="AR101" s="1042">
        <f>'Recycling - Case 2'!G111</f>
        <v>749.00101155366463</v>
      </c>
      <c r="AS101" s="1043">
        <v>1</v>
      </c>
      <c r="AT101" s="1043">
        <f t="shared" si="77"/>
        <v>0.05</v>
      </c>
      <c r="AU101" s="1044">
        <f t="shared" si="78"/>
        <v>18.725025288841618</v>
      </c>
      <c r="AV101" s="1044">
        <f t="shared" si="79"/>
        <v>18.725025288841618</v>
      </c>
      <c r="AW101" s="1045">
        <f t="shared" si="80"/>
        <v>0</v>
      </c>
      <c r="AX101" s="1044">
        <f t="shared" si="44"/>
        <v>221.62877258253991</v>
      </c>
      <c r="AY101" s="1044">
        <f t="shared" si="49"/>
        <v>12.546867013754659</v>
      </c>
      <c r="AZ101" s="1046">
        <f t="shared" si="47"/>
        <v>8.3645780091697723</v>
      </c>
      <c r="BA101" s="4"/>
      <c r="BB101" s="1055">
        <f t="shared" si="81"/>
        <v>318.97667425416125</v>
      </c>
      <c r="BC101" s="1056">
        <f t="shared" si="82"/>
        <v>193.32442371087998</v>
      </c>
      <c r="BD101" s="1082">
        <f t="shared" si="90"/>
        <v>8.3645780091697723</v>
      </c>
      <c r="BE101" s="1056">
        <f t="shared" si="54"/>
        <v>520.66567597421101</v>
      </c>
      <c r="BF101" s="167">
        <v>0</v>
      </c>
      <c r="BG101" s="1075">
        <f t="shared" si="83"/>
        <v>520.66567597421101</v>
      </c>
      <c r="BI101" s="1055">
        <f t="shared" si="84"/>
        <v>318.97667425416125</v>
      </c>
      <c r="BJ101" s="1056">
        <f t="shared" si="85"/>
        <v>193.32442371087998</v>
      </c>
      <c r="BK101" s="1082">
        <f t="shared" si="86"/>
        <v>8.3645780091697723</v>
      </c>
      <c r="BL101" s="1056">
        <f t="shared" si="55"/>
        <v>520.66567597421101</v>
      </c>
      <c r="BM101" s="167">
        <v>0</v>
      </c>
      <c r="BN101" s="1075">
        <f t="shared" si="87"/>
        <v>520.66567597421101</v>
      </c>
    </row>
    <row r="102" spans="1:66">
      <c r="A102" s="927">
        <f>'Input data'!A132</f>
        <v>2032</v>
      </c>
      <c r="B102" s="824">
        <f>'Input data'!B132</f>
        <v>67.215877817791679</v>
      </c>
      <c r="C102" s="824">
        <f>'Recycling - Case 2'!AK112/B102</f>
        <v>281.7471686507306</v>
      </c>
      <c r="D102" s="825">
        <f>'Recycling - Case 2'!AM112</f>
        <v>0.11769035986633153</v>
      </c>
      <c r="E102" s="826">
        <f>'Recycling - Case 2'!BE112</f>
        <v>0.21295264249390564</v>
      </c>
      <c r="F102" s="826">
        <f>'Recycling - Case 2'!BF112</f>
        <v>0.27008156216914803</v>
      </c>
      <c r="G102" s="826">
        <f>'Recycling - Case 2'!BG112</f>
        <v>5.5049035743412841E-2</v>
      </c>
      <c r="H102" s="826">
        <f>'Recycling - Case 2'!BH112</f>
        <v>0</v>
      </c>
      <c r="I102" s="826">
        <f>'Recycling - Case 2'!BI112</f>
        <v>0</v>
      </c>
      <c r="J102" s="826">
        <f>'Recycling - Case 2'!BJ112</f>
        <v>0</v>
      </c>
      <c r="K102" s="826">
        <f>'Recycling - Case 2'!BK112</f>
        <v>0.46191675959353351</v>
      </c>
      <c r="L102" s="827">
        <f t="shared" si="89"/>
        <v>1</v>
      </c>
      <c r="M102" s="4"/>
      <c r="N102" s="838">
        <f t="shared" si="56"/>
        <v>2228.8062963921584</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0.10797882310528059</v>
      </c>
      <c r="Q102" s="832">
        <f t="shared" si="57"/>
        <v>120.33194040703222</v>
      </c>
      <c r="R102" s="832">
        <f t="shared" si="58"/>
        <v>120.33194040703222</v>
      </c>
      <c r="S102" s="835">
        <f t="shared" si="59"/>
        <v>0</v>
      </c>
      <c r="T102" s="832">
        <f t="shared" si="60"/>
        <v>9128.6342949212285</v>
      </c>
      <c r="U102" s="832">
        <f t="shared" si="61"/>
        <v>461.86553820266158</v>
      </c>
      <c r="V102" s="839">
        <f t="shared" si="62"/>
        <v>307.91035880177441</v>
      </c>
      <c r="W102" s="4"/>
      <c r="X102" s="852">
        <f>'Recycling - Case 2'!AM152</f>
        <v>0</v>
      </c>
      <c r="Y102" s="853">
        <f>Parameters!S237</f>
        <v>0.71500000000000008</v>
      </c>
      <c r="Z102" s="853">
        <f t="shared" si="63"/>
        <v>0.4</v>
      </c>
      <c r="AA102" s="854">
        <f t="shared" si="64"/>
        <v>0</v>
      </c>
      <c r="AB102" s="854">
        <f t="shared" si="65"/>
        <v>0</v>
      </c>
      <c r="AC102" s="855">
        <f t="shared" si="66"/>
        <v>0</v>
      </c>
      <c r="AD102" s="854">
        <f t="shared" si="67"/>
        <v>5380.1038003868798</v>
      </c>
      <c r="AE102" s="854">
        <f t="shared" si="68"/>
        <v>275.84382046264886</v>
      </c>
      <c r="AF102" s="856">
        <f t="shared" si="69"/>
        <v>183.89588030843257</v>
      </c>
      <c r="AG102" s="4"/>
      <c r="AH102" s="852">
        <f>'Recycling - Case 2'!AM192</f>
        <v>0</v>
      </c>
      <c r="AI102" s="853">
        <f>Parameters!S237</f>
        <v>0.71500000000000008</v>
      </c>
      <c r="AJ102" s="853">
        <f t="shared" si="70"/>
        <v>0.4</v>
      </c>
      <c r="AK102" s="854">
        <f t="shared" si="71"/>
        <v>0</v>
      </c>
      <c r="AL102" s="854">
        <f t="shared" si="72"/>
        <v>0</v>
      </c>
      <c r="AM102" s="855">
        <f t="shared" si="73"/>
        <v>0</v>
      </c>
      <c r="AN102" s="854">
        <f t="shared" si="74"/>
        <v>5380.1038003868798</v>
      </c>
      <c r="AO102" s="854">
        <f t="shared" si="75"/>
        <v>275.84382046264886</v>
      </c>
      <c r="AP102" s="856">
        <f t="shared" si="76"/>
        <v>183.89588030843257</v>
      </c>
      <c r="AQ102" s="4"/>
      <c r="AR102" s="1042">
        <f>'Recycling - Case 2'!G112</f>
        <v>755.53698032570264</v>
      </c>
      <c r="AS102" s="1043">
        <v>1</v>
      </c>
      <c r="AT102" s="1043">
        <f t="shared" si="77"/>
        <v>0.05</v>
      </c>
      <c r="AU102" s="1044">
        <f t="shared" si="78"/>
        <v>18.888424508142567</v>
      </c>
      <c r="AV102" s="1044">
        <f t="shared" si="79"/>
        <v>18.888424508142567</v>
      </c>
      <c r="AW102" s="1045">
        <f t="shared" si="80"/>
        <v>0</v>
      </c>
      <c r="AX102" s="1044">
        <f t="shared" si="44"/>
        <v>227.61054214818782</v>
      </c>
      <c r="AY102" s="1044">
        <f t="shared" si="49"/>
        <v>12.906654942494681</v>
      </c>
      <c r="AZ102" s="1046">
        <f t="shared" si="47"/>
        <v>8.604436628329788</v>
      </c>
      <c r="BA102" s="4"/>
      <c r="BB102" s="1055">
        <f t="shared" si="81"/>
        <v>307.91035880177441</v>
      </c>
      <c r="BC102" s="1056">
        <f t="shared" si="82"/>
        <v>183.89588030843257</v>
      </c>
      <c r="BD102" s="1082">
        <f t="shared" si="90"/>
        <v>8.604436628329788</v>
      </c>
      <c r="BE102" s="1056">
        <f t="shared" si="54"/>
        <v>500.41067573853678</v>
      </c>
      <c r="BF102" s="167">
        <v>0</v>
      </c>
      <c r="BG102" s="1075">
        <f t="shared" si="83"/>
        <v>500.41067573853678</v>
      </c>
      <c r="BI102" s="1055">
        <f t="shared" si="84"/>
        <v>307.91035880177441</v>
      </c>
      <c r="BJ102" s="1056">
        <f t="shared" si="85"/>
        <v>183.89588030843257</v>
      </c>
      <c r="BK102" s="1082">
        <f t="shared" si="86"/>
        <v>8.604436628329788</v>
      </c>
      <c r="BL102" s="1056">
        <f t="shared" si="55"/>
        <v>500.41067573853678</v>
      </c>
      <c r="BM102" s="167">
        <v>0</v>
      </c>
      <c r="BN102" s="1075">
        <f t="shared" si="87"/>
        <v>500.41067573853678</v>
      </c>
    </row>
    <row r="103" spans="1:66">
      <c r="A103" s="927">
        <f>'Input data'!A133</f>
        <v>2033</v>
      </c>
      <c r="B103" s="824">
        <f>'Input data'!B133</f>
        <v>67.784781669940756</v>
      </c>
      <c r="C103" s="824">
        <f>'Recycling - Case 2'!AK113/B103</f>
        <v>280.51509892940925</v>
      </c>
      <c r="D103" s="825">
        <f>'Recycling - Case 2'!AM113</f>
        <v>0.11721518625138828</v>
      </c>
      <c r="E103" s="826">
        <f>'Recycling - Case 2'!BE113</f>
        <v>0.21362098806928778</v>
      </c>
      <c r="F103" s="826">
        <f>'Recycling - Case 2'!BF113</f>
        <v>0.27092920517068153</v>
      </c>
      <c r="G103" s="826">
        <f>'Recycling - Case 2'!BG113</f>
        <v>5.4887605896196658E-2</v>
      </c>
      <c r="H103" s="826">
        <f>'Recycling - Case 2'!BH113</f>
        <v>0</v>
      </c>
      <c r="I103" s="826">
        <f>'Recycling - Case 2'!BI113</f>
        <v>0</v>
      </c>
      <c r="J103" s="826">
        <f>'Recycling - Case 2'!BJ113</f>
        <v>0</v>
      </c>
      <c r="K103" s="826">
        <f>'Recycling - Case 2'!BK113</f>
        <v>0.4605622008638342</v>
      </c>
      <c r="L103" s="827">
        <f t="shared" si="89"/>
        <v>1.0000000000000002</v>
      </c>
      <c r="M103" s="4"/>
      <c r="N103" s="838">
        <f t="shared" si="56"/>
        <v>2228.8062963921584</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0.10818403160300816</v>
      </c>
      <c r="Q103" s="832">
        <f t="shared" si="57"/>
        <v>120.56062540293641</v>
      </c>
      <c r="R103" s="832">
        <f t="shared" si="58"/>
        <v>120.56062540293641</v>
      </c>
      <c r="S103" s="835">
        <f t="shared" si="59"/>
        <v>0</v>
      </c>
      <c r="T103" s="832">
        <f t="shared" si="60"/>
        <v>8803.9861722383393</v>
      </c>
      <c r="U103" s="832">
        <f t="shared" si="61"/>
        <v>445.20874808582704</v>
      </c>
      <c r="V103" s="839">
        <f t="shared" si="62"/>
        <v>296.80583205721803</v>
      </c>
      <c r="W103" s="4"/>
      <c r="X103" s="852">
        <f>'Recycling - Case 2'!AM153</f>
        <v>0</v>
      </c>
      <c r="Y103" s="853">
        <f>Parameters!S238</f>
        <v>0.71500000000000008</v>
      </c>
      <c r="Z103" s="853">
        <f t="shared" si="63"/>
        <v>0.4</v>
      </c>
      <c r="AA103" s="854">
        <f t="shared" si="64"/>
        <v>0</v>
      </c>
      <c r="AB103" s="854">
        <f t="shared" si="65"/>
        <v>0</v>
      </c>
      <c r="AC103" s="855">
        <f t="shared" si="66"/>
        <v>0</v>
      </c>
      <c r="AD103" s="854">
        <f t="shared" si="67"/>
        <v>5117.7130417961162</v>
      </c>
      <c r="AE103" s="854">
        <f t="shared" si="68"/>
        <v>262.39075859076377</v>
      </c>
      <c r="AF103" s="856">
        <f t="shared" si="69"/>
        <v>174.92717239384251</v>
      </c>
      <c r="AG103" s="4"/>
      <c r="AH103" s="852">
        <f>'Recycling - Case 2'!AM193</f>
        <v>0</v>
      </c>
      <c r="AI103" s="853">
        <f>Parameters!S238</f>
        <v>0.71500000000000008</v>
      </c>
      <c r="AJ103" s="853">
        <f t="shared" si="70"/>
        <v>0.4</v>
      </c>
      <c r="AK103" s="854">
        <f t="shared" si="71"/>
        <v>0</v>
      </c>
      <c r="AL103" s="854">
        <f t="shared" si="72"/>
        <v>0</v>
      </c>
      <c r="AM103" s="855">
        <f t="shared" si="73"/>
        <v>0</v>
      </c>
      <c r="AN103" s="854">
        <f t="shared" si="74"/>
        <v>5117.7130417961162</v>
      </c>
      <c r="AO103" s="854">
        <f t="shared" si="75"/>
        <v>262.39075859076377</v>
      </c>
      <c r="AP103" s="856">
        <f t="shared" si="76"/>
        <v>174.92717239384251</v>
      </c>
      <c r="AQ103" s="4"/>
      <c r="AR103" s="1042">
        <f>'Recycling - Case 2'!G113</f>
        <v>761.93171788627637</v>
      </c>
      <c r="AS103" s="1043">
        <v>1</v>
      </c>
      <c r="AT103" s="1043">
        <f t="shared" si="77"/>
        <v>0.05</v>
      </c>
      <c r="AU103" s="1044">
        <f t="shared" si="78"/>
        <v>19.048292947156909</v>
      </c>
      <c r="AV103" s="1044">
        <f t="shared" si="79"/>
        <v>19.048292947156909</v>
      </c>
      <c r="AW103" s="1045">
        <f t="shared" si="80"/>
        <v>0</v>
      </c>
      <c r="AX103" s="1044">
        <f t="shared" si="44"/>
        <v>233.403829012203</v>
      </c>
      <c r="AY103" s="1044">
        <f t="shared" si="49"/>
        <v>13.255006083141733</v>
      </c>
      <c r="AZ103" s="1046">
        <f t="shared" si="47"/>
        <v>8.8366707220944889</v>
      </c>
      <c r="BA103" s="4"/>
      <c r="BB103" s="1055">
        <f t="shared" si="81"/>
        <v>296.80583205721803</v>
      </c>
      <c r="BC103" s="1056">
        <f t="shared" si="82"/>
        <v>174.92717239384251</v>
      </c>
      <c r="BD103" s="1082">
        <f t="shared" si="90"/>
        <v>8.8366707220944889</v>
      </c>
      <c r="BE103" s="1056">
        <f t="shared" si="54"/>
        <v>480.56967517315502</v>
      </c>
      <c r="BF103" s="167">
        <v>0</v>
      </c>
      <c r="BG103" s="1075">
        <f t="shared" si="83"/>
        <v>480.56967517315502</v>
      </c>
      <c r="BI103" s="1055">
        <f t="shared" si="84"/>
        <v>296.80583205721803</v>
      </c>
      <c r="BJ103" s="1056">
        <f t="shared" si="85"/>
        <v>174.92717239384251</v>
      </c>
      <c r="BK103" s="1082">
        <f t="shared" si="86"/>
        <v>8.8366707220944889</v>
      </c>
      <c r="BL103" s="1056">
        <f t="shared" si="55"/>
        <v>480.56967517315502</v>
      </c>
      <c r="BM103" s="167">
        <v>0</v>
      </c>
      <c r="BN103" s="1075">
        <f t="shared" si="87"/>
        <v>480.56967517315502</v>
      </c>
    </row>
    <row r="104" spans="1:66">
      <c r="A104" s="927">
        <f>'Input data'!A134</f>
        <v>2034</v>
      </c>
      <c r="B104" s="824">
        <f>'Input data'!B134</f>
        <v>68.342055626742408</v>
      </c>
      <c r="C104" s="824">
        <f>'Recycling - Case 2'!AK114/B104</f>
        <v>279.32893305281084</v>
      </c>
      <c r="D104" s="825">
        <f>'Recycling - Case 2'!AM114</f>
        <v>0.11675308526817242</v>
      </c>
      <c r="E104" s="826">
        <f>'Recycling - Case 2'!BE114</f>
        <v>0.21426118579123435</v>
      </c>
      <c r="F104" s="826">
        <f>'Recycling - Case 2'!BF114</f>
        <v>0.27174114907903391</v>
      </c>
      <c r="G104" s="826">
        <f>'Recycling - Case 2'!BG114</f>
        <v>5.4732974782819556E-2</v>
      </c>
      <c r="H104" s="826">
        <f>'Recycling - Case 2'!BH114</f>
        <v>0</v>
      </c>
      <c r="I104" s="826">
        <f>'Recycling - Case 2'!BI114</f>
        <v>0</v>
      </c>
      <c r="J104" s="826">
        <f>'Recycling - Case 2'!BJ114</f>
        <v>0</v>
      </c>
      <c r="K104" s="826">
        <f>'Recycling - Case 2'!BK114</f>
        <v>0.45926469034691214</v>
      </c>
      <c r="L104" s="827">
        <f t="shared" si="89"/>
        <v>1</v>
      </c>
      <c r="M104" s="4"/>
      <c r="N104" s="838">
        <f t="shared" si="56"/>
        <v>2228.8062963921584</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0.10838059759761975</v>
      </c>
      <c r="Q104" s="832">
        <f t="shared" si="57"/>
        <v>120.77967916615987</v>
      </c>
      <c r="R104" s="832">
        <f t="shared" si="58"/>
        <v>120.77967916615987</v>
      </c>
      <c r="S104" s="835">
        <f t="shared" si="59"/>
        <v>0</v>
      </c>
      <c r="T104" s="832">
        <f t="shared" si="60"/>
        <v>8495.3903790966797</v>
      </c>
      <c r="U104" s="832">
        <f t="shared" si="61"/>
        <v>429.37547230781973</v>
      </c>
      <c r="V104" s="839">
        <f t="shared" si="62"/>
        <v>286.25031487187982</v>
      </c>
      <c r="W104" s="4"/>
      <c r="X104" s="852">
        <f>'Recycling - Case 2'!AM154</f>
        <v>0</v>
      </c>
      <c r="Y104" s="853">
        <f>Parameters!S239</f>
        <v>0.71500000000000008</v>
      </c>
      <c r="Z104" s="853">
        <f t="shared" si="63"/>
        <v>0.4</v>
      </c>
      <c r="AA104" s="854">
        <f t="shared" si="64"/>
        <v>0</v>
      </c>
      <c r="AB104" s="854">
        <f t="shared" si="65"/>
        <v>0</v>
      </c>
      <c r="AC104" s="855">
        <f t="shared" si="66"/>
        <v>0</v>
      </c>
      <c r="AD104" s="854">
        <f t="shared" si="67"/>
        <v>4868.1192315075177</v>
      </c>
      <c r="AE104" s="854">
        <f t="shared" si="68"/>
        <v>249.59381028859801</v>
      </c>
      <c r="AF104" s="856">
        <f t="shared" si="69"/>
        <v>166.39587352573201</v>
      </c>
      <c r="AG104" s="4"/>
      <c r="AH104" s="852">
        <f>'Recycling - Case 2'!AM194</f>
        <v>0</v>
      </c>
      <c r="AI104" s="853">
        <f>Parameters!S239</f>
        <v>0.71500000000000008</v>
      </c>
      <c r="AJ104" s="853">
        <f t="shared" si="70"/>
        <v>0.4</v>
      </c>
      <c r="AK104" s="854">
        <f t="shared" si="71"/>
        <v>0</v>
      </c>
      <c r="AL104" s="854">
        <f t="shared" si="72"/>
        <v>0</v>
      </c>
      <c r="AM104" s="855">
        <f t="shared" si="73"/>
        <v>0</v>
      </c>
      <c r="AN104" s="854">
        <f t="shared" si="74"/>
        <v>4868.1192315075177</v>
      </c>
      <c r="AO104" s="854">
        <f t="shared" si="75"/>
        <v>249.59381028859801</v>
      </c>
      <c r="AP104" s="856">
        <f t="shared" si="76"/>
        <v>166.39587352573201</v>
      </c>
      <c r="AQ104" s="4"/>
      <c r="AR104" s="1042">
        <f>'Recycling - Case 2'!G114</f>
        <v>768.19573014358014</v>
      </c>
      <c r="AS104" s="1043">
        <v>1</v>
      </c>
      <c r="AT104" s="1043">
        <f t="shared" si="77"/>
        <v>0.05</v>
      </c>
      <c r="AU104" s="1044">
        <f t="shared" si="78"/>
        <v>19.204893253589503</v>
      </c>
      <c r="AV104" s="1044">
        <f t="shared" si="79"/>
        <v>19.204893253589503</v>
      </c>
      <c r="AW104" s="1045">
        <f t="shared" si="80"/>
        <v>0</v>
      </c>
      <c r="AX104" s="1044">
        <f t="shared" si="44"/>
        <v>239.01634142004463</v>
      </c>
      <c r="AY104" s="1044">
        <f t="shared" si="49"/>
        <v>13.592380845747902</v>
      </c>
      <c r="AZ104" s="1046">
        <f t="shared" si="47"/>
        <v>9.0615872304986009</v>
      </c>
      <c r="BA104" s="4"/>
      <c r="BB104" s="1055">
        <f t="shared" si="81"/>
        <v>286.25031487187982</v>
      </c>
      <c r="BC104" s="1056">
        <f t="shared" si="82"/>
        <v>166.39587352573201</v>
      </c>
      <c r="BD104" s="1082">
        <f t="shared" si="90"/>
        <v>9.0615872304986009</v>
      </c>
      <c r="BE104" s="1056">
        <f t="shared" si="54"/>
        <v>461.70777562811043</v>
      </c>
      <c r="BF104" s="167">
        <v>0</v>
      </c>
      <c r="BG104" s="1075">
        <f t="shared" si="83"/>
        <v>461.70777562811043</v>
      </c>
      <c r="BI104" s="1055">
        <f t="shared" si="84"/>
        <v>286.25031487187982</v>
      </c>
      <c r="BJ104" s="1056">
        <f t="shared" si="85"/>
        <v>166.39587352573201</v>
      </c>
      <c r="BK104" s="1082">
        <f t="shared" si="86"/>
        <v>9.0615872304986009</v>
      </c>
      <c r="BL104" s="1056">
        <f t="shared" si="55"/>
        <v>461.70777562811043</v>
      </c>
      <c r="BM104" s="167">
        <v>0</v>
      </c>
      <c r="BN104" s="1075">
        <f t="shared" si="87"/>
        <v>461.70777562811043</v>
      </c>
    </row>
    <row r="105" spans="1:66">
      <c r="A105" s="927">
        <f>'Input data'!A135</f>
        <v>2035</v>
      </c>
      <c r="B105" s="824">
        <f>'Input data'!B135</f>
        <v>68.88733085860035</v>
      </c>
      <c r="C105" s="824">
        <f>'Recycling - Case 2'!AK115/B105</f>
        <v>278.18764521853552</v>
      </c>
      <c r="D105" s="825">
        <f>'Recycling - Case 2'!AM115</f>
        <v>0.11630412812110268</v>
      </c>
      <c r="E105" s="826">
        <f>'Recycling - Case 2'!BE115</f>
        <v>0.21487417432033118</v>
      </c>
      <c r="F105" s="826">
        <f>'Recycling - Case 2'!BF115</f>
        <v>0.27251858436976989</v>
      </c>
      <c r="G105" s="826">
        <f>'Recycling - Case 2'!BG115</f>
        <v>5.4584915682494392E-2</v>
      </c>
      <c r="H105" s="826">
        <f>'Recycling - Case 2'!BH115</f>
        <v>0</v>
      </c>
      <c r="I105" s="826">
        <f>'Recycling - Case 2'!BI115</f>
        <v>0</v>
      </c>
      <c r="J105" s="826">
        <f>'Recycling - Case 2'!BJ115</f>
        <v>0</v>
      </c>
      <c r="K105" s="826">
        <f>'Recycling - Case 2'!BK115</f>
        <v>0.45802232562740441</v>
      </c>
      <c r="L105" s="827">
        <f t="shared" si="89"/>
        <v>0.99999999999999989</v>
      </c>
      <c r="M105" s="4"/>
      <c r="N105" s="838">
        <f t="shared" si="56"/>
        <v>2228.8062963921584</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0.10856880929500141</v>
      </c>
      <c r="Q105" s="832">
        <f t="shared" si="57"/>
        <v>120.98942287424933</v>
      </c>
      <c r="R105" s="832">
        <f t="shared" si="58"/>
        <v>120.98942287424933</v>
      </c>
      <c r="S105" s="835">
        <f t="shared" si="59"/>
        <v>0</v>
      </c>
      <c r="T105" s="832">
        <f t="shared" si="60"/>
        <v>8202.0547240912856</v>
      </c>
      <c r="U105" s="832">
        <f t="shared" si="61"/>
        <v>414.32507787964238</v>
      </c>
      <c r="V105" s="839">
        <f t="shared" si="62"/>
        <v>276.21671858642827</v>
      </c>
      <c r="W105" s="4"/>
      <c r="X105" s="852">
        <f>'Recycling - Case 2'!AM155</f>
        <v>0</v>
      </c>
      <c r="Y105" s="853">
        <f>Parameters!S240</f>
        <v>0.71500000000000008</v>
      </c>
      <c r="Z105" s="853">
        <f t="shared" si="63"/>
        <v>0.4</v>
      </c>
      <c r="AA105" s="854">
        <f t="shared" si="64"/>
        <v>0</v>
      </c>
      <c r="AB105" s="854">
        <f t="shared" si="65"/>
        <v>0</v>
      </c>
      <c r="AC105" s="855">
        <f t="shared" si="66"/>
        <v>0</v>
      </c>
      <c r="AD105" s="854">
        <f t="shared" si="67"/>
        <v>4630.6982549877539</v>
      </c>
      <c r="AE105" s="854">
        <f t="shared" si="68"/>
        <v>237.42097651976346</v>
      </c>
      <c r="AF105" s="856">
        <f t="shared" si="69"/>
        <v>158.28065101317563</v>
      </c>
      <c r="AG105" s="4"/>
      <c r="AH105" s="852">
        <f>'Recycling - Case 2'!AM195</f>
        <v>0</v>
      </c>
      <c r="AI105" s="853">
        <f>Parameters!S240</f>
        <v>0.71500000000000008</v>
      </c>
      <c r="AJ105" s="853">
        <f t="shared" si="70"/>
        <v>0.4</v>
      </c>
      <c r="AK105" s="854">
        <f t="shared" si="71"/>
        <v>0</v>
      </c>
      <c r="AL105" s="854">
        <f t="shared" si="72"/>
        <v>0</v>
      </c>
      <c r="AM105" s="855">
        <f t="shared" si="73"/>
        <v>0</v>
      </c>
      <c r="AN105" s="854">
        <f t="shared" si="74"/>
        <v>4630.6982549877539</v>
      </c>
      <c r="AO105" s="854">
        <f t="shared" si="75"/>
        <v>237.42097651976346</v>
      </c>
      <c r="AP105" s="856">
        <f t="shared" si="76"/>
        <v>158.28065101317563</v>
      </c>
      <c r="AQ105" s="4"/>
      <c r="AR105" s="1042">
        <f>'Recycling - Case 2'!G115</f>
        <v>774.32487128551588</v>
      </c>
      <c r="AS105" s="1043">
        <v>1</v>
      </c>
      <c r="AT105" s="1043">
        <f t="shared" si="77"/>
        <v>0.05</v>
      </c>
      <c r="AU105" s="1044">
        <f t="shared" si="78"/>
        <v>19.3581217821379</v>
      </c>
      <c r="AV105" s="1044">
        <f t="shared" si="79"/>
        <v>19.3581217821379</v>
      </c>
      <c r="AW105" s="1045">
        <f t="shared" si="80"/>
        <v>0</v>
      </c>
      <c r="AX105" s="1044">
        <f t="shared" si="44"/>
        <v>244.4552350785998</v>
      </c>
      <c r="AY105" s="1044">
        <f t="shared" si="49"/>
        <v>13.91922812358275</v>
      </c>
      <c r="AZ105" s="1046">
        <f t="shared" si="47"/>
        <v>9.2794854157218332</v>
      </c>
      <c r="BA105" s="4"/>
      <c r="BB105" s="1055">
        <f t="shared" si="81"/>
        <v>276.21671858642827</v>
      </c>
      <c r="BC105" s="1056">
        <f t="shared" si="82"/>
        <v>158.28065101317563</v>
      </c>
      <c r="BD105" s="1082">
        <f t="shared" si="90"/>
        <v>9.2794854157218332</v>
      </c>
      <c r="BE105" s="1056">
        <f t="shared" si="54"/>
        <v>443.77685501532568</v>
      </c>
      <c r="BF105" s="167">
        <v>0</v>
      </c>
      <c r="BG105" s="1075">
        <f t="shared" si="83"/>
        <v>443.77685501532568</v>
      </c>
      <c r="BI105" s="1055">
        <f t="shared" si="84"/>
        <v>276.21671858642827</v>
      </c>
      <c r="BJ105" s="1056">
        <f t="shared" si="85"/>
        <v>158.28065101317563</v>
      </c>
      <c r="BK105" s="1082">
        <f t="shared" si="86"/>
        <v>9.2794854157218332</v>
      </c>
      <c r="BL105" s="1056">
        <f t="shared" si="55"/>
        <v>443.77685501532568</v>
      </c>
      <c r="BM105" s="167">
        <v>0</v>
      </c>
      <c r="BN105" s="1075">
        <f t="shared" si="87"/>
        <v>443.77685501532568</v>
      </c>
    </row>
    <row r="106" spans="1:66">
      <c r="A106" s="927">
        <f>'Input data'!A136</f>
        <v>2036</v>
      </c>
      <c r="B106" s="824">
        <f>'Input data'!B136</f>
        <v>69.420244147098416</v>
      </c>
      <c r="C106" s="824">
        <f>'Recycling - Case 2'!AK116/B106</f>
        <v>277.09025591010533</v>
      </c>
      <c r="D106" s="825">
        <f>'Recycling - Case 2'!AM116</f>
        <v>0.11586838013712665</v>
      </c>
      <c r="E106" s="826">
        <f>'Recycling - Case 2'!BE116</f>
        <v>0.21546083872155694</v>
      </c>
      <c r="F106" s="826">
        <f>'Recycling - Case 2'!BF116</f>
        <v>0.27326263354472491</v>
      </c>
      <c r="G106" s="826">
        <f>'Recycling - Case 2'!BG116</f>
        <v>5.444321481972908E-2</v>
      </c>
      <c r="H106" s="826">
        <f>'Recycling - Case 2'!BH116</f>
        <v>0</v>
      </c>
      <c r="I106" s="826">
        <f>'Recycling - Case 2'!BI116</f>
        <v>0</v>
      </c>
      <c r="J106" s="826">
        <f>'Recycling - Case 2'!BJ116</f>
        <v>0</v>
      </c>
      <c r="K106" s="826">
        <f>'Recycling - Case 2'!BK116</f>
        <v>0.45683331291398949</v>
      </c>
      <c r="L106" s="827">
        <f t="shared" si="89"/>
        <v>1.0000000000000004</v>
      </c>
      <c r="M106" s="4"/>
      <c r="N106" s="838">
        <f t="shared" si="56"/>
        <v>2228.8062963921584</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0.10874893844507016</v>
      </c>
      <c r="Q106" s="832">
        <f t="shared" si="57"/>
        <v>121.19015936616782</v>
      </c>
      <c r="R106" s="832">
        <f t="shared" si="58"/>
        <v>121.19015936616782</v>
      </c>
      <c r="S106" s="835">
        <f t="shared" si="59"/>
        <v>0</v>
      </c>
      <c r="T106" s="832">
        <f t="shared" si="60"/>
        <v>7923.2259542868842</v>
      </c>
      <c r="U106" s="832">
        <f t="shared" si="61"/>
        <v>400.01892917056932</v>
      </c>
      <c r="V106" s="839">
        <f t="shared" si="62"/>
        <v>266.67928611371286</v>
      </c>
      <c r="W106" s="4"/>
      <c r="X106" s="852">
        <f>'Recycling - Case 2'!AM156</f>
        <v>0</v>
      </c>
      <c r="Y106" s="853">
        <f>Parameters!S241</f>
        <v>0.71500000000000008</v>
      </c>
      <c r="Z106" s="853">
        <f t="shared" si="63"/>
        <v>0.4</v>
      </c>
      <c r="AA106" s="854">
        <f t="shared" si="64"/>
        <v>0</v>
      </c>
      <c r="AB106" s="854">
        <f t="shared" si="65"/>
        <v>0</v>
      </c>
      <c r="AC106" s="855">
        <f t="shared" si="66"/>
        <v>0</v>
      </c>
      <c r="AD106" s="854">
        <f t="shared" si="67"/>
        <v>4404.8564361284616</v>
      </c>
      <c r="AE106" s="854">
        <f t="shared" si="68"/>
        <v>225.84181885929212</v>
      </c>
      <c r="AF106" s="856">
        <f t="shared" si="69"/>
        <v>150.56121257286142</v>
      </c>
      <c r="AG106" s="4"/>
      <c r="AH106" s="852">
        <f>'Recycling - Case 2'!AM196</f>
        <v>0</v>
      </c>
      <c r="AI106" s="853">
        <f>Parameters!S241</f>
        <v>0.71500000000000008</v>
      </c>
      <c r="AJ106" s="853">
        <f t="shared" si="70"/>
        <v>0.4</v>
      </c>
      <c r="AK106" s="854">
        <f t="shared" si="71"/>
        <v>0</v>
      </c>
      <c r="AL106" s="854">
        <f t="shared" si="72"/>
        <v>0</v>
      </c>
      <c r="AM106" s="855">
        <f t="shared" si="73"/>
        <v>0</v>
      </c>
      <c r="AN106" s="854">
        <f t="shared" si="74"/>
        <v>4404.8564361284616</v>
      </c>
      <c r="AO106" s="854">
        <f t="shared" si="75"/>
        <v>225.84181885929212</v>
      </c>
      <c r="AP106" s="856">
        <f t="shared" si="76"/>
        <v>150.56121257286142</v>
      </c>
      <c r="AQ106" s="4"/>
      <c r="AR106" s="1042">
        <f>'Recycling - Case 2'!G116</f>
        <v>780.31505857219713</v>
      </c>
      <c r="AS106" s="1043">
        <v>1</v>
      </c>
      <c r="AT106" s="1043">
        <f t="shared" si="77"/>
        <v>0.05</v>
      </c>
      <c r="AU106" s="1044">
        <f t="shared" si="78"/>
        <v>19.507876464304928</v>
      </c>
      <c r="AV106" s="1044">
        <f t="shared" si="79"/>
        <v>19.507876464304928</v>
      </c>
      <c r="AW106" s="1045">
        <f t="shared" si="80"/>
        <v>0</v>
      </c>
      <c r="AX106" s="1044">
        <f t="shared" si="44"/>
        <v>249.72714691033033</v>
      </c>
      <c r="AY106" s="1044">
        <f t="shared" si="49"/>
        <v>14.235964632574383</v>
      </c>
      <c r="AZ106" s="1046">
        <f t="shared" si="47"/>
        <v>9.4906430883829227</v>
      </c>
      <c r="BA106" s="4"/>
      <c r="BB106" s="1055">
        <f t="shared" si="81"/>
        <v>266.67928611371286</v>
      </c>
      <c r="BC106" s="1056">
        <f t="shared" si="82"/>
        <v>150.56121257286142</v>
      </c>
      <c r="BD106" s="1082">
        <f t="shared" si="90"/>
        <v>9.4906430883829227</v>
      </c>
      <c r="BE106" s="1056">
        <f t="shared" si="54"/>
        <v>426.73114177495717</v>
      </c>
      <c r="BF106" s="167">
        <v>0</v>
      </c>
      <c r="BG106" s="1075">
        <f t="shared" si="83"/>
        <v>426.73114177495717</v>
      </c>
      <c r="BI106" s="1055">
        <f t="shared" si="84"/>
        <v>266.67928611371286</v>
      </c>
      <c r="BJ106" s="1056">
        <f t="shared" si="85"/>
        <v>150.56121257286142</v>
      </c>
      <c r="BK106" s="1082">
        <f t="shared" si="86"/>
        <v>9.4906430883829227</v>
      </c>
      <c r="BL106" s="1056">
        <f t="shared" si="55"/>
        <v>426.73114177495717</v>
      </c>
      <c r="BM106" s="167">
        <v>0</v>
      </c>
      <c r="BN106" s="1075">
        <f t="shared" si="87"/>
        <v>426.73114177495717</v>
      </c>
    </row>
    <row r="107" spans="1:66">
      <c r="A107" s="927">
        <f>'Input data'!A137</f>
        <v>2037</v>
      </c>
      <c r="B107" s="824">
        <f>'Input data'!B137</f>
        <v>69.940438284968707</v>
      </c>
      <c r="C107" s="824">
        <f>'Recycling - Case 2'!AK117/B107</f>
        <v>276.0358301984125</v>
      </c>
      <c r="D107" s="825">
        <f>'Recycling - Case 2'!AM117</f>
        <v>0.11544590115513144</v>
      </c>
      <c r="E107" s="826">
        <f>'Recycling - Case 2'!BE117</f>
        <v>0.21602201354651107</v>
      </c>
      <c r="F107" s="826">
        <f>'Recycling - Case 2'!BF117</f>
        <v>0.2739743550411039</v>
      </c>
      <c r="G107" s="826">
        <f>'Recycling - Case 2'!BG117</f>
        <v>5.430767061985594E-2</v>
      </c>
      <c r="H107" s="826">
        <f>'Recycling - Case 2'!BH117</f>
        <v>0</v>
      </c>
      <c r="I107" s="826">
        <f>'Recycling - Case 2'!BI117</f>
        <v>0</v>
      </c>
      <c r="J107" s="826">
        <f>'Recycling - Case 2'!BJ117</f>
        <v>0</v>
      </c>
      <c r="K107" s="826">
        <f>'Recycling - Case 2'!BK117</f>
        <v>0.45569596079252928</v>
      </c>
      <c r="L107" s="827">
        <f t="shared" si="89"/>
        <v>1.0000000000000002</v>
      </c>
      <c r="M107" s="4"/>
      <c r="N107" s="838">
        <f t="shared" si="56"/>
        <v>2228.8062963921584</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0.10892124128813982</v>
      </c>
      <c r="Q107" s="832">
        <f t="shared" si="57"/>
        <v>121.38217419692778</v>
      </c>
      <c r="R107" s="832">
        <f t="shared" si="58"/>
        <v>121.38217419692778</v>
      </c>
      <c r="S107" s="835">
        <f t="shared" si="59"/>
        <v>0</v>
      </c>
      <c r="T107" s="832">
        <f t="shared" si="60"/>
        <v>7658.1878388823616</v>
      </c>
      <c r="U107" s="832">
        <f t="shared" si="61"/>
        <v>386.42028960145075</v>
      </c>
      <c r="V107" s="839">
        <f t="shared" si="62"/>
        <v>257.61352640096715</v>
      </c>
      <c r="W107" s="4"/>
      <c r="X107" s="852">
        <f>'Recycling - Case 2'!AM157</f>
        <v>78.961674767334173</v>
      </c>
      <c r="Y107" s="853">
        <f>Parameters!S242</f>
        <v>0.71500000000000008</v>
      </c>
      <c r="Z107" s="853">
        <f t="shared" si="63"/>
        <v>0.4</v>
      </c>
      <c r="AA107" s="854">
        <f t="shared" si="64"/>
        <v>11.291519491728788</v>
      </c>
      <c r="AB107" s="854">
        <f t="shared" si="65"/>
        <v>11.291519491728788</v>
      </c>
      <c r="AC107" s="855">
        <f t="shared" si="66"/>
        <v>0</v>
      </c>
      <c r="AD107" s="854">
        <f t="shared" si="67"/>
        <v>4201.320572238471</v>
      </c>
      <c r="AE107" s="854">
        <f t="shared" si="68"/>
        <v>214.82738338171893</v>
      </c>
      <c r="AF107" s="856">
        <f t="shared" si="69"/>
        <v>143.21825558781262</v>
      </c>
      <c r="AG107" s="4"/>
      <c r="AH107" s="852">
        <f>'Recycling - Case 2'!AM197</f>
        <v>78.961674767334173</v>
      </c>
      <c r="AI107" s="853">
        <f>Parameters!S242</f>
        <v>0.71500000000000008</v>
      </c>
      <c r="AJ107" s="853">
        <f t="shared" si="70"/>
        <v>0.4</v>
      </c>
      <c r="AK107" s="854">
        <f t="shared" si="71"/>
        <v>11.291519491728788</v>
      </c>
      <c r="AL107" s="854">
        <f t="shared" si="72"/>
        <v>11.291519491728788</v>
      </c>
      <c r="AM107" s="855">
        <f t="shared" si="73"/>
        <v>0</v>
      </c>
      <c r="AN107" s="854">
        <f t="shared" si="74"/>
        <v>4201.320572238471</v>
      </c>
      <c r="AO107" s="854">
        <f t="shared" si="75"/>
        <v>214.82738338171893</v>
      </c>
      <c r="AP107" s="856">
        <f t="shared" si="76"/>
        <v>143.21825558781262</v>
      </c>
      <c r="AQ107" s="4"/>
      <c r="AR107" s="1042">
        <f>'Recycling - Case 2'!G117</f>
        <v>786.16227683177374</v>
      </c>
      <c r="AS107" s="1043">
        <v>1</v>
      </c>
      <c r="AT107" s="1043">
        <f t="shared" si="77"/>
        <v>0.05</v>
      </c>
      <c r="AU107" s="1044">
        <f t="shared" si="78"/>
        <v>19.654056920794346</v>
      </c>
      <c r="AV107" s="1044">
        <f t="shared" si="79"/>
        <v>19.654056920794346</v>
      </c>
      <c r="AW107" s="1045">
        <f t="shared" si="80"/>
        <v>0</v>
      </c>
      <c r="AX107" s="1044">
        <f t="shared" si="44"/>
        <v>254.83822695412675</v>
      </c>
      <c r="AY107" s="1044">
        <f t="shared" si="49"/>
        <v>14.542976876997928</v>
      </c>
      <c r="AZ107" s="1046">
        <f t="shared" si="47"/>
        <v>9.6953179179986186</v>
      </c>
      <c r="BA107" s="4"/>
      <c r="BB107" s="1055">
        <f t="shared" si="81"/>
        <v>257.61352640096715</v>
      </c>
      <c r="BC107" s="1056">
        <f t="shared" si="82"/>
        <v>143.21825558781262</v>
      </c>
      <c r="BD107" s="1082">
        <f t="shared" si="90"/>
        <v>9.6953179179986186</v>
      </c>
      <c r="BE107" s="1056">
        <f t="shared" si="54"/>
        <v>410.5270999067784</v>
      </c>
      <c r="BF107" s="167">
        <v>0</v>
      </c>
      <c r="BG107" s="1075">
        <f t="shared" si="83"/>
        <v>410.5270999067784</v>
      </c>
      <c r="BI107" s="1055">
        <f t="shared" si="84"/>
        <v>257.61352640096715</v>
      </c>
      <c r="BJ107" s="1056">
        <f t="shared" si="85"/>
        <v>143.21825558781262</v>
      </c>
      <c r="BK107" s="1082">
        <f t="shared" si="86"/>
        <v>9.6953179179986186</v>
      </c>
      <c r="BL107" s="1056">
        <f t="shared" si="55"/>
        <v>410.5270999067784</v>
      </c>
      <c r="BM107" s="167">
        <v>0</v>
      </c>
      <c r="BN107" s="1075">
        <f t="shared" si="87"/>
        <v>410.5270999067784</v>
      </c>
    </row>
    <row r="108" spans="1:66">
      <c r="A108" s="927">
        <f>'Input data'!A138</f>
        <v>2038</v>
      </c>
      <c r="B108" s="824">
        <f>'Input data'!B138</f>
        <v>70.447562472153166</v>
      </c>
      <c r="C108" s="824">
        <f>'Recycling - Case 2'!AK118/B108</f>
        <v>275.02347614301084</v>
      </c>
      <c r="D108" s="825">
        <f>'Recycling - Case 2'!AM118</f>
        <v>0.11503674589633903</v>
      </c>
      <c r="E108" s="826">
        <f>'Recycling - Case 2'!BE118</f>
        <v>0.2165584856814364</v>
      </c>
      <c r="F108" s="826">
        <f>'Recycling - Case 2'!BF118</f>
        <v>0.27465474684354413</v>
      </c>
      <c r="G108" s="826">
        <f>'Recycling - Case 2'!BG118</f>
        <v>5.4178093021130566E-2</v>
      </c>
      <c r="H108" s="826">
        <f>'Recycling - Case 2'!BH118</f>
        <v>0</v>
      </c>
      <c r="I108" s="826">
        <f>'Recycling - Case 2'!BI118</f>
        <v>0</v>
      </c>
      <c r="J108" s="826">
        <f>'Recycling - Case 2'!BJ118</f>
        <v>0</v>
      </c>
      <c r="K108" s="826">
        <f>'Recycling - Case 2'!BK118</f>
        <v>0.45460867445388897</v>
      </c>
      <c r="L108" s="827">
        <f t="shared" si="89"/>
        <v>1</v>
      </c>
      <c r="M108" s="4"/>
      <c r="N108" s="838">
        <f t="shared" si="56"/>
        <v>2228.8062963921584</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0.1090859594293765</v>
      </c>
      <c r="Q108" s="832">
        <f t="shared" si="57"/>
        <v>121.56573661208695</v>
      </c>
      <c r="R108" s="832">
        <f t="shared" si="58"/>
        <v>121.56573661208695</v>
      </c>
      <c r="S108" s="835">
        <f t="shared" si="59"/>
        <v>0</v>
      </c>
      <c r="T108" s="832">
        <f t="shared" si="60"/>
        <v>7406.2593473105226</v>
      </c>
      <c r="U108" s="832">
        <f t="shared" si="61"/>
        <v>373.494228183926</v>
      </c>
      <c r="V108" s="839">
        <f t="shared" si="62"/>
        <v>248.99615212261733</v>
      </c>
      <c r="W108" s="4"/>
      <c r="X108" s="852">
        <f>'Recycling - Case 2'!AM158</f>
        <v>185.0965042386533</v>
      </c>
      <c r="Y108" s="853">
        <f>Parameters!S243</f>
        <v>0.71500000000000008</v>
      </c>
      <c r="Z108" s="853">
        <f t="shared" si="63"/>
        <v>0.4</v>
      </c>
      <c r="AA108" s="854">
        <f t="shared" si="64"/>
        <v>26.468800106127425</v>
      </c>
      <c r="AB108" s="854">
        <f t="shared" si="65"/>
        <v>26.468800106127425</v>
      </c>
      <c r="AC108" s="855">
        <f t="shared" si="66"/>
        <v>0</v>
      </c>
      <c r="AD108" s="854">
        <f t="shared" si="67"/>
        <v>4022.8885501795385</v>
      </c>
      <c r="AE108" s="854">
        <f t="shared" si="68"/>
        <v>204.90082216505974</v>
      </c>
      <c r="AF108" s="856">
        <f t="shared" si="69"/>
        <v>136.60054811003982</v>
      </c>
      <c r="AG108" s="4"/>
      <c r="AH108" s="852">
        <f>'Recycling - Case 2'!AM198</f>
        <v>185.0965042386533</v>
      </c>
      <c r="AI108" s="853">
        <f>Parameters!S243</f>
        <v>0.71500000000000008</v>
      </c>
      <c r="AJ108" s="853">
        <f t="shared" si="70"/>
        <v>0.4</v>
      </c>
      <c r="AK108" s="854">
        <f t="shared" si="71"/>
        <v>26.468800106127425</v>
      </c>
      <c r="AL108" s="854">
        <f t="shared" si="72"/>
        <v>26.468800106127425</v>
      </c>
      <c r="AM108" s="855">
        <f t="shared" si="73"/>
        <v>0</v>
      </c>
      <c r="AN108" s="854">
        <f t="shared" si="74"/>
        <v>4022.8885501795385</v>
      </c>
      <c r="AO108" s="854">
        <f t="shared" si="75"/>
        <v>204.90082216505974</v>
      </c>
      <c r="AP108" s="856">
        <f t="shared" si="76"/>
        <v>136.60054811003982</v>
      </c>
      <c r="AQ108" s="4"/>
      <c r="AR108" s="1042">
        <f>'Recycling - Case 2'!G118</f>
        <v>791.86258291234162</v>
      </c>
      <c r="AS108" s="1043">
        <v>1</v>
      </c>
      <c r="AT108" s="1043">
        <f t="shared" si="77"/>
        <v>0.05</v>
      </c>
      <c r="AU108" s="1044">
        <f t="shared" si="78"/>
        <v>19.796564572808542</v>
      </c>
      <c r="AV108" s="1044">
        <f t="shared" si="79"/>
        <v>19.796564572808542</v>
      </c>
      <c r="AW108" s="1045">
        <f t="shared" si="80"/>
        <v>0</v>
      </c>
      <c r="AX108" s="1044">
        <f t="shared" si="44"/>
        <v>259.79416851969864</v>
      </c>
      <c r="AY108" s="1044">
        <f t="shared" si="49"/>
        <v>14.840623007236651</v>
      </c>
      <c r="AZ108" s="1046">
        <f t="shared" si="47"/>
        <v>9.8937486714911014</v>
      </c>
      <c r="BA108" s="4"/>
      <c r="BB108" s="1055">
        <f t="shared" si="81"/>
        <v>248.99615212261733</v>
      </c>
      <c r="BC108" s="1056">
        <f t="shared" si="82"/>
        <v>136.60054811003982</v>
      </c>
      <c r="BD108" s="1082">
        <f t="shared" si="90"/>
        <v>9.8937486714911014</v>
      </c>
      <c r="BE108" s="1056">
        <f t="shared" si="54"/>
        <v>395.49044890414825</v>
      </c>
      <c r="BF108" s="167">
        <v>0</v>
      </c>
      <c r="BG108" s="1075">
        <f t="shared" si="83"/>
        <v>395.49044890414825</v>
      </c>
      <c r="BI108" s="1055">
        <f t="shared" si="84"/>
        <v>248.99615212261733</v>
      </c>
      <c r="BJ108" s="1056">
        <f t="shared" si="85"/>
        <v>136.60054811003982</v>
      </c>
      <c r="BK108" s="1082">
        <f t="shared" si="86"/>
        <v>9.8937486714911014</v>
      </c>
      <c r="BL108" s="1056">
        <f t="shared" si="55"/>
        <v>395.49044890414825</v>
      </c>
      <c r="BM108" s="167">
        <v>0</v>
      </c>
      <c r="BN108" s="1075">
        <f t="shared" si="87"/>
        <v>395.49044890414825</v>
      </c>
    </row>
    <row r="109" spans="1:66">
      <c r="A109" s="927">
        <f>'Input data'!A139</f>
        <v>2039</v>
      </c>
      <c r="B109" s="824">
        <f>'Input data'!B139</f>
        <v>70.942722252264574</v>
      </c>
      <c r="C109" s="824">
        <f>'Recycling - Case 2'!AK119/B109</f>
        <v>274.04951268746902</v>
      </c>
      <c r="D109" s="825">
        <f>'Recycling - Case 2'!AM119</f>
        <v>0.11463980598078129</v>
      </c>
      <c r="E109" s="826">
        <f>'Recycling - Case 2'!BE119</f>
        <v>0.21707248779870661</v>
      </c>
      <c r="F109" s="826">
        <f>'Recycling - Case 2'!BF119</f>
        <v>0.27530664058463516</v>
      </c>
      <c r="G109" s="826">
        <f>'Recycling - Case 2'!BG119</f>
        <v>5.4053942751695054E-2</v>
      </c>
      <c r="H109" s="826">
        <f>'Recycling - Case 2'!BH119</f>
        <v>0</v>
      </c>
      <c r="I109" s="826">
        <f>'Recycling - Case 2'!BI119</f>
        <v>0</v>
      </c>
      <c r="J109" s="826">
        <f>'Recycling - Case 2'!BJ119</f>
        <v>0</v>
      </c>
      <c r="K109" s="826">
        <f>'Recycling - Case 2'!BK119</f>
        <v>0.45356692886496325</v>
      </c>
      <c r="L109" s="827">
        <f t="shared" si="89"/>
        <v>1</v>
      </c>
      <c r="M109" s="4"/>
      <c r="N109" s="838">
        <f t="shared" si="56"/>
        <v>2228.8062963921584</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0.10924377838741106</v>
      </c>
      <c r="Q109" s="832">
        <f t="shared" si="57"/>
        <v>121.74161055576569</v>
      </c>
      <c r="R109" s="832">
        <f t="shared" si="58"/>
        <v>121.74161055576569</v>
      </c>
      <c r="S109" s="835">
        <f t="shared" si="59"/>
        <v>0</v>
      </c>
      <c r="T109" s="832">
        <f t="shared" si="60"/>
        <v>7166.7934272009879</v>
      </c>
      <c r="U109" s="832">
        <f t="shared" si="61"/>
        <v>361.2075306653004</v>
      </c>
      <c r="V109" s="839">
        <f t="shared" si="62"/>
        <v>240.80502044353361</v>
      </c>
      <c r="W109" s="4"/>
      <c r="X109" s="852">
        <f>'Recycling - Case 2'!AM159</f>
        <v>294.45186544237362</v>
      </c>
      <c r="Y109" s="853">
        <f>Parameters!S244</f>
        <v>0.71500000000000008</v>
      </c>
      <c r="Z109" s="853">
        <f t="shared" si="63"/>
        <v>0.4</v>
      </c>
      <c r="AA109" s="854">
        <f t="shared" si="64"/>
        <v>42.106616758259435</v>
      </c>
      <c r="AB109" s="854">
        <f t="shared" si="65"/>
        <v>42.106616758259435</v>
      </c>
      <c r="AC109" s="855">
        <f t="shared" si="66"/>
        <v>0</v>
      </c>
      <c r="AD109" s="854">
        <f t="shared" si="67"/>
        <v>3868.7965771760537</v>
      </c>
      <c r="AE109" s="854">
        <f t="shared" si="68"/>
        <v>196.1985897617443</v>
      </c>
      <c r="AF109" s="856">
        <f t="shared" si="69"/>
        <v>130.79905984116286</v>
      </c>
      <c r="AG109" s="4"/>
      <c r="AH109" s="852">
        <f>'Recycling - Case 2'!AM199</f>
        <v>294.45186544237362</v>
      </c>
      <c r="AI109" s="853">
        <f>Parameters!S244</f>
        <v>0.71500000000000008</v>
      </c>
      <c r="AJ109" s="853">
        <f t="shared" si="70"/>
        <v>0.4</v>
      </c>
      <c r="AK109" s="854">
        <f t="shared" si="71"/>
        <v>42.106616758259435</v>
      </c>
      <c r="AL109" s="854">
        <f t="shared" si="72"/>
        <v>42.106616758259435</v>
      </c>
      <c r="AM109" s="855">
        <f t="shared" si="73"/>
        <v>0</v>
      </c>
      <c r="AN109" s="854">
        <f t="shared" si="74"/>
        <v>3868.7965771760537</v>
      </c>
      <c r="AO109" s="854">
        <f t="shared" si="75"/>
        <v>196.1985897617443</v>
      </c>
      <c r="AP109" s="856">
        <f t="shared" si="76"/>
        <v>130.79905984116286</v>
      </c>
      <c r="AQ109" s="4"/>
      <c r="AR109" s="1042">
        <f>'Recycling - Case 2'!G119</f>
        <v>797.4284036259869</v>
      </c>
      <c r="AS109" s="1043">
        <v>1</v>
      </c>
      <c r="AT109" s="1043">
        <f t="shared" si="77"/>
        <v>0.05</v>
      </c>
      <c r="AU109" s="1044">
        <f t="shared" si="78"/>
        <v>19.935710090649675</v>
      </c>
      <c r="AV109" s="1044">
        <f t="shared" si="79"/>
        <v>19.935710090649675</v>
      </c>
      <c r="AW109" s="1045">
        <f t="shared" si="80"/>
        <v>0</v>
      </c>
      <c r="AX109" s="1044">
        <f t="shared" si="44"/>
        <v>264.60064403451139</v>
      </c>
      <c r="AY109" s="1044">
        <f t="shared" si="49"/>
        <v>15.129234575836939</v>
      </c>
      <c r="AZ109" s="1046">
        <f t="shared" si="47"/>
        <v>10.086156383891293</v>
      </c>
      <c r="BA109" s="4"/>
      <c r="BB109" s="1055">
        <f t="shared" si="81"/>
        <v>240.80502044353361</v>
      </c>
      <c r="BC109" s="1056">
        <f t="shared" si="82"/>
        <v>130.79905984116286</v>
      </c>
      <c r="BD109" s="1082">
        <f t="shared" si="90"/>
        <v>10.086156383891293</v>
      </c>
      <c r="BE109" s="1056">
        <f t="shared" si="54"/>
        <v>381.69023666858777</v>
      </c>
      <c r="BF109" s="167">
        <v>0</v>
      </c>
      <c r="BG109" s="1075">
        <f t="shared" si="83"/>
        <v>381.69023666858777</v>
      </c>
      <c r="BI109" s="1055">
        <f t="shared" si="84"/>
        <v>240.80502044353361</v>
      </c>
      <c r="BJ109" s="1056">
        <f t="shared" si="85"/>
        <v>130.79905984116286</v>
      </c>
      <c r="BK109" s="1082">
        <f t="shared" si="86"/>
        <v>10.086156383891293</v>
      </c>
      <c r="BL109" s="1056">
        <f t="shared" si="55"/>
        <v>381.69023666858777</v>
      </c>
      <c r="BM109" s="167">
        <v>0</v>
      </c>
      <c r="BN109" s="1075">
        <f t="shared" si="87"/>
        <v>381.69023666858777</v>
      </c>
    </row>
    <row r="110" spans="1:66">
      <c r="A110" s="927">
        <f>'Input data'!A140</f>
        <v>2040</v>
      </c>
      <c r="B110" s="824">
        <f>'Input data'!B140</f>
        <v>71.425610993241406</v>
      </c>
      <c r="C110" s="824">
        <f>'Recycling - Case 2'!AK120/B110</f>
        <v>273.11318974975688</v>
      </c>
      <c r="D110" s="825">
        <f>'Recycling - Case 2'!AM120</f>
        <v>0.11425512435381627</v>
      </c>
      <c r="E110" s="826">
        <f>'Recycling - Case 2'!BE120</f>
        <v>0.21756467022906484</v>
      </c>
      <c r="F110" s="826">
        <f>'Recycling - Case 2'!BF120</f>
        <v>0.27593086105969777</v>
      </c>
      <c r="G110" s="826">
        <f>'Recycling - Case 2'!BG120</f>
        <v>5.3935062732941567E-2</v>
      </c>
      <c r="H110" s="826">
        <f>'Recycling - Case 2'!BH120</f>
        <v>0</v>
      </c>
      <c r="I110" s="826">
        <f>'Recycling - Case 2'!BI120</f>
        <v>0</v>
      </c>
      <c r="J110" s="826">
        <f>'Recycling - Case 2'!BJ120</f>
        <v>0</v>
      </c>
      <c r="K110" s="826">
        <f>'Recycling - Case 2'!BK120</f>
        <v>0.45256940597829592</v>
      </c>
      <c r="L110" s="827">
        <f t="shared" si="89"/>
        <v>1</v>
      </c>
      <c r="M110" s="4"/>
      <c r="N110" s="838">
        <f t="shared" si="56"/>
        <v>2228.8062963921584</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0.10939489783947591</v>
      </c>
      <c r="Q110" s="832">
        <f t="shared" si="57"/>
        <v>121.91001854890041</v>
      </c>
      <c r="R110" s="832">
        <f t="shared" si="58"/>
        <v>121.91001854890041</v>
      </c>
      <c r="S110" s="835">
        <f t="shared" si="59"/>
        <v>0</v>
      </c>
      <c r="T110" s="832">
        <f t="shared" si="60"/>
        <v>6939.1748058207959</v>
      </c>
      <c r="U110" s="832">
        <f t="shared" si="61"/>
        <v>349.52863992909232</v>
      </c>
      <c r="V110" s="839">
        <f t="shared" si="62"/>
        <v>233.01909328606155</v>
      </c>
      <c r="W110" s="4"/>
      <c r="X110" s="852">
        <f>'Recycling - Case 2'!AM160</f>
        <v>406.9172997853218</v>
      </c>
      <c r="Y110" s="853">
        <f>Parameters!S245</f>
        <v>0.71500000000000008</v>
      </c>
      <c r="Z110" s="853">
        <f t="shared" si="63"/>
        <v>0.4</v>
      </c>
      <c r="AA110" s="854">
        <f t="shared" si="64"/>
        <v>58.189173869301023</v>
      </c>
      <c r="AB110" s="854">
        <f t="shared" si="65"/>
        <v>58.189173869301023</v>
      </c>
      <c r="AC110" s="855">
        <f t="shared" si="66"/>
        <v>0</v>
      </c>
      <c r="AD110" s="854">
        <f t="shared" si="67"/>
        <v>3738.302315486811</v>
      </c>
      <c r="AE110" s="854">
        <f t="shared" si="68"/>
        <v>188.68343555854392</v>
      </c>
      <c r="AF110" s="856">
        <f t="shared" si="69"/>
        <v>125.78895703902928</v>
      </c>
      <c r="AG110" s="4"/>
      <c r="AH110" s="852">
        <f>'Recycling - Case 2'!AM200</f>
        <v>406.9172997853218</v>
      </c>
      <c r="AI110" s="853">
        <f>Parameters!S245</f>
        <v>0.71500000000000008</v>
      </c>
      <c r="AJ110" s="853">
        <f t="shared" si="70"/>
        <v>0.4</v>
      </c>
      <c r="AK110" s="854">
        <f t="shared" si="71"/>
        <v>58.189173869301023</v>
      </c>
      <c r="AL110" s="854">
        <f t="shared" si="72"/>
        <v>58.189173869301023</v>
      </c>
      <c r="AM110" s="855">
        <f t="shared" si="73"/>
        <v>0</v>
      </c>
      <c r="AN110" s="854">
        <f t="shared" si="74"/>
        <v>3738.302315486811</v>
      </c>
      <c r="AO110" s="854">
        <f t="shared" si="75"/>
        <v>188.68343555854392</v>
      </c>
      <c r="AP110" s="856">
        <f t="shared" si="76"/>
        <v>125.78895703902928</v>
      </c>
      <c r="AQ110" s="4"/>
      <c r="AR110" s="1042">
        <f>'Recycling - Case 2'!G120</f>
        <v>802.85629228913763</v>
      </c>
      <c r="AS110" s="1043">
        <v>1</v>
      </c>
      <c r="AT110" s="1043">
        <f t="shared" si="77"/>
        <v>0.05</v>
      </c>
      <c r="AU110" s="1044">
        <f t="shared" si="78"/>
        <v>20.071407307228441</v>
      </c>
      <c r="AV110" s="1044">
        <f t="shared" si="79"/>
        <v>20.071407307228441</v>
      </c>
      <c r="AW110" s="1045">
        <f t="shared" si="80"/>
        <v>0</v>
      </c>
      <c r="AX110" s="1044">
        <f t="shared" si="44"/>
        <v>269.26290942248193</v>
      </c>
      <c r="AY110" s="1044">
        <f t="shared" si="49"/>
        <v>15.409141919257948</v>
      </c>
      <c r="AZ110" s="1046">
        <f t="shared" si="47"/>
        <v>10.272761279505298</v>
      </c>
      <c r="BA110" s="4"/>
      <c r="BB110" s="1055">
        <f t="shared" si="81"/>
        <v>233.01909328606155</v>
      </c>
      <c r="BC110" s="1056">
        <f t="shared" si="82"/>
        <v>125.78895703902928</v>
      </c>
      <c r="BD110" s="1082">
        <f t="shared" si="90"/>
        <v>10.272761279505298</v>
      </c>
      <c r="BE110" s="1056">
        <f t="shared" si="54"/>
        <v>369.08081160459614</v>
      </c>
      <c r="BF110" s="167">
        <v>0</v>
      </c>
      <c r="BG110" s="1075">
        <f t="shared" si="83"/>
        <v>369.08081160459614</v>
      </c>
      <c r="BI110" s="1055">
        <f t="shared" si="84"/>
        <v>233.01909328606155</v>
      </c>
      <c r="BJ110" s="1056">
        <f t="shared" si="85"/>
        <v>125.78895703902928</v>
      </c>
      <c r="BK110" s="1082">
        <f t="shared" si="86"/>
        <v>10.272761279505298</v>
      </c>
      <c r="BL110" s="1056">
        <f t="shared" si="55"/>
        <v>369.08081160459614</v>
      </c>
      <c r="BM110" s="167">
        <v>0</v>
      </c>
      <c r="BN110" s="1075">
        <f t="shared" si="87"/>
        <v>369.08081160459614</v>
      </c>
    </row>
    <row r="111" spans="1:66">
      <c r="A111" s="927">
        <f>'Input data'!A141</f>
        <v>2041</v>
      </c>
      <c r="B111" s="824">
        <f>'Input data'!B141</f>
        <v>71.895928013305991</v>
      </c>
      <c r="C111" s="824">
        <f>'Recycling - Case 2'!AK121/B111</f>
        <v>272.21379085956789</v>
      </c>
      <c r="D111" s="825">
        <f>'Recycling - Case 2'!AM121</f>
        <v>0.11388274022991254</v>
      </c>
      <c r="E111" s="826">
        <f>'Recycling - Case 2'!BE121</f>
        <v>0.21803564768604347</v>
      </c>
      <c r="F111" s="826">
        <f>'Recycling - Case 2'!BF121</f>
        <v>0.27652818789179318</v>
      </c>
      <c r="G111" s="826">
        <f>'Recycling - Case 2'!BG121</f>
        <v>5.38213044891186E-2</v>
      </c>
      <c r="H111" s="826">
        <f>'Recycling - Case 2'!BH121</f>
        <v>0</v>
      </c>
      <c r="I111" s="826">
        <f>'Recycling - Case 2'!BI121</f>
        <v>0</v>
      </c>
      <c r="J111" s="826">
        <f>'Recycling - Case 2'!BJ121</f>
        <v>0</v>
      </c>
      <c r="K111" s="826">
        <f>'Recycling - Case 2'!BK121</f>
        <v>0.45161485993304479</v>
      </c>
      <c r="L111" s="827">
        <f t="shared" si="89"/>
        <v>1</v>
      </c>
      <c r="M111" s="4"/>
      <c r="N111" s="838">
        <f t="shared" si="56"/>
        <v>2228.8062963921584</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0.10953950652691259</v>
      </c>
      <c r="Q111" s="832">
        <f t="shared" si="57"/>
        <v>122.07117092543636</v>
      </c>
      <c r="R111" s="832">
        <f t="shared" si="58"/>
        <v>122.07117092543636</v>
      </c>
      <c r="S111" s="835">
        <f t="shared" si="59"/>
        <v>0</v>
      </c>
      <c r="T111" s="832">
        <f t="shared" si="60"/>
        <v>6722.8184279762063</v>
      </c>
      <c r="U111" s="832">
        <f t="shared" si="61"/>
        <v>338.42754877002631</v>
      </c>
      <c r="V111" s="839">
        <f t="shared" si="62"/>
        <v>225.61836584668421</v>
      </c>
      <c r="W111" s="4"/>
      <c r="X111" s="852">
        <f>'Recycling - Case 2'!AM161</f>
        <v>440.25582227013876</v>
      </c>
      <c r="Y111" s="853">
        <f>Parameters!S246</f>
        <v>0.71500000000000008</v>
      </c>
      <c r="Z111" s="853">
        <f t="shared" si="63"/>
        <v>0.4</v>
      </c>
      <c r="AA111" s="854">
        <f t="shared" si="64"/>
        <v>62.956582584629849</v>
      </c>
      <c r="AB111" s="854">
        <f t="shared" si="65"/>
        <v>62.956582584629849</v>
      </c>
      <c r="AC111" s="855">
        <f t="shared" si="66"/>
        <v>0</v>
      </c>
      <c r="AD111" s="854">
        <f t="shared" si="67"/>
        <v>3618.9397427548356</v>
      </c>
      <c r="AE111" s="854">
        <f t="shared" si="68"/>
        <v>182.31915531660513</v>
      </c>
      <c r="AF111" s="856">
        <f t="shared" si="69"/>
        <v>121.54610354440342</v>
      </c>
      <c r="AG111" s="4"/>
      <c r="AH111" s="852">
        <f>'Recycling - Case 2'!AM201</f>
        <v>440.25582227013876</v>
      </c>
      <c r="AI111" s="853">
        <f>Parameters!S246</f>
        <v>0.71500000000000008</v>
      </c>
      <c r="AJ111" s="853">
        <f t="shared" si="70"/>
        <v>0.4</v>
      </c>
      <c r="AK111" s="854">
        <f t="shared" si="71"/>
        <v>62.956582584629849</v>
      </c>
      <c r="AL111" s="854">
        <f t="shared" si="72"/>
        <v>62.956582584629849</v>
      </c>
      <c r="AM111" s="855">
        <f t="shared" si="73"/>
        <v>0</v>
      </c>
      <c r="AN111" s="854">
        <f t="shared" si="74"/>
        <v>3618.9397427548356</v>
      </c>
      <c r="AO111" s="854">
        <f t="shared" si="75"/>
        <v>182.31915531660513</v>
      </c>
      <c r="AP111" s="856">
        <f t="shared" si="76"/>
        <v>121.54610354440342</v>
      </c>
      <c r="AQ111" s="4"/>
      <c r="AR111" s="1042">
        <f>'Recycling - Case 2'!G121</f>
        <v>808.14286910211388</v>
      </c>
      <c r="AS111" s="1043">
        <v>1</v>
      </c>
      <c r="AT111" s="1043">
        <f t="shared" si="77"/>
        <v>0.05</v>
      </c>
      <c r="AU111" s="1044">
        <f t="shared" si="78"/>
        <v>20.203571727552848</v>
      </c>
      <c r="AV111" s="1044">
        <f t="shared" si="79"/>
        <v>20.203571727552848</v>
      </c>
      <c r="AW111" s="1045">
        <f t="shared" si="80"/>
        <v>0</v>
      </c>
      <c r="AX111" s="1044">
        <f t="shared" si="44"/>
        <v>273.78583003135435</v>
      </c>
      <c r="AY111" s="1044">
        <f t="shared" si="49"/>
        <v>15.680651118680425</v>
      </c>
      <c r="AZ111" s="1046">
        <f t="shared" si="47"/>
        <v>10.453767412453617</v>
      </c>
      <c r="BA111" s="4"/>
      <c r="BB111" s="1055">
        <f t="shared" si="81"/>
        <v>225.61836584668421</v>
      </c>
      <c r="BC111" s="1056">
        <f t="shared" si="82"/>
        <v>121.54610354440342</v>
      </c>
      <c r="BD111" s="1082">
        <f t="shared" si="90"/>
        <v>10.453767412453617</v>
      </c>
      <c r="BE111" s="1056">
        <f t="shared" si="54"/>
        <v>357.61823680354127</v>
      </c>
      <c r="BF111" s="167">
        <v>0</v>
      </c>
      <c r="BG111" s="1075">
        <f t="shared" si="83"/>
        <v>357.61823680354127</v>
      </c>
      <c r="BI111" s="1055">
        <f t="shared" si="84"/>
        <v>225.61836584668421</v>
      </c>
      <c r="BJ111" s="1056">
        <f t="shared" si="85"/>
        <v>121.54610354440342</v>
      </c>
      <c r="BK111" s="1082">
        <f t="shared" si="86"/>
        <v>10.453767412453617</v>
      </c>
      <c r="BL111" s="1056">
        <f t="shared" si="55"/>
        <v>357.61823680354127</v>
      </c>
      <c r="BM111" s="167">
        <v>0</v>
      </c>
      <c r="BN111" s="1075">
        <f t="shared" si="87"/>
        <v>357.61823680354127</v>
      </c>
    </row>
    <row r="112" spans="1:66">
      <c r="A112" s="927">
        <f>'Input data'!A142</f>
        <v>2042</v>
      </c>
      <c r="B112" s="824">
        <f>'Input data'!B142</f>
        <v>72.353378891150228</v>
      </c>
      <c r="C112" s="824">
        <f>'Recycling - Case 2'!AK122/B112</f>
        <v>271.35063207888572</v>
      </c>
      <c r="D112" s="825">
        <f>'Recycling - Case 2'!AM122</f>
        <v>0.11352268935092187</v>
      </c>
      <c r="E112" s="826">
        <f>'Recycling - Case 2'!BE122</f>
        <v>0.21848600107947069</v>
      </c>
      <c r="F112" s="826">
        <f>'Recycling - Case 2'!BF122</f>
        <v>0.27709935783174111</v>
      </c>
      <c r="G112" s="826">
        <f>'Recycling - Case 2'!BG122</f>
        <v>5.3712527709302738E-2</v>
      </c>
      <c r="H112" s="826">
        <f>'Recycling - Case 2'!BH122</f>
        <v>0</v>
      </c>
      <c r="I112" s="826">
        <f>'Recycling - Case 2'!BI122</f>
        <v>0</v>
      </c>
      <c r="J112" s="826">
        <f>'Recycling - Case 2'!BJ122</f>
        <v>0</v>
      </c>
      <c r="K112" s="826">
        <f>'Recycling - Case 2'!BK122</f>
        <v>0.4507021133794854</v>
      </c>
      <c r="L112" s="827">
        <f t="shared" si="89"/>
        <v>0.99999999999999989</v>
      </c>
      <c r="M112" s="4"/>
      <c r="N112" s="838">
        <f t="shared" si="56"/>
        <v>2228.8062963921584</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0.10967778281198994</v>
      </c>
      <c r="Q112" s="832">
        <f t="shared" si="57"/>
        <v>122.22526645284741</v>
      </c>
      <c r="R112" s="832">
        <f t="shared" si="58"/>
        <v>122.22526645284741</v>
      </c>
      <c r="S112" s="835">
        <f t="shared" si="59"/>
        <v>0</v>
      </c>
      <c r="T112" s="832">
        <f t="shared" si="60"/>
        <v>6517.1679707194498</v>
      </c>
      <c r="U112" s="832">
        <f t="shared" si="61"/>
        <v>327.8757237096047</v>
      </c>
      <c r="V112" s="839">
        <f t="shared" si="62"/>
        <v>218.58381580640312</v>
      </c>
      <c r="W112" s="4"/>
      <c r="X112" s="852">
        <f>'Recycling - Case 2'!AM162</f>
        <v>473.60466716039514</v>
      </c>
      <c r="Y112" s="853">
        <f>Parameters!S247</f>
        <v>0.71500000000000008</v>
      </c>
      <c r="Z112" s="853">
        <f t="shared" si="63"/>
        <v>0.4</v>
      </c>
      <c r="AA112" s="854">
        <f t="shared" si="64"/>
        <v>67.72546740393652</v>
      </c>
      <c r="AB112" s="854">
        <f t="shared" si="65"/>
        <v>67.72546740393652</v>
      </c>
      <c r="AC112" s="855">
        <f t="shared" si="66"/>
        <v>0</v>
      </c>
      <c r="AD112" s="854">
        <f t="shared" si="67"/>
        <v>3510.1674362073809</v>
      </c>
      <c r="AE112" s="854">
        <f t="shared" si="68"/>
        <v>176.49777395139131</v>
      </c>
      <c r="AF112" s="856">
        <f t="shared" si="69"/>
        <v>117.66518263426087</v>
      </c>
      <c r="AG112" s="4"/>
      <c r="AH112" s="852">
        <f>'Recycling - Case 2'!AM202</f>
        <v>473.60466716039514</v>
      </c>
      <c r="AI112" s="853">
        <f>Parameters!S247</f>
        <v>0.71500000000000008</v>
      </c>
      <c r="AJ112" s="853">
        <f t="shared" si="70"/>
        <v>0.4</v>
      </c>
      <c r="AK112" s="854">
        <f t="shared" si="71"/>
        <v>67.72546740393652</v>
      </c>
      <c r="AL112" s="854">
        <f t="shared" si="72"/>
        <v>67.72546740393652</v>
      </c>
      <c r="AM112" s="855">
        <f t="shared" si="73"/>
        <v>0</v>
      </c>
      <c r="AN112" s="854">
        <f t="shared" si="74"/>
        <v>3510.1674362073809</v>
      </c>
      <c r="AO112" s="854">
        <f t="shared" si="75"/>
        <v>176.49777395139131</v>
      </c>
      <c r="AP112" s="856">
        <f t="shared" si="76"/>
        <v>117.66518263426087</v>
      </c>
      <c r="AQ112" s="4"/>
      <c r="AR112" s="1042">
        <f>'Recycling - Case 2'!G122</f>
        <v>813.28482463575551</v>
      </c>
      <c r="AS112" s="1043">
        <v>1</v>
      </c>
      <c r="AT112" s="1043">
        <f t="shared" si="77"/>
        <v>0.05</v>
      </c>
      <c r="AU112" s="1044">
        <f t="shared" si="78"/>
        <v>20.332120615893889</v>
      </c>
      <c r="AV112" s="1044">
        <f t="shared" si="79"/>
        <v>20.332120615893889</v>
      </c>
      <c r="AW112" s="1045">
        <f t="shared" si="80"/>
        <v>0</v>
      </c>
      <c r="AX112" s="1044">
        <f t="shared" si="44"/>
        <v>278.1739051373487</v>
      </c>
      <c r="AY112" s="1044">
        <f t="shared" si="49"/>
        <v>15.944045509899524</v>
      </c>
      <c r="AZ112" s="1046">
        <f t="shared" si="47"/>
        <v>10.629363673266349</v>
      </c>
      <c r="BA112" s="4"/>
      <c r="BB112" s="1055">
        <f t="shared" si="81"/>
        <v>218.58381580640312</v>
      </c>
      <c r="BC112" s="1056">
        <f t="shared" si="82"/>
        <v>117.66518263426087</v>
      </c>
      <c r="BD112" s="1082">
        <f t="shared" si="90"/>
        <v>10.629363673266349</v>
      </c>
      <c r="BE112" s="1056">
        <f t="shared" si="54"/>
        <v>346.87836211393034</v>
      </c>
      <c r="BF112" s="167">
        <v>0</v>
      </c>
      <c r="BG112" s="1075">
        <f t="shared" si="83"/>
        <v>346.87836211393034</v>
      </c>
      <c r="BI112" s="1055">
        <f t="shared" si="84"/>
        <v>218.58381580640312</v>
      </c>
      <c r="BJ112" s="1056">
        <f t="shared" si="85"/>
        <v>117.66518263426087</v>
      </c>
      <c r="BK112" s="1082">
        <f t="shared" si="86"/>
        <v>10.629363673266349</v>
      </c>
      <c r="BL112" s="1056">
        <f t="shared" si="55"/>
        <v>346.87836211393034</v>
      </c>
      <c r="BM112" s="167">
        <v>0</v>
      </c>
      <c r="BN112" s="1075">
        <f t="shared" si="87"/>
        <v>346.87836211393034</v>
      </c>
    </row>
    <row r="113" spans="1:66">
      <c r="A113" s="927">
        <f>'Input data'!A143</f>
        <v>2043</v>
      </c>
      <c r="B113" s="824">
        <f>'Input data'!B143</f>
        <v>72.797675771420302</v>
      </c>
      <c r="C113" s="824">
        <f>'Recycling - Case 2'!AK123/B113</f>
        <v>270.5230609831691</v>
      </c>
      <c r="D113" s="825">
        <f>'Recycling - Case 2'!AM123</f>
        <v>0.11317500423213851</v>
      </c>
      <c r="E113" s="826">
        <f>'Recycling - Case 2'!BE123</f>
        <v>0.21891627919977849</v>
      </c>
      <c r="F113" s="826">
        <f>'Recycling - Case 2'!BF123</f>
        <v>0.2776450668942772</v>
      </c>
      <c r="G113" s="826">
        <f>'Recycling - Case 2'!BG123</f>
        <v>5.3608599840576969E-2</v>
      </c>
      <c r="H113" s="826">
        <f>'Recycling - Case 2'!BH123</f>
        <v>0</v>
      </c>
      <c r="I113" s="826">
        <f>'Recycling - Case 2'!BI123</f>
        <v>0</v>
      </c>
      <c r="J113" s="826">
        <f>'Recycling - Case 2'!BJ123</f>
        <v>0</v>
      </c>
      <c r="K113" s="826">
        <f>'Recycling - Case 2'!BK123</f>
        <v>0.44983005406536747</v>
      </c>
      <c r="L113" s="827">
        <f t="shared" si="89"/>
        <v>1</v>
      </c>
      <c r="M113" s="4"/>
      <c r="N113" s="838">
        <f t="shared" si="56"/>
        <v>2228.8062963921584</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0.10980989519505302</v>
      </c>
      <c r="Q113" s="832">
        <f t="shared" si="57"/>
        <v>122.37249290844859</v>
      </c>
      <c r="R113" s="832">
        <f t="shared" si="58"/>
        <v>122.37249290844859</v>
      </c>
      <c r="S113" s="835">
        <f t="shared" si="59"/>
        <v>0</v>
      </c>
      <c r="T113" s="832">
        <f t="shared" si="60"/>
        <v>6321.6944310703966</v>
      </c>
      <c r="U113" s="832">
        <f t="shared" si="61"/>
        <v>317.84603255750136</v>
      </c>
      <c r="V113" s="839">
        <f t="shared" si="62"/>
        <v>211.89735503833424</v>
      </c>
      <c r="W113" s="4"/>
      <c r="X113" s="852">
        <f>'Recycling - Case 2'!AM163</f>
        <v>507.41871248206621</v>
      </c>
      <c r="Y113" s="853">
        <f>Parameters!S248</f>
        <v>0.71500000000000008</v>
      </c>
      <c r="Z113" s="853">
        <f t="shared" si="63"/>
        <v>0.4</v>
      </c>
      <c r="AA113" s="854">
        <f t="shared" si="64"/>
        <v>72.56087588493547</v>
      </c>
      <c r="AB113" s="854">
        <f t="shared" si="65"/>
        <v>72.56087588493547</v>
      </c>
      <c r="AC113" s="855">
        <f t="shared" si="66"/>
        <v>0</v>
      </c>
      <c r="AD113" s="854">
        <f t="shared" si="67"/>
        <v>3411.5354261296288</v>
      </c>
      <c r="AE113" s="854">
        <f t="shared" si="68"/>
        <v>171.1928859626872</v>
      </c>
      <c r="AF113" s="856">
        <f t="shared" si="69"/>
        <v>114.12859064179146</v>
      </c>
      <c r="AG113" s="4"/>
      <c r="AH113" s="852">
        <f>'Recycling - Case 2'!AM203</f>
        <v>507.41871248206621</v>
      </c>
      <c r="AI113" s="853">
        <f>Parameters!S248</f>
        <v>0.71500000000000008</v>
      </c>
      <c r="AJ113" s="853">
        <f t="shared" si="70"/>
        <v>0.4</v>
      </c>
      <c r="AK113" s="854">
        <f t="shared" si="71"/>
        <v>72.56087588493547</v>
      </c>
      <c r="AL113" s="854">
        <f t="shared" si="72"/>
        <v>72.56087588493547</v>
      </c>
      <c r="AM113" s="855">
        <f t="shared" si="73"/>
        <v>0</v>
      </c>
      <c r="AN113" s="854">
        <f t="shared" si="74"/>
        <v>3411.5354261296288</v>
      </c>
      <c r="AO113" s="854">
        <f t="shared" si="75"/>
        <v>171.1928859626872</v>
      </c>
      <c r="AP113" s="856">
        <f t="shared" si="76"/>
        <v>114.12859064179146</v>
      </c>
      <c r="AQ113" s="4"/>
      <c r="AR113" s="1042">
        <f>'Recycling - Case 2'!G123</f>
        <v>818.27892326520953</v>
      </c>
      <c r="AS113" s="1043">
        <v>1</v>
      </c>
      <c r="AT113" s="1043">
        <f t="shared" si="77"/>
        <v>0.05</v>
      </c>
      <c r="AU113" s="1044">
        <f t="shared" si="78"/>
        <v>20.456973081630238</v>
      </c>
      <c r="AV113" s="1044">
        <f t="shared" si="79"/>
        <v>20.456973081630238</v>
      </c>
      <c r="AW113" s="1045">
        <f t="shared" si="80"/>
        <v>0</v>
      </c>
      <c r="AX113" s="1044">
        <f t="shared" si="44"/>
        <v>282.43129110861446</v>
      </c>
      <c r="AY113" s="1044">
        <f t="shared" si="49"/>
        <v>16.199587110364451</v>
      </c>
      <c r="AZ113" s="1046">
        <f t="shared" si="47"/>
        <v>10.799724740242967</v>
      </c>
      <c r="BA113" s="4"/>
      <c r="BB113" s="1055">
        <f t="shared" si="81"/>
        <v>211.89735503833424</v>
      </c>
      <c r="BC113" s="1056">
        <f t="shared" si="82"/>
        <v>114.12859064179146</v>
      </c>
      <c r="BD113" s="1082">
        <f t="shared" si="90"/>
        <v>10.799724740242967</v>
      </c>
      <c r="BE113" s="1056">
        <f t="shared" si="54"/>
        <v>336.82567042036868</v>
      </c>
      <c r="BF113" s="167">
        <v>0</v>
      </c>
      <c r="BG113" s="1075">
        <f t="shared" si="83"/>
        <v>336.82567042036868</v>
      </c>
      <c r="BI113" s="1055">
        <f t="shared" si="84"/>
        <v>211.89735503833424</v>
      </c>
      <c r="BJ113" s="1056">
        <f t="shared" si="85"/>
        <v>114.12859064179146</v>
      </c>
      <c r="BK113" s="1082">
        <f t="shared" si="86"/>
        <v>10.799724740242967</v>
      </c>
      <c r="BL113" s="1056">
        <f t="shared" si="55"/>
        <v>336.82567042036868</v>
      </c>
      <c r="BM113" s="167">
        <v>0</v>
      </c>
      <c r="BN113" s="1075">
        <f t="shared" si="87"/>
        <v>336.82567042036868</v>
      </c>
    </row>
    <row r="114" spans="1:66">
      <c r="A114" s="927">
        <f>'Input data'!A144</f>
        <v>2044</v>
      </c>
      <c r="B114" s="824">
        <f>'Input data'!B144</f>
        <v>73.228597899236789</v>
      </c>
      <c r="C114" s="824">
        <f>'Recycling - Case 2'!AK124/B114</f>
        <v>269.73034557009674</v>
      </c>
      <c r="D114" s="825">
        <f>'Recycling - Case 2'!AM124</f>
        <v>0.11283966765230959</v>
      </c>
      <c r="E114" s="826">
        <f>'Recycling - Case 2'!BE124</f>
        <v>0.21932705725760815</v>
      </c>
      <c r="F114" s="826">
        <f>'Recycling - Case 2'!BF124</f>
        <v>0.27816604460211014</v>
      </c>
      <c r="G114" s="826">
        <f>'Recycling - Case 2'!BG124</f>
        <v>5.3509381948579564E-2</v>
      </c>
      <c r="H114" s="826">
        <f>'Recycling - Case 2'!BH124</f>
        <v>0</v>
      </c>
      <c r="I114" s="826">
        <f>'Recycling - Case 2'!BI124</f>
        <v>0</v>
      </c>
      <c r="J114" s="826">
        <f>'Recycling - Case 2'!BJ124</f>
        <v>0</v>
      </c>
      <c r="K114" s="826">
        <f>'Recycling - Case 2'!BK124</f>
        <v>0.44899751619170203</v>
      </c>
      <c r="L114" s="827">
        <f t="shared" si="89"/>
        <v>0.99999999999999989</v>
      </c>
      <c r="M114" s="4"/>
      <c r="N114" s="838">
        <f t="shared" si="56"/>
        <v>2228.8062963921584</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0.10993602028849508</v>
      </c>
      <c r="Q114" s="832">
        <f t="shared" si="57"/>
        <v>122.51304710964696</v>
      </c>
      <c r="R114" s="832">
        <f t="shared" si="58"/>
        <v>122.51304710964696</v>
      </c>
      <c r="S114" s="835">
        <f t="shared" si="59"/>
        <v>0</v>
      </c>
      <c r="T114" s="832">
        <f t="shared" si="60"/>
        <v>6135.8948026461094</v>
      </c>
      <c r="U114" s="832">
        <f t="shared" si="61"/>
        <v>308.31267553393451</v>
      </c>
      <c r="V114" s="839">
        <f t="shared" si="62"/>
        <v>205.54178368928967</v>
      </c>
      <c r="W114" s="4"/>
      <c r="X114" s="852">
        <f>'Recycling - Case 2'!AM164</f>
        <v>541.67612385493453</v>
      </c>
      <c r="Y114" s="853">
        <f>Parameters!S249</f>
        <v>0.71500000000000008</v>
      </c>
      <c r="Z114" s="853">
        <f t="shared" si="63"/>
        <v>0.4</v>
      </c>
      <c r="AA114" s="854">
        <f t="shared" si="64"/>
        <v>77.459685711255645</v>
      </c>
      <c r="AB114" s="854">
        <f t="shared" si="65"/>
        <v>77.459685711255645</v>
      </c>
      <c r="AC114" s="855">
        <f t="shared" si="66"/>
        <v>0</v>
      </c>
      <c r="AD114" s="854">
        <f t="shared" si="67"/>
        <v>3322.6125657723405</v>
      </c>
      <c r="AE114" s="854">
        <f t="shared" si="68"/>
        <v>166.38254606854383</v>
      </c>
      <c r="AF114" s="856">
        <f t="shared" si="69"/>
        <v>110.92169737902923</v>
      </c>
      <c r="AG114" s="4"/>
      <c r="AH114" s="852">
        <f>'Recycling - Case 2'!AM204</f>
        <v>541.67612385493453</v>
      </c>
      <c r="AI114" s="853">
        <f>Parameters!S249</f>
        <v>0.71500000000000008</v>
      </c>
      <c r="AJ114" s="853">
        <f t="shared" si="70"/>
        <v>0.4</v>
      </c>
      <c r="AK114" s="854">
        <f t="shared" si="71"/>
        <v>77.459685711255645</v>
      </c>
      <c r="AL114" s="854">
        <f t="shared" si="72"/>
        <v>77.459685711255645</v>
      </c>
      <c r="AM114" s="855">
        <f t="shared" si="73"/>
        <v>0</v>
      </c>
      <c r="AN114" s="854">
        <f t="shared" si="74"/>
        <v>3322.6125657723405</v>
      </c>
      <c r="AO114" s="854">
        <f t="shared" si="75"/>
        <v>166.38254606854383</v>
      </c>
      <c r="AP114" s="856">
        <f t="shared" si="76"/>
        <v>110.92169737902923</v>
      </c>
      <c r="AQ114" s="4"/>
      <c r="AR114" s="1042">
        <f>'Recycling - Case 2'!G124</f>
        <v>823.12268360541623</v>
      </c>
      <c r="AS114" s="1043">
        <v>1</v>
      </c>
      <c r="AT114" s="1043">
        <f t="shared" si="77"/>
        <v>0.05</v>
      </c>
      <c r="AU114" s="1044">
        <f t="shared" si="78"/>
        <v>20.578067090135406</v>
      </c>
      <c r="AV114" s="1044">
        <f t="shared" si="79"/>
        <v>20.578067090135406</v>
      </c>
      <c r="AW114" s="1045">
        <f t="shared" si="80"/>
        <v>0</v>
      </c>
      <c r="AX114" s="1044">
        <f t="shared" ref="AX114:AX120" si="91">AV114+(AX113*$E$8)</f>
        <v>286.56184023063685</v>
      </c>
      <c r="AY114" s="1044">
        <f t="shared" si="49"/>
        <v>16.44751796811299</v>
      </c>
      <c r="AZ114" s="1046">
        <f t="shared" si="47"/>
        <v>10.965011978741993</v>
      </c>
      <c r="BA114" s="4"/>
      <c r="BB114" s="1055">
        <f t="shared" si="81"/>
        <v>205.54178368928967</v>
      </c>
      <c r="BC114" s="1056">
        <f t="shared" si="82"/>
        <v>110.92169737902923</v>
      </c>
      <c r="BD114" s="1082">
        <f t="shared" si="90"/>
        <v>10.965011978741993</v>
      </c>
      <c r="BE114" s="1056">
        <f t="shared" si="54"/>
        <v>327.4284930470609</v>
      </c>
      <c r="BF114" s="167">
        <v>0</v>
      </c>
      <c r="BG114" s="1075">
        <f t="shared" si="83"/>
        <v>327.4284930470609</v>
      </c>
      <c r="BI114" s="1055">
        <f t="shared" si="84"/>
        <v>205.54178368928967</v>
      </c>
      <c r="BJ114" s="1056">
        <f t="shared" si="85"/>
        <v>110.92169737902923</v>
      </c>
      <c r="BK114" s="1082">
        <f t="shared" si="86"/>
        <v>10.965011978741993</v>
      </c>
      <c r="BL114" s="1056">
        <f t="shared" si="55"/>
        <v>327.4284930470609</v>
      </c>
      <c r="BM114" s="167">
        <v>0</v>
      </c>
      <c r="BN114" s="1075">
        <f t="shared" si="87"/>
        <v>327.4284930470609</v>
      </c>
    </row>
    <row r="115" spans="1:66">
      <c r="A115" s="927">
        <f>'Input data'!A145</f>
        <v>2045</v>
      </c>
      <c r="B115" s="824">
        <f>'Input data'!B145</f>
        <v>73.645872502840064</v>
      </c>
      <c r="C115" s="824">
        <f>'Recycling - Case 2'!AK125/B115</f>
        <v>268.97189557068083</v>
      </c>
      <c r="D115" s="825">
        <f>'Recycling - Case 2'!AM125</f>
        <v>0.11251670629518457</v>
      </c>
      <c r="E115" s="826">
        <f>'Recycling - Case 2'!BE125</f>
        <v>0.21971882284355668</v>
      </c>
      <c r="F115" s="826">
        <f>'Recycling - Case 2'!BF125</f>
        <v>0.27866290935202809</v>
      </c>
      <c r="G115" s="826">
        <f>'Recycling - Case 2'!BG125</f>
        <v>5.3414756262387113E-2</v>
      </c>
      <c r="H115" s="826">
        <f>'Recycling - Case 2'!BH125</f>
        <v>0</v>
      </c>
      <c r="I115" s="826">
        <f>'Recycling - Case 2'!BI125</f>
        <v>0</v>
      </c>
      <c r="J115" s="826">
        <f>'Recycling - Case 2'!BJ125</f>
        <v>0</v>
      </c>
      <c r="K115" s="826">
        <f>'Recycling - Case 2'!BK125</f>
        <v>0.44820351154202809</v>
      </c>
      <c r="L115" s="827">
        <f t="shared" si="89"/>
        <v>1</v>
      </c>
      <c r="M115" s="4"/>
      <c r="N115" s="838">
        <f t="shared" si="56"/>
        <v>2228.8062963921584</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0.11005630780189396</v>
      </c>
      <c r="Q115" s="832">
        <f t="shared" si="57"/>
        <v>122.64709589326735</v>
      </c>
      <c r="R115" s="832">
        <f t="shared" si="58"/>
        <v>122.64709589326735</v>
      </c>
      <c r="S115" s="835">
        <f t="shared" si="59"/>
        <v>0</v>
      </c>
      <c r="T115" s="832">
        <f t="shared" si="60"/>
        <v>5959.2907778112485</v>
      </c>
      <c r="U115" s="832">
        <f t="shared" si="61"/>
        <v>299.25112072812857</v>
      </c>
      <c r="V115" s="839">
        <f t="shared" si="62"/>
        <v>199.50074715208572</v>
      </c>
      <c r="W115" s="4"/>
      <c r="X115" s="852">
        <f>'Recycling - Case 2'!AM165</f>
        <v>576.49183407102225</v>
      </c>
      <c r="Y115" s="853">
        <f>Parameters!S250</f>
        <v>0.71500000000000008</v>
      </c>
      <c r="Z115" s="853">
        <f t="shared" si="63"/>
        <v>0.4</v>
      </c>
      <c r="AA115" s="854">
        <f t="shared" si="64"/>
        <v>82.438332272156202</v>
      </c>
      <c r="AB115" s="854">
        <f t="shared" si="65"/>
        <v>82.438332272156202</v>
      </c>
      <c r="AC115" s="855">
        <f t="shared" si="66"/>
        <v>0</v>
      </c>
      <c r="AD115" s="854">
        <f t="shared" si="67"/>
        <v>3243.0051710506204</v>
      </c>
      <c r="AE115" s="854">
        <f t="shared" si="68"/>
        <v>162.04572699387626</v>
      </c>
      <c r="AF115" s="856">
        <f t="shared" si="69"/>
        <v>108.03048466258417</v>
      </c>
      <c r="AG115" s="4"/>
      <c r="AH115" s="852">
        <f>'Recycling - Case 2'!AM205</f>
        <v>576.49183407102225</v>
      </c>
      <c r="AI115" s="853">
        <f>Parameters!S250</f>
        <v>0.71500000000000008</v>
      </c>
      <c r="AJ115" s="853">
        <f t="shared" si="70"/>
        <v>0.4</v>
      </c>
      <c r="AK115" s="854">
        <f t="shared" si="71"/>
        <v>82.438332272156202</v>
      </c>
      <c r="AL115" s="854">
        <f t="shared" si="72"/>
        <v>82.438332272156202</v>
      </c>
      <c r="AM115" s="855">
        <f t="shared" si="73"/>
        <v>0</v>
      </c>
      <c r="AN115" s="854">
        <f t="shared" si="74"/>
        <v>3243.0051710506204</v>
      </c>
      <c r="AO115" s="854">
        <f t="shared" si="75"/>
        <v>162.04572699387626</v>
      </c>
      <c r="AP115" s="856">
        <f t="shared" si="76"/>
        <v>108.03048466258417</v>
      </c>
      <c r="AQ115" s="4"/>
      <c r="AR115" s="1042">
        <f>'Recycling - Case 2'!G125</f>
        <v>827.81303957796842</v>
      </c>
      <c r="AS115" s="1043">
        <v>1</v>
      </c>
      <c r="AT115" s="1043">
        <f t="shared" si="77"/>
        <v>0.05</v>
      </c>
      <c r="AU115" s="1044">
        <f t="shared" si="78"/>
        <v>20.695325989449213</v>
      </c>
      <c r="AV115" s="1044">
        <f t="shared" si="79"/>
        <v>20.695325989449213</v>
      </c>
      <c r="AW115" s="1045">
        <f t="shared" si="80"/>
        <v>0</v>
      </c>
      <c r="AX115" s="1044">
        <f t="shared" si="91"/>
        <v>290.56910379729891</v>
      </c>
      <c r="AY115" s="1044">
        <f t="shared" si="49"/>
        <v>16.688062422787137</v>
      </c>
      <c r="AZ115" s="1046">
        <f t="shared" si="47"/>
        <v>11.125374948524758</v>
      </c>
      <c r="BA115" s="4"/>
      <c r="BB115" s="1055">
        <f t="shared" si="81"/>
        <v>199.50074715208572</v>
      </c>
      <c r="BC115" s="1056">
        <f t="shared" si="82"/>
        <v>108.03048466258417</v>
      </c>
      <c r="BD115" s="1082">
        <f t="shared" si="90"/>
        <v>11.125374948524758</v>
      </c>
      <c r="BE115" s="1056">
        <f t="shared" si="54"/>
        <v>318.6566067631947</v>
      </c>
      <c r="BF115" s="167">
        <v>0</v>
      </c>
      <c r="BG115" s="1075">
        <f t="shared" si="83"/>
        <v>318.6566067631947</v>
      </c>
      <c r="BI115" s="1055">
        <f t="shared" si="84"/>
        <v>199.50074715208572</v>
      </c>
      <c r="BJ115" s="1056">
        <f t="shared" si="85"/>
        <v>108.03048466258417</v>
      </c>
      <c r="BK115" s="1082">
        <f t="shared" si="86"/>
        <v>11.125374948524758</v>
      </c>
      <c r="BL115" s="1056">
        <f t="shared" si="55"/>
        <v>318.6566067631947</v>
      </c>
      <c r="BM115" s="167">
        <v>0</v>
      </c>
      <c r="BN115" s="1075">
        <f t="shared" si="87"/>
        <v>318.6566067631947</v>
      </c>
    </row>
    <row r="116" spans="1:66">
      <c r="A116" s="927">
        <f>'Input data'!A146</f>
        <v>2046</v>
      </c>
      <c r="B116" s="824">
        <f>'Input data'!B146</f>
        <v>74.049234192071822</v>
      </c>
      <c r="C116" s="824">
        <f>'Recycling - Case 2'!AK126/B116</f>
        <v>268.2471493259718</v>
      </c>
      <c r="D116" s="825">
        <f>'Recycling - Case 2'!AM126</f>
        <v>0.11220614429780751</v>
      </c>
      <c r="E116" s="826">
        <f>'Recycling - Case 2'!BE126</f>
        <v>0.2200920359538853</v>
      </c>
      <c r="F116" s="826">
        <f>'Recycling - Case 2'!BF126</f>
        <v>0.27913624454373598</v>
      </c>
      <c r="G116" s="826">
        <f>'Recycling - Case 2'!BG126</f>
        <v>5.3324611676115276E-2</v>
      </c>
      <c r="H116" s="826">
        <f>'Recycling - Case 2'!BH126</f>
        <v>0</v>
      </c>
      <c r="I116" s="826">
        <f>'Recycling - Case 2'!BI126</f>
        <v>0</v>
      </c>
      <c r="J116" s="826">
        <f>'Recycling - Case 2'!BJ126</f>
        <v>0</v>
      </c>
      <c r="K116" s="826">
        <f>'Recycling - Case 2'!BK126</f>
        <v>0.44744710782626346</v>
      </c>
      <c r="L116" s="827">
        <f t="shared" si="89"/>
        <v>1</v>
      </c>
      <c r="M116" s="4"/>
      <c r="N116" s="838">
        <f t="shared" si="56"/>
        <v>2228.8062963921584</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0.11017089897227611</v>
      </c>
      <c r="Q116" s="832">
        <f t="shared" si="57"/>
        <v>122.77479665429668</v>
      </c>
      <c r="R116" s="832">
        <f t="shared" si="58"/>
        <v>122.77479665429668</v>
      </c>
      <c r="S116" s="835">
        <f t="shared" si="59"/>
        <v>0</v>
      </c>
      <c r="T116" s="832">
        <f>R116+(T115*$C$8)</f>
        <v>5791.4275336641031</v>
      </c>
      <c r="U116" s="832">
        <f t="shared" si="61"/>
        <v>290.63804080144217</v>
      </c>
      <c r="V116" s="839">
        <f t="shared" si="62"/>
        <v>193.75869386762812</v>
      </c>
      <c r="W116" s="4"/>
      <c r="X116" s="852">
        <f>'Recycling - Case 2'!AM166</f>
        <v>602.78015943273238</v>
      </c>
      <c r="Y116" s="853">
        <f>Parameters!S251</f>
        <v>0.71500000000000008</v>
      </c>
      <c r="Z116" s="853">
        <f t="shared" si="63"/>
        <v>0.4</v>
      </c>
      <c r="AA116" s="854">
        <f t="shared" si="64"/>
        <v>86.197562798880739</v>
      </c>
      <c r="AB116" s="854">
        <f t="shared" si="65"/>
        <v>86.197562798880739</v>
      </c>
      <c r="AC116" s="855">
        <f t="shared" si="66"/>
        <v>0</v>
      </c>
      <c r="AD116" s="854">
        <f t="shared" si="67"/>
        <v>3171.039505310202</v>
      </c>
      <c r="AE116" s="854">
        <f t="shared" si="68"/>
        <v>158.16322853929915</v>
      </c>
      <c r="AF116" s="856">
        <f t="shared" si="69"/>
        <v>105.44215235953277</v>
      </c>
      <c r="AG116" s="4"/>
      <c r="AH116" s="852">
        <f>'Recycling - Case 2'!AM206</f>
        <v>602.78015943273238</v>
      </c>
      <c r="AI116" s="853">
        <f>Parameters!S251</f>
        <v>0.71500000000000008</v>
      </c>
      <c r="AJ116" s="853">
        <f t="shared" si="70"/>
        <v>0.4</v>
      </c>
      <c r="AK116" s="854">
        <f t="shared" si="71"/>
        <v>86.197562798880739</v>
      </c>
      <c r="AL116" s="854">
        <f t="shared" si="72"/>
        <v>86.197562798880739</v>
      </c>
      <c r="AM116" s="855">
        <f t="shared" si="73"/>
        <v>0</v>
      </c>
      <c r="AN116" s="854">
        <f t="shared" si="74"/>
        <v>3171.039505310202</v>
      </c>
      <c r="AO116" s="854">
        <f t="shared" si="75"/>
        <v>158.16322853929915</v>
      </c>
      <c r="AP116" s="856">
        <f t="shared" si="76"/>
        <v>105.44215235953277</v>
      </c>
      <c r="AQ116" s="4"/>
      <c r="AR116" s="1042">
        <f>'Recycling - Case 2'!G126</f>
        <v>832.34700807700915</v>
      </c>
      <c r="AS116" s="1043">
        <v>1</v>
      </c>
      <c r="AT116" s="1043">
        <f t="shared" si="77"/>
        <v>0.05</v>
      </c>
      <c r="AU116" s="1044">
        <f t="shared" si="78"/>
        <v>20.808675201925229</v>
      </c>
      <c r="AV116" s="1044">
        <f t="shared" si="79"/>
        <v>20.808675201925229</v>
      </c>
      <c r="AW116" s="1045">
        <f t="shared" si="80"/>
        <v>0</v>
      </c>
      <c r="AX116" s="1044">
        <f t="shared" si="91"/>
        <v>294.45635171358157</v>
      </c>
      <c r="AY116" s="1044">
        <f t="shared" si="49"/>
        <v>16.921427285642547</v>
      </c>
      <c r="AZ116" s="1046">
        <f t="shared" si="47"/>
        <v>11.280951523761699</v>
      </c>
      <c r="BA116" s="4"/>
      <c r="BB116" s="1055">
        <f t="shared" si="81"/>
        <v>193.75869386762812</v>
      </c>
      <c r="BC116" s="1056">
        <f t="shared" si="82"/>
        <v>105.44215235953277</v>
      </c>
      <c r="BD116" s="1082">
        <f t="shared" si="90"/>
        <v>11.280951523761699</v>
      </c>
      <c r="BE116" s="1056">
        <f t="shared" si="54"/>
        <v>310.48179775092262</v>
      </c>
      <c r="BF116" s="167">
        <v>0</v>
      </c>
      <c r="BG116" s="1075">
        <f t="shared" si="83"/>
        <v>310.48179775092262</v>
      </c>
      <c r="BI116" s="1055">
        <f t="shared" si="84"/>
        <v>193.75869386762812</v>
      </c>
      <c r="BJ116" s="1056">
        <f t="shared" si="85"/>
        <v>105.44215235953277</v>
      </c>
      <c r="BK116" s="1082">
        <f t="shared" si="86"/>
        <v>11.280951523761699</v>
      </c>
      <c r="BL116" s="1056">
        <f t="shared" si="55"/>
        <v>310.48179775092262</v>
      </c>
      <c r="BM116" s="167">
        <v>0</v>
      </c>
      <c r="BN116" s="1075">
        <f t="shared" si="87"/>
        <v>310.48179775092262</v>
      </c>
    </row>
    <row r="117" spans="1:66">
      <c r="A117" s="927">
        <f>'Input data'!A147</f>
        <v>2047</v>
      </c>
      <c r="B117" s="824">
        <f>'Input data'!B147</f>
        <v>74.438425238522782</v>
      </c>
      <c r="C117" s="824">
        <f>'Recycling - Case 2'!AK127/B117</f>
        <v>267.55557298656447</v>
      </c>
      <c r="D117" s="825">
        <f>'Recycling - Case 2'!AM127</f>
        <v>0.11190800345070817</v>
      </c>
      <c r="E117" s="826">
        <f>'Recycling - Case 2'!BE127</f>
        <v>0.22044713023744239</v>
      </c>
      <c r="F117" s="826">
        <f>'Recycling - Case 2'!BF127</f>
        <v>0.27958660016129155</v>
      </c>
      <c r="G117" s="826">
        <f>'Recycling - Case 2'!BG127</f>
        <v>5.3238843447741518E-2</v>
      </c>
      <c r="H117" s="826">
        <f>'Recycling - Case 2'!BH127</f>
        <v>0</v>
      </c>
      <c r="I117" s="826">
        <f>'Recycling - Case 2'!BI127</f>
        <v>0</v>
      </c>
      <c r="J117" s="826">
        <f>'Recycling - Case 2'!BJ127</f>
        <v>0</v>
      </c>
      <c r="K117" s="826">
        <f>'Recycling - Case 2'!BK127</f>
        <v>0.44672742615352451</v>
      </c>
      <c r="L117" s="827">
        <f t="shared" si="89"/>
        <v>1</v>
      </c>
      <c r="M117" s="4"/>
      <c r="N117" s="838">
        <f t="shared" si="56"/>
        <v>2228.8062963921584</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0.11027992694697127</v>
      </c>
      <c r="Q117" s="832">
        <f t="shared" si="57"/>
        <v>122.8962977725384</v>
      </c>
      <c r="R117" s="832">
        <f t="shared" si="58"/>
        <v>122.8962977725384</v>
      </c>
      <c r="S117" s="835">
        <f t="shared" si="59"/>
        <v>0</v>
      </c>
      <c r="T117" s="832">
        <f t="shared" ref="T117:T120" si="92">R117+(T116*$C$8)</f>
        <v>5631.8725776574329</v>
      </c>
      <c r="U117" s="832">
        <f t="shared" si="61"/>
        <v>282.45125377920874</v>
      </c>
      <c r="V117" s="839">
        <f t="shared" si="62"/>
        <v>188.30083585280582</v>
      </c>
      <c r="W117" s="4"/>
      <c r="X117" s="852">
        <f>'Recycling - Case 2'!AM167</f>
        <v>626.80817174164554</v>
      </c>
      <c r="Y117" s="853">
        <f>Parameters!S252</f>
        <v>0.71500000000000008</v>
      </c>
      <c r="Z117" s="853">
        <f t="shared" si="63"/>
        <v>0.4</v>
      </c>
      <c r="AA117" s="854">
        <f t="shared" si="64"/>
        <v>89.633568559055334</v>
      </c>
      <c r="AB117" s="854">
        <f t="shared" si="65"/>
        <v>89.633568559055334</v>
      </c>
      <c r="AC117" s="855">
        <f t="shared" si="66"/>
        <v>0</v>
      </c>
      <c r="AD117" s="854">
        <f t="shared" si="67"/>
        <v>3106.0196522643078</v>
      </c>
      <c r="AE117" s="854">
        <f t="shared" si="68"/>
        <v>154.6534216049497</v>
      </c>
      <c r="AF117" s="856">
        <f t="shared" si="69"/>
        <v>103.10228106996647</v>
      </c>
      <c r="AG117" s="4"/>
      <c r="AH117" s="852">
        <f>'Recycling - Case 2'!AM207</f>
        <v>626.80817174164554</v>
      </c>
      <c r="AI117" s="853">
        <f>Parameters!S252</f>
        <v>0.71500000000000008</v>
      </c>
      <c r="AJ117" s="853">
        <f t="shared" si="70"/>
        <v>0.4</v>
      </c>
      <c r="AK117" s="854">
        <f t="shared" si="71"/>
        <v>89.633568559055334</v>
      </c>
      <c r="AL117" s="854">
        <f t="shared" si="72"/>
        <v>89.633568559055334</v>
      </c>
      <c r="AM117" s="855">
        <f t="shared" si="73"/>
        <v>0</v>
      </c>
      <c r="AN117" s="854">
        <f t="shared" si="74"/>
        <v>3106.0196522643078</v>
      </c>
      <c r="AO117" s="854">
        <f t="shared" si="75"/>
        <v>154.6534216049497</v>
      </c>
      <c r="AP117" s="856">
        <f t="shared" si="76"/>
        <v>103.10228106996647</v>
      </c>
      <c r="AQ117" s="4"/>
      <c r="AR117" s="1042">
        <f>'Recycling - Case 2'!G127</f>
        <v>836.72169211821836</v>
      </c>
      <c r="AS117" s="1043">
        <v>1</v>
      </c>
      <c r="AT117" s="1043">
        <f t="shared" si="77"/>
        <v>0.05</v>
      </c>
      <c r="AU117" s="1044">
        <f t="shared" si="78"/>
        <v>20.91804230295546</v>
      </c>
      <c r="AV117" s="1044">
        <f t="shared" si="79"/>
        <v>20.91804230295546</v>
      </c>
      <c r="AW117" s="1045">
        <f t="shared" si="80"/>
        <v>0</v>
      </c>
      <c r="AX117" s="1044">
        <f t="shared" si="91"/>
        <v>298.22659103541611</v>
      </c>
      <c r="AY117" s="1044">
        <f t="shared" si="49"/>
        <v>17.147802981120925</v>
      </c>
      <c r="AZ117" s="1046">
        <f t="shared" si="47"/>
        <v>11.431868654080617</v>
      </c>
      <c r="BA117" s="4"/>
      <c r="BB117" s="1055">
        <f t="shared" si="81"/>
        <v>188.30083585280582</v>
      </c>
      <c r="BC117" s="1056">
        <f t="shared" si="82"/>
        <v>103.10228106996647</v>
      </c>
      <c r="BD117" s="1082">
        <f t="shared" si="90"/>
        <v>11.431868654080617</v>
      </c>
      <c r="BE117" s="1056">
        <f t="shared" si="54"/>
        <v>302.83498557685289</v>
      </c>
      <c r="BF117" s="167">
        <v>0</v>
      </c>
      <c r="BG117" s="1075">
        <f t="shared" si="83"/>
        <v>302.83498557685289</v>
      </c>
      <c r="BI117" s="1055">
        <f t="shared" si="84"/>
        <v>188.30083585280582</v>
      </c>
      <c r="BJ117" s="1056">
        <f t="shared" si="85"/>
        <v>103.10228106996647</v>
      </c>
      <c r="BK117" s="1082">
        <f t="shared" si="86"/>
        <v>11.431868654080617</v>
      </c>
      <c r="BL117" s="1056">
        <f t="shared" si="55"/>
        <v>302.83498557685289</v>
      </c>
      <c r="BM117" s="167">
        <v>0</v>
      </c>
      <c r="BN117" s="1075">
        <f t="shared" si="87"/>
        <v>302.83498557685289</v>
      </c>
    </row>
    <row r="118" spans="1:66">
      <c r="A118" s="927">
        <f>'Input data'!A148</f>
        <v>2048</v>
      </c>
      <c r="B118" s="824">
        <f>'Input data'!B148</f>
        <v>74.813195848926668</v>
      </c>
      <c r="C118" s="824">
        <f>'Recycling - Case 2'!AK128/B118</f>
        <v>266.89665975869104</v>
      </c>
      <c r="D118" s="825">
        <f>'Recycling - Case 2'!AM128</f>
        <v>0.11162230338799653</v>
      </c>
      <c r="E118" s="826">
        <f>'Recycling - Case 2'!BE128</f>
        <v>0.22078451415397732</v>
      </c>
      <c r="F118" s="826">
        <f>'Recycling - Case 2'!BF128</f>
        <v>0.28001449424216029</v>
      </c>
      <c r="G118" s="826">
        <f>'Recycling - Case 2'!BG128</f>
        <v>5.3157352919329978E-2</v>
      </c>
      <c r="H118" s="826">
        <f>'Recycling - Case 2'!BH128</f>
        <v>0</v>
      </c>
      <c r="I118" s="826">
        <f>'Recycling - Case 2'!BI128</f>
        <v>0</v>
      </c>
      <c r="J118" s="826">
        <f>'Recycling - Case 2'!BJ128</f>
        <v>0</v>
      </c>
      <c r="K118" s="826">
        <f>'Recycling - Case 2'!BK128</f>
        <v>0.44604363868453278</v>
      </c>
      <c r="L118" s="827">
        <f t="shared" si="89"/>
        <v>1.0000000000000004</v>
      </c>
      <c r="M118" s="4"/>
      <c r="N118" s="838">
        <f t="shared" si="56"/>
        <v>2228.8062963921584</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0.11038351713926065</v>
      </c>
      <c r="Q118" s="832">
        <f t="shared" si="57"/>
        <v>123.01173900894793</v>
      </c>
      <c r="R118" s="832">
        <f t="shared" si="58"/>
        <v>123.01173900894793</v>
      </c>
      <c r="S118" s="835">
        <f t="shared" si="59"/>
        <v>0</v>
      </c>
      <c r="T118" s="832">
        <f t="shared" si="92"/>
        <v>5480.2146499153805</v>
      </c>
      <c r="U118" s="832">
        <f t="shared" si="61"/>
        <v>274.66966675100019</v>
      </c>
      <c r="V118" s="839">
        <f t="shared" si="62"/>
        <v>183.11311116733347</v>
      </c>
      <c r="W118" s="4"/>
      <c r="X118" s="852">
        <f>'Recycling - Case 2'!AM168</f>
        <v>650.60422528870004</v>
      </c>
      <c r="Y118" s="853">
        <f>Parameters!S253</f>
        <v>0.71500000000000008</v>
      </c>
      <c r="Z118" s="853">
        <f t="shared" si="63"/>
        <v>0.4</v>
      </c>
      <c r="AA118" s="854">
        <f t="shared" si="64"/>
        <v>93.036404216284126</v>
      </c>
      <c r="AB118" s="854">
        <f t="shared" si="65"/>
        <v>93.036404216284126</v>
      </c>
      <c r="AC118" s="855">
        <f t="shared" si="66"/>
        <v>0</v>
      </c>
      <c r="AD118" s="854">
        <f t="shared" si="67"/>
        <v>3047.5736905275694</v>
      </c>
      <c r="AE118" s="854">
        <f t="shared" si="68"/>
        <v>151.48236595302242</v>
      </c>
      <c r="AF118" s="856">
        <f t="shared" si="69"/>
        <v>100.98824396868162</v>
      </c>
      <c r="AG118" s="4"/>
      <c r="AH118" s="852">
        <f>'Recycling - Case 2'!AM208</f>
        <v>650.60422528870004</v>
      </c>
      <c r="AI118" s="853">
        <f>Parameters!S253</f>
        <v>0.71500000000000008</v>
      </c>
      <c r="AJ118" s="853">
        <f t="shared" si="70"/>
        <v>0.4</v>
      </c>
      <c r="AK118" s="854">
        <f t="shared" si="71"/>
        <v>93.036404216284126</v>
      </c>
      <c r="AL118" s="854">
        <f t="shared" si="72"/>
        <v>93.036404216284126</v>
      </c>
      <c r="AM118" s="855">
        <f t="shared" si="73"/>
        <v>0</v>
      </c>
      <c r="AN118" s="854">
        <f t="shared" si="74"/>
        <v>3047.5736905275694</v>
      </c>
      <c r="AO118" s="854">
        <f t="shared" si="75"/>
        <v>151.48236595302242</v>
      </c>
      <c r="AP118" s="856">
        <f t="shared" si="76"/>
        <v>100.98824396868162</v>
      </c>
      <c r="AQ118" s="4"/>
      <c r="AR118" s="1042">
        <f>'Recycling - Case 2'!G128</f>
        <v>840.93428391188559</v>
      </c>
      <c r="AS118" s="1043">
        <v>1</v>
      </c>
      <c r="AT118" s="1043">
        <f t="shared" si="77"/>
        <v>0.05</v>
      </c>
      <c r="AU118" s="1044">
        <f t="shared" si="78"/>
        <v>21.023357097797142</v>
      </c>
      <c r="AV118" s="1044">
        <f t="shared" si="79"/>
        <v>21.023357097797142</v>
      </c>
      <c r="AW118" s="1045">
        <f t="shared" si="80"/>
        <v>0</v>
      </c>
      <c r="AX118" s="1044">
        <f t="shared" si="91"/>
        <v>301.88258350668627</v>
      </c>
      <c r="AY118" s="1044">
        <f t="shared" si="49"/>
        <v>17.367364626526967</v>
      </c>
      <c r="AZ118" s="1046">
        <f t="shared" si="47"/>
        <v>11.578243084351312</v>
      </c>
      <c r="BA118" s="4"/>
      <c r="BB118" s="1055">
        <f t="shared" si="81"/>
        <v>183.11311116733347</v>
      </c>
      <c r="BC118" s="1056">
        <f t="shared" si="82"/>
        <v>100.98824396868162</v>
      </c>
      <c r="BD118" s="1082">
        <f t="shared" si="90"/>
        <v>11.578243084351312</v>
      </c>
      <c r="BE118" s="1056">
        <f t="shared" si="54"/>
        <v>295.67959822036636</v>
      </c>
      <c r="BF118" s="167">
        <v>0</v>
      </c>
      <c r="BG118" s="1075">
        <f t="shared" si="83"/>
        <v>295.67959822036636</v>
      </c>
      <c r="BI118" s="1055">
        <f t="shared" si="84"/>
        <v>183.11311116733347</v>
      </c>
      <c r="BJ118" s="1056">
        <f t="shared" si="85"/>
        <v>100.98824396868162</v>
      </c>
      <c r="BK118" s="1082">
        <f t="shared" si="86"/>
        <v>11.578243084351312</v>
      </c>
      <c r="BL118" s="1056">
        <f t="shared" si="55"/>
        <v>295.67959822036636</v>
      </c>
      <c r="BM118" s="167">
        <v>0</v>
      </c>
      <c r="BN118" s="1075">
        <f t="shared" si="87"/>
        <v>295.67959822036636</v>
      </c>
    </row>
    <row r="119" spans="1:66">
      <c r="A119" s="927">
        <f>'Input data'!A149</f>
        <v>2049</v>
      </c>
      <c r="B119" s="824">
        <f>'Input data'!B149</f>
        <v>75.173102421925719</v>
      </c>
      <c r="C119" s="824">
        <f>'Recycling - Case 2'!AK129/B119</f>
        <v>266.27027902920838</v>
      </c>
      <c r="D119" s="825">
        <f>'Recycling - Case 2'!AM129</f>
        <v>0.11134921469690319</v>
      </c>
      <c r="E119" s="826">
        <f>'Recycling - Case 2'!BE129</f>
        <v>0.2211043936267808</v>
      </c>
      <c r="F119" s="826">
        <f>'Recycling - Case 2'!BF129</f>
        <v>0.28042018795278467</v>
      </c>
      <c r="G119" s="826">
        <f>'Recycling - Case 2'!BG129</f>
        <v>5.3080090352890782E-2</v>
      </c>
      <c r="H119" s="826">
        <f>'Recycling - Case 2'!BH129</f>
        <v>0</v>
      </c>
      <c r="I119" s="826">
        <f>'Recycling - Case 2'!BI129</f>
        <v>0</v>
      </c>
      <c r="J119" s="826">
        <f>'Recycling - Case 2'!BJ129</f>
        <v>0</v>
      </c>
      <c r="K119" s="826">
        <f>'Recycling - Case 2'!BK129</f>
        <v>0.44539532806754367</v>
      </c>
      <c r="L119" s="827">
        <f t="shared" si="89"/>
        <v>0.99999999999999989</v>
      </c>
      <c r="M119" s="4"/>
      <c r="N119" s="838">
        <f t="shared" si="56"/>
        <v>2228.8062963921589</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0.11048173277573037</v>
      </c>
      <c r="Q119" s="832">
        <f t="shared" si="57"/>
        <v>123.12119082343189</v>
      </c>
      <c r="R119" s="832">
        <f t="shared" si="58"/>
        <v>123.12119082343189</v>
      </c>
      <c r="S119" s="835">
        <f t="shared" si="59"/>
        <v>0</v>
      </c>
      <c r="T119" s="832">
        <f t="shared" si="92"/>
        <v>5336.0626184028215</v>
      </c>
      <c r="U119" s="832">
        <f t="shared" si="61"/>
        <v>267.27322233599119</v>
      </c>
      <c r="V119" s="839">
        <f t="shared" si="62"/>
        <v>178.18214822399412</v>
      </c>
      <c r="W119" s="4"/>
      <c r="X119" s="852">
        <f>'Recycling - Case 2'!AM169</f>
        <v>674.73413090886982</v>
      </c>
      <c r="Y119" s="853">
        <f>Parameters!S254</f>
        <v>0.71500000000000008</v>
      </c>
      <c r="Z119" s="853">
        <f t="shared" si="63"/>
        <v>0.4</v>
      </c>
      <c r="AA119" s="854">
        <f t="shared" si="64"/>
        <v>96.486980719968386</v>
      </c>
      <c r="AB119" s="854">
        <f t="shared" si="65"/>
        <v>96.486980719968386</v>
      </c>
      <c r="AC119" s="855">
        <f t="shared" si="66"/>
        <v>0</v>
      </c>
      <c r="AD119" s="854">
        <f t="shared" si="67"/>
        <v>2995.4287484840252</v>
      </c>
      <c r="AE119" s="854">
        <f t="shared" si="68"/>
        <v>148.63192276351245</v>
      </c>
      <c r="AF119" s="856">
        <f t="shared" si="69"/>
        <v>99.087948509008299</v>
      </c>
      <c r="AG119" s="4"/>
      <c r="AH119" s="852">
        <f>'Recycling - Case 2'!AM209</f>
        <v>674.73413090886982</v>
      </c>
      <c r="AI119" s="853">
        <f>Parameters!S254</f>
        <v>0.71500000000000008</v>
      </c>
      <c r="AJ119" s="853">
        <f t="shared" si="70"/>
        <v>0.4</v>
      </c>
      <c r="AK119" s="854">
        <f t="shared" si="71"/>
        <v>96.486980719968386</v>
      </c>
      <c r="AL119" s="854">
        <f t="shared" si="72"/>
        <v>96.486980719968386</v>
      </c>
      <c r="AM119" s="855">
        <f t="shared" si="73"/>
        <v>0</v>
      </c>
      <c r="AN119" s="854">
        <f t="shared" si="74"/>
        <v>2995.4287484840252</v>
      </c>
      <c r="AO119" s="854">
        <f t="shared" si="75"/>
        <v>148.63192276351245</v>
      </c>
      <c r="AP119" s="856">
        <f t="shared" si="76"/>
        <v>99.087948509008299</v>
      </c>
      <c r="AQ119" s="4"/>
      <c r="AR119" s="1042">
        <f>'Recycling - Case 2'!G129</f>
        <v>844.9797971773703</v>
      </c>
      <c r="AS119" s="1043">
        <v>1</v>
      </c>
      <c r="AT119" s="1043">
        <f t="shared" si="77"/>
        <v>0.05</v>
      </c>
      <c r="AU119" s="1044">
        <f t="shared" si="78"/>
        <v>21.12449492943426</v>
      </c>
      <c r="AV119" s="1044">
        <f t="shared" si="79"/>
        <v>21.12449492943426</v>
      </c>
      <c r="AW119" s="1045">
        <f t="shared" si="80"/>
        <v>0</v>
      </c>
      <c r="AX119" s="1044">
        <f t="shared" si="91"/>
        <v>305.42680538281667</v>
      </c>
      <c r="AY119" s="1044">
        <f t="shared" si="49"/>
        <v>17.580273053303859</v>
      </c>
      <c r="AZ119" s="1046">
        <f t="shared" si="47"/>
        <v>11.720182035535906</v>
      </c>
      <c r="BA119" s="4"/>
      <c r="BB119" s="1055">
        <f t="shared" si="81"/>
        <v>178.18214822399412</v>
      </c>
      <c r="BC119" s="1056">
        <f t="shared" si="82"/>
        <v>99.087948509008299</v>
      </c>
      <c r="BD119" s="1082">
        <f t="shared" si="90"/>
        <v>11.720182035535906</v>
      </c>
      <c r="BE119" s="1056">
        <f t="shared" si="54"/>
        <v>288.99027876853836</v>
      </c>
      <c r="BF119" s="167">
        <v>0</v>
      </c>
      <c r="BG119" s="1075">
        <f t="shared" si="83"/>
        <v>288.99027876853836</v>
      </c>
      <c r="BI119" s="1055">
        <f t="shared" si="84"/>
        <v>178.18214822399412</v>
      </c>
      <c r="BJ119" s="1056">
        <f t="shared" si="85"/>
        <v>99.087948509008299</v>
      </c>
      <c r="BK119" s="1082">
        <f t="shared" si="86"/>
        <v>11.720182035535906</v>
      </c>
      <c r="BL119" s="1056">
        <f t="shared" si="55"/>
        <v>288.99027876853836</v>
      </c>
      <c r="BM119" s="167">
        <v>0</v>
      </c>
      <c r="BN119" s="1075">
        <f t="shared" si="87"/>
        <v>288.99027876853836</v>
      </c>
    </row>
    <row r="120" spans="1:66" ht="15.75" thickBot="1">
      <c r="A120" s="928">
        <f>'Input data'!A150</f>
        <v>2050</v>
      </c>
      <c r="B120" s="828">
        <f>'Input data'!B150</f>
        <v>75.517908954390194</v>
      </c>
      <c r="C120" s="828">
        <f>'Recycling - Case 2'!AK130/B120</f>
        <v>265.67597106004104</v>
      </c>
      <c r="D120" s="829">
        <f>'Recycling - Case 2'!AM130</f>
        <v>0.11108875338663823</v>
      </c>
      <c r="E120" s="830">
        <f>'Recycling - Case 2'!BE130</f>
        <v>0.22140713372189641</v>
      </c>
      <c r="F120" s="830">
        <f>'Recycling - Case 2'!BF130</f>
        <v>0.28080414429567152</v>
      </c>
      <c r="G120" s="830">
        <f>'Recycling - Case 2'!BG130</f>
        <v>5.3006967571651797E-2</v>
      </c>
      <c r="H120" s="830">
        <f>'Recycling - Case 2'!BH130</f>
        <v>0</v>
      </c>
      <c r="I120" s="830">
        <f>'Recycling - Case 2'!BI130</f>
        <v>0</v>
      </c>
      <c r="J120" s="830">
        <f>'Recycling - Case 2'!BJ130</f>
        <v>0</v>
      </c>
      <c r="K120" s="830">
        <f>'Recycling - Case 2'!BK130</f>
        <v>0.44478175441078016</v>
      </c>
      <c r="L120" s="831">
        <f t="shared" si="89"/>
        <v>0.99999999999999989</v>
      </c>
      <c r="M120" s="4"/>
      <c r="N120" s="840">
        <f t="shared" si="56"/>
        <v>2228.8062963921579</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0.1105746859460795</v>
      </c>
      <c r="Q120" s="843">
        <f t="shared" si="57"/>
        <v>123.22477812910373</v>
      </c>
      <c r="R120" s="843">
        <f t="shared" si="58"/>
        <v>123.22477812910373</v>
      </c>
      <c r="S120" s="844">
        <f t="shared" si="59"/>
        <v>0</v>
      </c>
      <c r="T120" s="843">
        <f t="shared" si="92"/>
        <v>5199.0445517321923</v>
      </c>
      <c r="U120" s="843">
        <f t="shared" si="61"/>
        <v>260.24284479973244</v>
      </c>
      <c r="V120" s="845">
        <f t="shared" si="62"/>
        <v>173.4952298664883</v>
      </c>
      <c r="W120" s="4"/>
      <c r="X120" s="852">
        <f>'Recycling - Case 2'!AM170</f>
        <v>698.7264857066707</v>
      </c>
      <c r="Y120" s="858">
        <f>Parameters!S255</f>
        <v>0.71500000000000008</v>
      </c>
      <c r="Z120" s="858">
        <f t="shared" si="63"/>
        <v>0.4</v>
      </c>
      <c r="AA120" s="859">
        <f t="shared" si="64"/>
        <v>99.917887456053919</v>
      </c>
      <c r="AB120" s="859">
        <f t="shared" si="65"/>
        <v>99.917887456053919</v>
      </c>
      <c r="AC120" s="860">
        <f t="shared" si="66"/>
        <v>0</v>
      </c>
      <c r="AD120" s="859">
        <f t="shared" si="67"/>
        <v>2949.2578520094071</v>
      </c>
      <c r="AE120" s="859">
        <f t="shared" si="68"/>
        <v>146.08878393067187</v>
      </c>
      <c r="AF120" s="861">
        <f t="shared" si="69"/>
        <v>97.392522620447906</v>
      </c>
      <c r="AG120" s="4"/>
      <c r="AH120" s="852">
        <f>'Recycling - Case 2'!AM210</f>
        <v>698.7264857066707</v>
      </c>
      <c r="AI120" s="858">
        <f>Parameters!S255</f>
        <v>0.71500000000000008</v>
      </c>
      <c r="AJ120" s="858">
        <f t="shared" si="70"/>
        <v>0.4</v>
      </c>
      <c r="AK120" s="859">
        <f t="shared" si="71"/>
        <v>99.917887456053919</v>
      </c>
      <c r="AL120" s="859">
        <f t="shared" si="72"/>
        <v>99.917887456053919</v>
      </c>
      <c r="AM120" s="860">
        <f t="shared" si="73"/>
        <v>0</v>
      </c>
      <c r="AN120" s="859">
        <f t="shared" si="74"/>
        <v>2949.2578520094071</v>
      </c>
      <c r="AO120" s="859">
        <f t="shared" si="75"/>
        <v>146.08878393067187</v>
      </c>
      <c r="AP120" s="861">
        <f t="shared" si="76"/>
        <v>97.392522620447906</v>
      </c>
      <c r="AQ120" s="4"/>
      <c r="AR120" s="1047">
        <f>'Recycling - Case 2'!G130</f>
        <v>848.85557913235698</v>
      </c>
      <c r="AS120" s="1048">
        <f>Parameters!R221</f>
        <v>1</v>
      </c>
      <c r="AT120" s="1048">
        <f t="shared" si="77"/>
        <v>0.05</v>
      </c>
      <c r="AU120" s="1049">
        <f t="shared" si="78"/>
        <v>21.221389478308925</v>
      </c>
      <c r="AV120" s="1049">
        <f t="shared" si="79"/>
        <v>21.221389478308925</v>
      </c>
      <c r="AW120" s="1050">
        <f t="shared" si="80"/>
        <v>0</v>
      </c>
      <c r="AX120" s="1049">
        <f t="shared" si="91"/>
        <v>308.86152239378436</v>
      </c>
      <c r="AY120" s="1049">
        <f t="shared" si="49"/>
        <v>17.786672467341223</v>
      </c>
      <c r="AZ120" s="1051">
        <f t="shared" si="47"/>
        <v>11.857781644894148</v>
      </c>
      <c r="BA120" s="4"/>
      <c r="BB120" s="1057">
        <f t="shared" si="81"/>
        <v>173.4952298664883</v>
      </c>
      <c r="BC120" s="1058">
        <f t="shared" si="82"/>
        <v>97.392522620447906</v>
      </c>
      <c r="BD120" s="1083">
        <f t="shared" si="90"/>
        <v>11.857781644894148</v>
      </c>
      <c r="BE120" s="1058">
        <f t="shared" si="54"/>
        <v>282.74553413183037</v>
      </c>
      <c r="BF120" s="1059">
        <v>0</v>
      </c>
      <c r="BG120" s="1076">
        <f t="shared" si="83"/>
        <v>282.74553413183037</v>
      </c>
      <c r="BI120" s="1057">
        <f t="shared" si="84"/>
        <v>173.4952298664883</v>
      </c>
      <c r="BJ120" s="1058">
        <f t="shared" si="85"/>
        <v>97.392522620447906</v>
      </c>
      <c r="BK120" s="1083">
        <f t="shared" si="86"/>
        <v>11.857781644894148</v>
      </c>
      <c r="BL120" s="1058">
        <f t="shared" si="55"/>
        <v>282.74553413183037</v>
      </c>
      <c r="BM120" s="1059">
        <v>0</v>
      </c>
      <c r="BN120" s="1076">
        <f t="shared" si="87"/>
        <v>282.74553413183037</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5" max="55" width="11.140625" customWidth="1"/>
    <col min="56" max="56" width="8.28515625" style="1078" customWidth="1"/>
    <col min="57" max="57" width="14.42578125" customWidth="1"/>
    <col min="59" max="59" width="12.28515625" customWidth="1"/>
    <col min="61" max="62" width="11.28515625" customWidth="1"/>
    <col min="63" max="63" width="11.28515625" style="1078" customWidth="1"/>
    <col min="64" max="64" width="11.28515625" customWidth="1"/>
    <col min="65" max="65" width="10.7109375" customWidth="1"/>
    <col min="66" max="66" width="12.28515625" customWidth="1"/>
  </cols>
  <sheetData>
    <row r="1" spans="1:66">
      <c r="A1" s="141" t="s">
        <v>198</v>
      </c>
      <c r="B1" s="115"/>
      <c r="C1" s="115" t="s">
        <v>267</v>
      </c>
      <c r="D1" s="1170" t="s">
        <v>315</v>
      </c>
      <c r="E1" s="1172" t="s">
        <v>320</v>
      </c>
      <c r="F1" s="104"/>
      <c r="G1" s="104"/>
    </row>
    <row r="2" spans="1:66">
      <c r="A2" s="150"/>
      <c r="B2" s="99"/>
      <c r="C2" s="99"/>
      <c r="D2" s="104"/>
      <c r="E2" s="130"/>
      <c r="F2" s="104"/>
      <c r="G2" s="104"/>
    </row>
    <row r="3" spans="1:66">
      <c r="A3" s="150" t="s">
        <v>316</v>
      </c>
      <c r="B3" s="99"/>
      <c r="C3" s="99" t="str">
        <f>Parameters!D94</f>
        <v>varies</v>
      </c>
      <c r="D3" s="941">
        <v>0.4</v>
      </c>
      <c r="E3" s="1173">
        <f>Parameters!F94</f>
        <v>0.05</v>
      </c>
      <c r="F3" s="104"/>
      <c r="G3" s="104"/>
    </row>
    <row r="4" spans="1:66">
      <c r="A4" s="150" t="s">
        <v>260</v>
      </c>
      <c r="B4" s="99"/>
      <c r="C4" s="99">
        <f>Parameters!D95</f>
        <v>0.5</v>
      </c>
      <c r="D4" s="99">
        <f>Parameters!E95</f>
        <v>0.5</v>
      </c>
      <c r="E4" s="1173">
        <f>Parameters!F95</f>
        <v>0.5</v>
      </c>
      <c r="F4" s="104"/>
      <c r="G4" s="104"/>
    </row>
    <row r="5" spans="1:66">
      <c r="A5" s="174" t="s">
        <v>257</v>
      </c>
      <c r="B5" s="175"/>
      <c r="C5" s="175">
        <f>Parameters!D96</f>
        <v>0.05</v>
      </c>
      <c r="D5" s="99">
        <f>Parameters!E96</f>
        <v>0.05</v>
      </c>
      <c r="E5" s="1173">
        <f>Parameters!F96</f>
        <v>0.06</v>
      </c>
      <c r="F5" s="104"/>
      <c r="G5" s="104"/>
    </row>
    <row r="6" spans="1:66">
      <c r="A6" s="150" t="s">
        <v>258</v>
      </c>
      <c r="B6" s="107" t="s">
        <v>211</v>
      </c>
      <c r="C6" s="107">
        <f>Parameters!D97</f>
        <v>13.862943611198904</v>
      </c>
      <c r="D6" s="106">
        <f>Parameters!E97</f>
        <v>13.862943611198904</v>
      </c>
      <c r="E6" s="1174">
        <f>Parameters!F97</f>
        <v>11.552453009332423</v>
      </c>
      <c r="F6" s="104"/>
      <c r="G6" s="104"/>
    </row>
    <row r="7" spans="1:66">
      <c r="A7" s="150" t="s">
        <v>255</v>
      </c>
      <c r="B7" s="107" t="s">
        <v>256</v>
      </c>
      <c r="C7" s="107">
        <f>Parameters!D98</f>
        <v>6</v>
      </c>
      <c r="D7" s="99">
        <f>Parameters!E98</f>
        <v>6</v>
      </c>
      <c r="E7" s="1173">
        <f>Parameters!F98</f>
        <v>6</v>
      </c>
      <c r="F7" s="104"/>
      <c r="G7" s="104"/>
    </row>
    <row r="8" spans="1:66">
      <c r="A8" s="151" t="s">
        <v>248</v>
      </c>
      <c r="B8" s="108" t="s">
        <v>249</v>
      </c>
      <c r="C8" s="108">
        <f>Parameters!D99</f>
        <v>0.95122942450071402</v>
      </c>
      <c r="D8" s="158">
        <f>Parameters!E99</f>
        <v>0.95122942450071402</v>
      </c>
      <c r="E8" s="1175">
        <f>Parameters!F99</f>
        <v>0.94176453358424872</v>
      </c>
      <c r="F8" s="104"/>
      <c r="G8" s="104"/>
    </row>
    <row r="9" spans="1:66">
      <c r="A9" s="151" t="s">
        <v>250</v>
      </c>
      <c r="B9" s="108" t="s">
        <v>251</v>
      </c>
      <c r="C9" s="108">
        <f>Parameters!D100</f>
        <v>13</v>
      </c>
      <c r="D9" s="99">
        <f>Parameters!E100</f>
        <v>13</v>
      </c>
      <c r="E9" s="1173">
        <f>Parameters!F100</f>
        <v>13</v>
      </c>
      <c r="F9" s="104"/>
      <c r="G9" s="104"/>
      <c r="H9" s="561"/>
    </row>
    <row r="10" spans="1:66">
      <c r="A10" s="151" t="s">
        <v>252</v>
      </c>
      <c r="B10" s="108" t="s">
        <v>253</v>
      </c>
      <c r="C10" s="108">
        <f>Parameters!D101</f>
        <v>1</v>
      </c>
      <c r="D10" s="99">
        <f>Parameters!E101</f>
        <v>1</v>
      </c>
      <c r="E10" s="1173">
        <f>Parameters!F101</f>
        <v>1</v>
      </c>
      <c r="F10" s="104"/>
      <c r="G10" s="104"/>
    </row>
    <row r="11" spans="1:66">
      <c r="A11" s="151" t="s">
        <v>259</v>
      </c>
      <c r="B11" s="108" t="s">
        <v>254</v>
      </c>
      <c r="C11" s="108">
        <f>Parameters!D102</f>
        <v>0.5</v>
      </c>
      <c r="D11" s="99">
        <f>Parameters!E102</f>
        <v>0.5</v>
      </c>
      <c r="E11" s="1173">
        <f>Parameters!F102</f>
        <v>0.5</v>
      </c>
      <c r="F11" s="104"/>
      <c r="G11" s="104"/>
    </row>
    <row r="12" spans="1:66">
      <c r="A12" s="151" t="s">
        <v>729</v>
      </c>
      <c r="B12" s="108">
        <v>2002</v>
      </c>
      <c r="C12" s="108"/>
      <c r="D12" s="1444">
        <f>'Waste Summary 2017 SASOW'!L29</f>
        <v>0.13527885904981399</v>
      </c>
      <c r="E12" s="1173"/>
      <c r="F12" s="104"/>
      <c r="G12" s="104"/>
      <c r="BB12" s="314" t="s">
        <v>659</v>
      </c>
      <c r="BI12" t="s">
        <v>655</v>
      </c>
    </row>
    <row r="13" spans="1:66">
      <c r="A13" s="151" t="s">
        <v>729</v>
      </c>
      <c r="B13" s="108">
        <v>2017</v>
      </c>
      <c r="C13" s="108"/>
      <c r="D13" s="1444">
        <f>'Waste Summary 2017 SASOW'!$L$25</f>
        <v>2.197312110627072E-2</v>
      </c>
      <c r="E13" s="130"/>
      <c r="F13" s="104"/>
      <c r="G13" s="104"/>
      <c r="X13" s="1" t="s">
        <v>659</v>
      </c>
      <c r="AH13" s="1" t="s">
        <v>655</v>
      </c>
    </row>
    <row r="14" spans="1:66" ht="15.75" thickBot="1">
      <c r="A14" s="152" t="s">
        <v>728</v>
      </c>
      <c r="B14" s="163"/>
      <c r="C14" s="163"/>
      <c r="D14" s="683">
        <f>'Waste Summary 2017 SASOW'!$L$26</f>
        <v>6.9875113374971584E-2</v>
      </c>
      <c r="E14" s="1445"/>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31" t="s">
        <v>319</v>
      </c>
      <c r="BC15" s="1732"/>
      <c r="BD15" s="1732"/>
      <c r="BE15" s="1732"/>
      <c r="BF15" s="1732"/>
      <c r="BG15" s="1733"/>
      <c r="BI15" s="1731" t="s">
        <v>319</v>
      </c>
      <c r="BJ15" s="1732"/>
      <c r="BK15" s="1732"/>
      <c r="BL15" s="1732"/>
      <c r="BM15" s="1732"/>
      <c r="BN15" s="1733"/>
    </row>
    <row r="16" spans="1:66" ht="60">
      <c r="A16" s="1961" t="s">
        <v>217</v>
      </c>
      <c r="B16" s="1964" t="s">
        <v>218</v>
      </c>
      <c r="C16" s="1964" t="s">
        <v>219</v>
      </c>
      <c r="D16" s="1964" t="s">
        <v>220</v>
      </c>
      <c r="E16" s="1961" t="s">
        <v>221</v>
      </c>
      <c r="F16" s="1966" t="s">
        <v>85</v>
      </c>
      <c r="G16" s="1966" t="s">
        <v>87</v>
      </c>
      <c r="H16" s="1966" t="s">
        <v>222</v>
      </c>
      <c r="I16" s="1966" t="s">
        <v>115</v>
      </c>
      <c r="J16" s="1966" t="s">
        <v>223</v>
      </c>
      <c r="K16" s="1966" t="s">
        <v>224</v>
      </c>
      <c r="L16" s="1959" t="s">
        <v>225</v>
      </c>
      <c r="M16" s="294"/>
      <c r="N16" s="213" t="s">
        <v>235</v>
      </c>
      <c r="O16" s="214" t="s">
        <v>22</v>
      </c>
      <c r="P16" s="214" t="s">
        <v>236</v>
      </c>
      <c r="Q16" s="215" t="s">
        <v>237</v>
      </c>
      <c r="R16" s="215" t="s">
        <v>238</v>
      </c>
      <c r="S16" s="215" t="s">
        <v>239</v>
      </c>
      <c r="T16" s="215" t="s">
        <v>240</v>
      </c>
      <c r="U16" s="215" t="s">
        <v>241</v>
      </c>
      <c r="V16" s="221" t="s">
        <v>300</v>
      </c>
      <c r="W16" s="1742" t="s">
        <v>729</v>
      </c>
      <c r="X16" s="213" t="s">
        <v>726</v>
      </c>
      <c r="Y16" s="214" t="s">
        <v>22</v>
      </c>
      <c r="Z16" s="214" t="s">
        <v>236</v>
      </c>
      <c r="AA16" s="215" t="s">
        <v>237</v>
      </c>
      <c r="AB16" s="215" t="s">
        <v>238</v>
      </c>
      <c r="AC16" s="215" t="s">
        <v>239</v>
      </c>
      <c r="AD16" s="215" t="s">
        <v>240</v>
      </c>
      <c r="AE16" s="215" t="s">
        <v>241</v>
      </c>
      <c r="AF16" s="221" t="s">
        <v>300</v>
      </c>
      <c r="AG16" s="1742"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1" t="s">
        <v>267</v>
      </c>
      <c r="BC16" s="1953" t="s">
        <v>315</v>
      </c>
      <c r="BD16" s="1955" t="s">
        <v>320</v>
      </c>
      <c r="BE16" s="1953" t="s">
        <v>225</v>
      </c>
      <c r="BF16" s="1953" t="s">
        <v>321</v>
      </c>
      <c r="BG16" s="1957" t="s">
        <v>322</v>
      </c>
      <c r="BI16" s="1951" t="s">
        <v>267</v>
      </c>
      <c r="BJ16" s="1953" t="s">
        <v>315</v>
      </c>
      <c r="BK16" s="1955" t="s">
        <v>320</v>
      </c>
      <c r="BL16" s="1953" t="s">
        <v>225</v>
      </c>
      <c r="BM16" s="1953" t="s">
        <v>321</v>
      </c>
      <c r="BN16" s="1957" t="s">
        <v>322</v>
      </c>
    </row>
    <row r="17" spans="1:66" ht="24.75">
      <c r="A17" s="1962"/>
      <c r="B17" s="1965"/>
      <c r="C17" s="1965"/>
      <c r="D17" s="1965"/>
      <c r="E17" s="1962"/>
      <c r="F17" s="1967"/>
      <c r="G17" s="1967"/>
      <c r="H17" s="1967"/>
      <c r="I17" s="1967"/>
      <c r="J17" s="1967"/>
      <c r="K17" s="1967"/>
      <c r="L17" s="1960"/>
      <c r="M17" s="295"/>
      <c r="N17" s="222" t="s">
        <v>242</v>
      </c>
      <c r="O17" s="223" t="s">
        <v>22</v>
      </c>
      <c r="P17" s="223" t="s">
        <v>236</v>
      </c>
      <c r="Q17" s="224" t="s">
        <v>243</v>
      </c>
      <c r="R17" s="224" t="s">
        <v>244</v>
      </c>
      <c r="S17" s="224" t="s">
        <v>245</v>
      </c>
      <c r="T17" s="224" t="s">
        <v>301</v>
      </c>
      <c r="U17" s="224" t="s">
        <v>302</v>
      </c>
      <c r="V17" s="225" t="s">
        <v>246</v>
      </c>
      <c r="W17" s="1949"/>
      <c r="X17" s="222" t="s">
        <v>242</v>
      </c>
      <c r="Y17" s="223" t="s">
        <v>22</v>
      </c>
      <c r="Z17" s="223" t="s">
        <v>236</v>
      </c>
      <c r="AA17" s="224" t="s">
        <v>243</v>
      </c>
      <c r="AB17" s="224" t="s">
        <v>244</v>
      </c>
      <c r="AC17" s="224" t="s">
        <v>245</v>
      </c>
      <c r="AD17" s="224" t="s">
        <v>301</v>
      </c>
      <c r="AE17" s="224" t="s">
        <v>302</v>
      </c>
      <c r="AF17" s="225" t="s">
        <v>246</v>
      </c>
      <c r="AG17" s="1949"/>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2"/>
      <c r="BC17" s="1954"/>
      <c r="BD17" s="1956"/>
      <c r="BE17" s="1954"/>
      <c r="BF17" s="1954"/>
      <c r="BG17" s="1958"/>
      <c r="BI17" s="1952"/>
      <c r="BJ17" s="1954"/>
      <c r="BK17" s="1956"/>
      <c r="BL17" s="1954"/>
      <c r="BM17" s="1954"/>
      <c r="BN17" s="1958"/>
    </row>
    <row r="18" spans="1:66" ht="15.75" thickBot="1">
      <c r="A18" s="1963"/>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0"/>
      <c r="X18" s="217" t="s">
        <v>228</v>
      </c>
      <c r="Y18" s="218" t="s">
        <v>41</v>
      </c>
      <c r="Z18" s="218" t="s">
        <v>41</v>
      </c>
      <c r="AA18" s="219" t="s">
        <v>228</v>
      </c>
      <c r="AB18" s="219" t="s">
        <v>228</v>
      </c>
      <c r="AC18" s="219" t="s">
        <v>228</v>
      </c>
      <c r="AD18" s="219" t="s">
        <v>228</v>
      </c>
      <c r="AE18" s="219" t="s">
        <v>228</v>
      </c>
      <c r="AF18" s="220" t="s">
        <v>228</v>
      </c>
      <c r="AG18" s="1950"/>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48">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48">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48">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48">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48">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48">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48">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48">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48">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48">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48">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48">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48">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48">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48">
        <f t="shared" si="16"/>
        <v>0.13527885904981399</v>
      </c>
      <c r="AH32" s="914">
        <f>'Baseline data (from input)'!AS18*AG32</f>
        <v>2138.4367811445532</v>
      </c>
      <c r="AI32" s="907">
        <f>Parameters!S133</f>
        <v>0.71500000000000008</v>
      </c>
      <c r="AJ32" s="907">
        <f t="shared" si="17"/>
        <v>0.4</v>
      </c>
      <c r="AK32" s="906">
        <f>AH32*AJ32*AI32*$D$4</f>
        <v>305.79645970367113</v>
      </c>
      <c r="AL32" s="906">
        <f>AK32*$D$10</f>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48">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48">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AK33*(1-$D$10)</f>
        <v>0</v>
      </c>
      <c r="AN33" s="906">
        <f>AL33+(AN32*$D$8)</f>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48">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48">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48">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48">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48">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48">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48">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48">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48">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48">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48">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48">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48">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48">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48">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48">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48">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48">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48">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48">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48">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48">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48">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48">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48">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48">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48">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48">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48">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48">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48">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48">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48">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48">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48">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48">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48">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48">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48">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48">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48">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48">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48">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48">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48">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48">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48">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48">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48">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48">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48">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48">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48">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48">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48">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48">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48">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48">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48">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48">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48">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48">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48">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48">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48">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48">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48">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48">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48">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48">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73"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48">
        <f t="shared" si="8"/>
        <v>0.13527885904981399</v>
      </c>
      <c r="X69" s="914">
        <f>'Baseline data (from input)'!AS55*W69</f>
        <v>6285.0199437970532</v>
      </c>
      <c r="Y69" s="917">
        <f>Parameters!S170</f>
        <v>0.71500000000000008</v>
      </c>
      <c r="Z69" s="917">
        <f t="shared" si="9"/>
        <v>0.4</v>
      </c>
      <c r="AA69" s="918">
        <f t="shared" si="10"/>
        <v>898.75785196297875</v>
      </c>
      <c r="AB69" s="918">
        <f t="shared" si="11"/>
        <v>898.75785196297875</v>
      </c>
      <c r="AC69" s="919">
        <f t="shared" si="12"/>
        <v>0</v>
      </c>
      <c r="AD69" s="918">
        <f t="shared" si="13"/>
        <v>12537.571695398445</v>
      </c>
      <c r="AE69" s="918">
        <f t="shared" si="14"/>
        <v>596.73474626938241</v>
      </c>
      <c r="AF69" s="1077">
        <f t="shared" si="15"/>
        <v>397.82316417958828</v>
      </c>
      <c r="AG69" s="1448">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1077">
        <f t="shared" si="23"/>
        <v>397.82316417958828</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48">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48">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1597">
        <v>501</v>
      </c>
      <c r="AS70" s="888">
        <v>1</v>
      </c>
      <c r="AT70" s="888">
        <f t="shared" si="24"/>
        <v>0.05</v>
      </c>
      <c r="AU70" s="889">
        <f t="shared" si="25"/>
        <v>12.525</v>
      </c>
      <c r="AV70" s="889">
        <f t="shared" si="26"/>
        <v>12.525</v>
      </c>
      <c r="AW70" s="890">
        <f t="shared" si="27"/>
        <v>0</v>
      </c>
      <c r="AX70" s="889">
        <f t="shared" si="44"/>
        <v>12.525</v>
      </c>
      <c r="AY70" s="889">
        <f>AW70+AX69*(1-$E$8)</f>
        <v>0</v>
      </c>
      <c r="AZ70" s="1598">
        <f>AY70*16/12*$E$11</f>
        <v>0</v>
      </c>
      <c r="BB70" s="1599">
        <f t="shared" si="31"/>
        <v>339.95650666301094</v>
      </c>
      <c r="BC70" s="1600">
        <f t="shared" si="32"/>
        <v>407.6430579654272</v>
      </c>
      <c r="BD70" s="1601">
        <f>AZ70</f>
        <v>0</v>
      </c>
      <c r="BE70" s="1600">
        <f t="shared" si="34"/>
        <v>747.5995646284382</v>
      </c>
      <c r="BF70" s="495">
        <v>0</v>
      </c>
      <c r="BG70" s="1602">
        <f t="shared" si="35"/>
        <v>747.5995646284382</v>
      </c>
      <c r="BI70" s="1599">
        <f t="shared" si="36"/>
        <v>339.95650666301094</v>
      </c>
      <c r="BJ70" s="1600">
        <f t="shared" si="37"/>
        <v>407.6430579654272</v>
      </c>
      <c r="BK70" s="1601">
        <f t="shared" si="38"/>
        <v>0</v>
      </c>
      <c r="BL70" s="1600">
        <f t="shared" si="39"/>
        <v>747.5995646284382</v>
      </c>
      <c r="BM70" s="495">
        <v>0</v>
      </c>
      <c r="BN70" s="1602">
        <f t="shared" si="40"/>
        <v>747.5995646284382</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48">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48">
        <f>$D$12</f>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3">
        <f t="shared" si="31"/>
        <v>352.50382234400405</v>
      </c>
      <c r="BC71" s="1604">
        <f t="shared" si="32"/>
        <v>418.2113531506368</v>
      </c>
      <c r="BD71" s="1605">
        <f t="shared" ref="BD71:BD87" si="48">AZ71</f>
        <v>0.48626614457152323</v>
      </c>
      <c r="BE71" s="1604">
        <f t="shared" si="34"/>
        <v>771.20144163921236</v>
      </c>
      <c r="BF71" s="1606">
        <v>0</v>
      </c>
      <c r="BG71" s="1607">
        <f t="shared" si="35"/>
        <v>771.20144163921236</v>
      </c>
      <c r="BI71" s="1603">
        <f t="shared" si="36"/>
        <v>352.50382234400405</v>
      </c>
      <c r="BJ71" s="1604">
        <f t="shared" si="37"/>
        <v>418.2113531506368</v>
      </c>
      <c r="BK71" s="1605">
        <f t="shared" si="38"/>
        <v>0.48626614457152323</v>
      </c>
      <c r="BL71" s="1604">
        <f t="shared" si="39"/>
        <v>771.20144163921236</v>
      </c>
      <c r="BM71" s="1606">
        <v>0</v>
      </c>
      <c r="BN71" s="1607">
        <f t="shared" si="40"/>
        <v>771.20144163921236</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48">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48">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3">
        <f t="shared" si="31"/>
        <v>365.04160146921089</v>
      </c>
      <c r="BC72" s="1604">
        <f t="shared" si="32"/>
        <v>429.08635544976073</v>
      </c>
      <c r="BD72" s="1605">
        <f t="shared" si="48"/>
        <v>0.94421435341173465</v>
      </c>
      <c r="BE72" s="1604">
        <f t="shared" si="34"/>
        <v>795.07217127238346</v>
      </c>
      <c r="BF72" s="1606">
        <v>0</v>
      </c>
      <c r="BG72" s="1607">
        <f t="shared" si="35"/>
        <v>795.07217127238346</v>
      </c>
      <c r="BI72" s="1603">
        <f t="shared" si="36"/>
        <v>365.04160146921089</v>
      </c>
      <c r="BJ72" s="1604">
        <f t="shared" si="37"/>
        <v>429.08635544976073</v>
      </c>
      <c r="BK72" s="1605">
        <f t="shared" si="38"/>
        <v>0.94421435341173465</v>
      </c>
      <c r="BL72" s="1604">
        <f t="shared" si="39"/>
        <v>795.07217127238346</v>
      </c>
      <c r="BM72" s="1606">
        <v>0</v>
      </c>
      <c r="BN72" s="1607">
        <f t="shared" si="40"/>
        <v>795.07217127238346</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48">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48">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3">
        <f t="shared" si="31"/>
        <v>377.380320424339</v>
      </c>
      <c r="BC73" s="1604">
        <f t="shared" si="32"/>
        <v>440.58813938995121</v>
      </c>
      <c r="BD73" s="1605">
        <f t="shared" si="48"/>
        <v>1.3754937347158787</v>
      </c>
      <c r="BE73" s="1604">
        <f t="shared" si="34"/>
        <v>819.34395354900607</v>
      </c>
      <c r="BF73" s="1606">
        <v>0</v>
      </c>
      <c r="BG73" s="1607">
        <f t="shared" si="35"/>
        <v>819.34395354900607</v>
      </c>
      <c r="BI73" s="1603">
        <f t="shared" si="36"/>
        <v>377.380320424339</v>
      </c>
      <c r="BJ73" s="1604">
        <f t="shared" si="37"/>
        <v>440.58813938995121</v>
      </c>
      <c r="BK73" s="1605">
        <f t="shared" si="38"/>
        <v>1.3754937347158787</v>
      </c>
      <c r="BL73" s="1604">
        <f t="shared" si="39"/>
        <v>819.34395354900607</v>
      </c>
      <c r="BM73" s="1606">
        <v>0</v>
      </c>
      <c r="BN73" s="1607">
        <f t="shared" si="40"/>
        <v>819.34395354900607</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48">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48">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3">
        <f t="shared" si="31"/>
        <v>389.50320822466421</v>
      </c>
      <c r="BC74" s="1604">
        <f t="shared" si="32"/>
        <v>449.33471885423859</v>
      </c>
      <c r="BD74" s="1605">
        <f t="shared" si="48"/>
        <v>1.7816573600942787</v>
      </c>
      <c r="BE74" s="1604">
        <f t="shared" si="34"/>
        <v>840.61958443899709</v>
      </c>
      <c r="BF74" s="1606">
        <v>0</v>
      </c>
      <c r="BG74" s="1607">
        <f t="shared" si="35"/>
        <v>840.61958443899709</v>
      </c>
      <c r="BI74" s="1603">
        <f t="shared" si="36"/>
        <v>389.50320822466421</v>
      </c>
      <c r="BJ74" s="1604">
        <f t="shared" si="37"/>
        <v>449.33471885423859</v>
      </c>
      <c r="BK74" s="1605">
        <f t="shared" si="38"/>
        <v>1.7816573600942787</v>
      </c>
      <c r="BL74" s="1604">
        <f t="shared" si="39"/>
        <v>840.61958443899709</v>
      </c>
      <c r="BM74" s="1606">
        <v>0</v>
      </c>
      <c r="BN74" s="1607">
        <f t="shared" si="40"/>
        <v>840.61958443899709</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48">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48">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3">
        <f t="shared" si="31"/>
        <v>401.39828370560582</v>
      </c>
      <c r="BC75" s="1604">
        <f t="shared" si="32"/>
        <v>455.80540481488362</v>
      </c>
      <c r="BD75" s="1605">
        <f t="shared" si="48"/>
        <v>2.1641678573076555</v>
      </c>
      <c r="BE75" s="1604">
        <f t="shared" si="34"/>
        <v>859.36785637779712</v>
      </c>
      <c r="BF75" s="1606">
        <v>0</v>
      </c>
      <c r="BG75" s="1607">
        <f t="shared" si="35"/>
        <v>859.36785637779712</v>
      </c>
      <c r="BI75" s="1603">
        <f t="shared" si="36"/>
        <v>401.39828370560582</v>
      </c>
      <c r="BJ75" s="1604">
        <f t="shared" si="37"/>
        <v>455.80540481488362</v>
      </c>
      <c r="BK75" s="1605">
        <f t="shared" si="38"/>
        <v>2.1641678573076555</v>
      </c>
      <c r="BL75" s="1604">
        <f t="shared" si="39"/>
        <v>859.36785637779712</v>
      </c>
      <c r="BM75" s="1606">
        <v>0</v>
      </c>
      <c r="BN75" s="1607">
        <f t="shared" si="40"/>
        <v>859.36785637779712</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48">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48">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3">
        <f t="shared" si="31"/>
        <v>413.06606569957484</v>
      </c>
      <c r="BC76" s="1604">
        <f t="shared" si="32"/>
        <v>460.13310664023578</v>
      </c>
      <c r="BD76" s="1605">
        <f t="shared" si="48"/>
        <v>2.5244026773068904</v>
      </c>
      <c r="BE76" s="1604">
        <f t="shared" si="34"/>
        <v>875.72357501711747</v>
      </c>
      <c r="BF76" s="1606">
        <v>0</v>
      </c>
      <c r="BG76" s="1607">
        <f t="shared" si="35"/>
        <v>875.72357501711747</v>
      </c>
      <c r="BI76" s="1603">
        <f t="shared" si="36"/>
        <v>413.06606569957484</v>
      </c>
      <c r="BJ76" s="1604">
        <f t="shared" si="37"/>
        <v>460.13310664023578</v>
      </c>
      <c r="BK76" s="1605">
        <f t="shared" si="38"/>
        <v>2.5244026773068904</v>
      </c>
      <c r="BL76" s="1604">
        <f t="shared" si="39"/>
        <v>875.72357501711747</v>
      </c>
      <c r="BM76" s="1606">
        <v>0</v>
      </c>
      <c r="BN76" s="1607">
        <f t="shared" si="40"/>
        <v>875.72357501711747</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48">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48">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3">
        <f t="shared" si="31"/>
        <v>424.51763944073804</v>
      </c>
      <c r="BC77" s="1604">
        <f t="shared" si="32"/>
        <v>462.30164861039526</v>
      </c>
      <c r="BD77" s="1605">
        <f t="shared" si="48"/>
        <v>2.8636590545442755</v>
      </c>
      <c r="BE77" s="1604">
        <f t="shared" si="34"/>
        <v>889.68294710567761</v>
      </c>
      <c r="BF77" s="1606">
        <v>0</v>
      </c>
      <c r="BG77" s="1607">
        <f t="shared" si="35"/>
        <v>889.68294710567761</v>
      </c>
      <c r="BI77" s="1603">
        <f t="shared" si="36"/>
        <v>424.51763944073804</v>
      </c>
      <c r="BJ77" s="1604">
        <f t="shared" si="37"/>
        <v>462.30164861039526</v>
      </c>
      <c r="BK77" s="1605">
        <f t="shared" si="38"/>
        <v>2.8636590545442755</v>
      </c>
      <c r="BL77" s="1604">
        <f t="shared" si="39"/>
        <v>889.68294710567761</v>
      </c>
      <c r="BM77" s="1606">
        <v>0</v>
      </c>
      <c r="BN77" s="1607">
        <f t="shared" si="40"/>
        <v>889.68294710567761</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48">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48">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3">
        <f t="shared" si="31"/>
        <v>435.75891565885144</v>
      </c>
      <c r="BC78" s="1604">
        <f t="shared" si="32"/>
        <v>462.14243125415283</v>
      </c>
      <c r="BD78" s="1605">
        <f t="shared" si="48"/>
        <v>3.183158678418724</v>
      </c>
      <c r="BE78" s="1604">
        <f t="shared" si="34"/>
        <v>901.08450559142307</v>
      </c>
      <c r="BF78" s="1606">
        <v>0</v>
      </c>
      <c r="BG78" s="1607">
        <f t="shared" si="35"/>
        <v>901.08450559142307</v>
      </c>
      <c r="BI78" s="1603">
        <f t="shared" si="36"/>
        <v>435.75891565885144</v>
      </c>
      <c r="BJ78" s="1604">
        <f t="shared" si="37"/>
        <v>462.14243125415283</v>
      </c>
      <c r="BK78" s="1605">
        <f t="shared" si="38"/>
        <v>3.183158678418724</v>
      </c>
      <c r="BL78" s="1604">
        <f t="shared" si="39"/>
        <v>901.08450559142307</v>
      </c>
      <c r="BM78" s="1606">
        <v>0</v>
      </c>
      <c r="BN78" s="1607">
        <f t="shared" si="40"/>
        <v>901.08450559142307</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48">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48">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3">
        <f t="shared" si="31"/>
        <v>446.80677050108471</v>
      </c>
      <c r="BC79" s="1604">
        <f t="shared" si="32"/>
        <v>459.13306952818652</v>
      </c>
      <c r="BD79" s="1605">
        <f t="shared" si="48"/>
        <v>3.484052092677187</v>
      </c>
      <c r="BE79" s="1604">
        <f t="shared" si="34"/>
        <v>909.42389212194837</v>
      </c>
      <c r="BF79" s="1606">
        <v>0</v>
      </c>
      <c r="BG79" s="1607">
        <f t="shared" si="35"/>
        <v>909.42389212194837</v>
      </c>
      <c r="BI79" s="1603">
        <f t="shared" si="36"/>
        <v>446.80677050108471</v>
      </c>
      <c r="BJ79" s="1604">
        <f t="shared" si="37"/>
        <v>459.13306952818652</v>
      </c>
      <c r="BK79" s="1605">
        <f t="shared" si="38"/>
        <v>3.484052092677187</v>
      </c>
      <c r="BL79" s="1604">
        <f t="shared" si="39"/>
        <v>909.42389212194837</v>
      </c>
      <c r="BM79" s="1606">
        <v>0</v>
      </c>
      <c r="BN79" s="1607">
        <f t="shared" si="40"/>
        <v>909.42389212194837</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48">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48">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3">
        <f t="shared" si="31"/>
        <v>457.66467940490338</v>
      </c>
      <c r="BC80" s="1604">
        <f t="shared" si="32"/>
        <v>452.53335460608736</v>
      </c>
      <c r="BD80" s="1605">
        <f t="shared" si="48"/>
        <v>3.76742283861488</v>
      </c>
      <c r="BE80" s="1604">
        <f t="shared" si="34"/>
        <v>913.96545684960563</v>
      </c>
      <c r="BF80" s="1606">
        <v>0</v>
      </c>
      <c r="BG80" s="1607">
        <f t="shared" si="35"/>
        <v>913.96545684960563</v>
      </c>
      <c r="BI80" s="1603">
        <f t="shared" si="36"/>
        <v>457.66467940490338</v>
      </c>
      <c r="BJ80" s="1604">
        <f t="shared" si="37"/>
        <v>452.53335460608736</v>
      </c>
      <c r="BK80" s="1605">
        <f t="shared" si="38"/>
        <v>3.76742283861488</v>
      </c>
      <c r="BL80" s="1604">
        <f t="shared" si="39"/>
        <v>913.96545684960563</v>
      </c>
      <c r="BM80" s="1606">
        <v>0</v>
      </c>
      <c r="BN80" s="1607">
        <f t="shared" si="40"/>
        <v>913.96545684960563</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48">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48">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3">
        <f t="shared" si="31"/>
        <v>465.58393089502232</v>
      </c>
      <c r="BC81" s="1604">
        <f t="shared" si="32"/>
        <v>443.27742511609495</v>
      </c>
      <c r="BD81" s="1605">
        <f t="shared" si="48"/>
        <v>4.034291356994312</v>
      </c>
      <c r="BE81" s="1604">
        <f t="shared" si="34"/>
        <v>912.89564736811167</v>
      </c>
      <c r="BF81" s="1606">
        <v>0</v>
      </c>
      <c r="BG81" s="1607">
        <f t="shared" si="35"/>
        <v>912.89564736811167</v>
      </c>
      <c r="BI81" s="1603">
        <f t="shared" si="36"/>
        <v>465.58393089502232</v>
      </c>
      <c r="BJ81" s="1604">
        <f t="shared" si="37"/>
        <v>443.27742511609495</v>
      </c>
      <c r="BK81" s="1605">
        <f t="shared" si="38"/>
        <v>4.034291356994312</v>
      </c>
      <c r="BL81" s="1604">
        <f t="shared" si="39"/>
        <v>912.89564736811167</v>
      </c>
      <c r="BM81" s="1606">
        <v>0</v>
      </c>
      <c r="BN81" s="1607">
        <f t="shared" si="40"/>
        <v>912.89564736811167</v>
      </c>
      <c r="BU81" s="314"/>
    </row>
    <row r="82" spans="1:73">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49">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49">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3">
        <f t="shared" si="31"/>
        <v>471.51055951772577</v>
      </c>
      <c r="BC82" s="1604">
        <f t="shared" si="32"/>
        <v>431.40785228448499</v>
      </c>
      <c r="BD82" s="1605">
        <f t="shared" si="48"/>
        <v>4.2856186627342376</v>
      </c>
      <c r="BE82" s="1604">
        <f t="shared" si="34"/>
        <v>907.20403046494505</v>
      </c>
      <c r="BF82" s="1606">
        <v>0</v>
      </c>
      <c r="BG82" s="1607">
        <f t="shared" si="35"/>
        <v>907.20403046494505</v>
      </c>
      <c r="BI82" s="1603">
        <f t="shared" si="36"/>
        <v>471.51055951772577</v>
      </c>
      <c r="BJ82" s="1604">
        <f t="shared" si="37"/>
        <v>431.40785228448499</v>
      </c>
      <c r="BK82" s="1605">
        <f t="shared" si="38"/>
        <v>4.2856186627342376</v>
      </c>
      <c r="BL82" s="1604">
        <f t="shared" si="39"/>
        <v>907.20403046494505</v>
      </c>
      <c r="BM82" s="1606">
        <v>0</v>
      </c>
      <c r="BN82" s="1607">
        <f t="shared" si="40"/>
        <v>907.20403046494505</v>
      </c>
      <c r="BU82" s="314"/>
    </row>
    <row r="83" spans="1:73">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49">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49">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3">
        <f t="shared" si="31"/>
        <v>474.78721249604229</v>
      </c>
      <c r="BC83" s="1604">
        <f t="shared" si="32"/>
        <v>416.85758956150511</v>
      </c>
      <c r="BD83" s="1605">
        <f t="shared" si="48"/>
        <v>4.5223098056013837</v>
      </c>
      <c r="BE83" s="1604">
        <f t="shared" si="34"/>
        <v>896.16711186314876</v>
      </c>
      <c r="BF83" s="1606">
        <v>0</v>
      </c>
      <c r="BG83" s="1607">
        <f t="shared" si="35"/>
        <v>896.16711186314876</v>
      </c>
      <c r="BI83" s="1603">
        <f t="shared" si="36"/>
        <v>474.78721249604229</v>
      </c>
      <c r="BJ83" s="1604">
        <f t="shared" si="37"/>
        <v>416.85758956150511</v>
      </c>
      <c r="BK83" s="1605">
        <f t="shared" si="38"/>
        <v>4.5223098056013837</v>
      </c>
      <c r="BL83" s="1604">
        <f t="shared" si="39"/>
        <v>896.16711186314876</v>
      </c>
      <c r="BM83" s="1606">
        <v>0</v>
      </c>
      <c r="BN83" s="1607">
        <f t="shared" si="40"/>
        <v>896.16711186314876</v>
      </c>
      <c r="BU83" s="314"/>
    </row>
    <row r="84" spans="1:73">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49">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49">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3">
        <f t="shared" si="31"/>
        <v>475.71077220994249</v>
      </c>
      <c r="BC84" s="1604">
        <f t="shared" si="32"/>
        <v>403.18657895653814</v>
      </c>
      <c r="BD84" s="1605">
        <f t="shared" si="48"/>
        <v>4.7452171293671848</v>
      </c>
      <c r="BE84" s="1604">
        <f t="shared" ref="BE84:BE120" si="54">SUM(BB84:BD84)</f>
        <v>883.64256829584781</v>
      </c>
      <c r="BF84" s="1606">
        <v>0</v>
      </c>
      <c r="BG84" s="1607">
        <f t="shared" si="35"/>
        <v>883.64256829584781</v>
      </c>
      <c r="BI84" s="1603">
        <f t="shared" si="36"/>
        <v>475.71077220994249</v>
      </c>
      <c r="BJ84" s="1604">
        <f t="shared" si="37"/>
        <v>403.18657895653814</v>
      </c>
      <c r="BK84" s="1605">
        <f t="shared" si="38"/>
        <v>4.7452171293671848</v>
      </c>
      <c r="BL84" s="1604">
        <f t="shared" ref="BL84:BL120" si="55">SUM(BI84:BK84)</f>
        <v>883.64256829584781</v>
      </c>
      <c r="BM84" s="1606">
        <v>0</v>
      </c>
      <c r="BN84" s="1607">
        <f t="shared" si="40"/>
        <v>883.64256829584781</v>
      </c>
      <c r="BU84" s="314"/>
    </row>
    <row r="85" spans="1:73">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49">
        <f t="shared" si="52"/>
        <v>2.197312110627072E-2</v>
      </c>
      <c r="X85" s="891">
        <f>'Baseline data (from input)'!AS71*W85</f>
        <v>1476.20316835363</v>
      </c>
      <c r="Y85" s="885">
        <f>Parameters!S186</f>
        <v>0.71500000000000008</v>
      </c>
      <c r="Z85" s="885">
        <f t="shared" ref="Z85:Z120" si="63">$D$3</f>
        <v>0.4</v>
      </c>
      <c r="AA85" s="884">
        <f t="shared" ref="AA85:AA119"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49">
        <f t="shared" si="53"/>
        <v>2.197312110627072E-2</v>
      </c>
      <c r="AH85" s="891">
        <f>'Baseline data (from input)'!AS71*AG85</f>
        <v>1476.20316835363</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3">
        <f t="shared" ref="BB85:BB120" si="81">V85</f>
        <v>474.45668773704853</v>
      </c>
      <c r="BC85" s="1604">
        <f t="shared" ref="BC85:BC120" si="82">AF85</f>
        <v>390.3012281152715</v>
      </c>
      <c r="BD85" s="1605">
        <f t="shared" si="48"/>
        <v>4.9551433411659982</v>
      </c>
      <c r="BE85" s="1604">
        <f t="shared" si="54"/>
        <v>869.71305919348606</v>
      </c>
      <c r="BF85" s="1606">
        <v>0</v>
      </c>
      <c r="BG85" s="1607">
        <f t="shared" ref="BG85:BG120" si="83">BE85-BF85</f>
        <v>869.71305919348606</v>
      </c>
      <c r="BI85" s="1603">
        <f t="shared" ref="BI85:BI120" si="84">V85</f>
        <v>474.45668773704853</v>
      </c>
      <c r="BJ85" s="1604">
        <f t="shared" ref="BJ85:BJ120" si="85">AP85</f>
        <v>390.3012281152715</v>
      </c>
      <c r="BK85" s="1605">
        <f t="shared" ref="BK85:BK120" si="86">AZ85</f>
        <v>4.9551433411659982</v>
      </c>
      <c r="BL85" s="1604">
        <f t="shared" si="55"/>
        <v>869.71305919348606</v>
      </c>
      <c r="BM85" s="1606">
        <v>0</v>
      </c>
      <c r="BN85" s="1607">
        <f t="shared" ref="BN85:BN120" si="87">BL85-BM85</f>
        <v>869.71305919348606</v>
      </c>
      <c r="BU85" s="314"/>
    </row>
    <row r="86" spans="1:73">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49">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49">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3">
        <f t="shared" si="81"/>
        <v>471.19383124565587</v>
      </c>
      <c r="BC86" s="1604">
        <f t="shared" si="82"/>
        <v>378.12956244511162</v>
      </c>
      <c r="BD86" s="1605">
        <f t="shared" si="48"/>
        <v>5.1528444021078155</v>
      </c>
      <c r="BE86" s="1604">
        <f t="shared" si="54"/>
        <v>854.47623809287529</v>
      </c>
      <c r="BF86" s="1606">
        <v>0</v>
      </c>
      <c r="BG86" s="1607">
        <f t="shared" si="83"/>
        <v>854.47623809287529</v>
      </c>
      <c r="BI86" s="1603">
        <f t="shared" si="84"/>
        <v>471.19383124565587</v>
      </c>
      <c r="BJ86" s="1604">
        <f t="shared" si="85"/>
        <v>378.12956244511162</v>
      </c>
      <c r="BK86" s="1605">
        <f t="shared" si="86"/>
        <v>5.1528444021078155</v>
      </c>
      <c r="BL86" s="1604">
        <f t="shared" si="55"/>
        <v>854.47623809287529</v>
      </c>
      <c r="BM86" s="1606">
        <v>0</v>
      </c>
      <c r="BN86" s="1607">
        <f t="shared" si="87"/>
        <v>854.47623809287529</v>
      </c>
      <c r="BU86" s="314"/>
    </row>
    <row r="87" spans="1:73"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49">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10940.456135133396</v>
      </c>
      <c r="AE87" s="884">
        <f t="shared" si="68"/>
        <v>549.90342073558929</v>
      </c>
      <c r="AF87" s="897">
        <f t="shared" si="69"/>
        <v>366.60228049039284</v>
      </c>
      <c r="AG87" s="1449">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10940.456135133396</v>
      </c>
      <c r="AO87" s="884">
        <f t="shared" si="75"/>
        <v>549.90342073558929</v>
      </c>
      <c r="AP87" s="897">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08">
        <f t="shared" si="81"/>
        <v>466.08505262809604</v>
      </c>
      <c r="BC87" s="1609">
        <f t="shared" si="82"/>
        <v>366.60228049039284</v>
      </c>
      <c r="BD87" s="1610">
        <f t="shared" si="48"/>
        <v>5.3390322495547968</v>
      </c>
      <c r="BE87" s="1609">
        <f t="shared" si="54"/>
        <v>838.02636536804357</v>
      </c>
      <c r="BF87" s="1611">
        <v>0</v>
      </c>
      <c r="BG87" s="1612">
        <f t="shared" si="83"/>
        <v>838.02636536804357</v>
      </c>
      <c r="BI87" s="1608">
        <f t="shared" si="84"/>
        <v>466.08505262809604</v>
      </c>
      <c r="BJ87" s="1609">
        <f t="shared" si="85"/>
        <v>366.60228049039284</v>
      </c>
      <c r="BK87" s="1610">
        <f t="shared" si="86"/>
        <v>5.3390322495547968</v>
      </c>
      <c r="BL87" s="1609">
        <f t="shared" si="55"/>
        <v>838.02636536804357</v>
      </c>
      <c r="BM87" s="1611">
        <v>0</v>
      </c>
      <c r="BN87" s="1612">
        <f t="shared" si="87"/>
        <v>838.02636536804357</v>
      </c>
      <c r="BU87" s="314"/>
    </row>
    <row r="88" spans="1:73">
      <c r="A88" s="926">
        <f>'Input data'!A118</f>
        <v>2018</v>
      </c>
      <c r="B88" s="820">
        <f>'Input data'!B118</f>
        <v>57.436000617299655</v>
      </c>
      <c r="C88" s="820">
        <f>'Recycling - Case 3'!AK98/B88</f>
        <v>414.46358774486276</v>
      </c>
      <c r="D88" s="821">
        <f>'Recycling - Case 3'!AM98</f>
        <v>0.44004755299021142</v>
      </c>
      <c r="E88" s="822">
        <f>'Recycling - Case 3'!BE98</f>
        <v>0.23669038763569289</v>
      </c>
      <c r="F88" s="822">
        <f>'Recycling - Case 3'!BF98</f>
        <v>0.30018744493813254</v>
      </c>
      <c r="G88" s="822">
        <f>'Recycling - Case 3'!BG98</f>
        <v>5.9354168810873881E-2</v>
      </c>
      <c r="H88" s="822">
        <f>'Recycling - Case 3'!BH98</f>
        <v>0</v>
      </c>
      <c r="I88" s="822">
        <f>'Recycling - Case 3'!BI98</f>
        <v>0</v>
      </c>
      <c r="J88" s="822">
        <f>'Recycling - Case 3'!BJ98</f>
        <v>0</v>
      </c>
      <c r="K88" s="822">
        <f>'Recycling - Case 3'!BK98</f>
        <v>0.40376799861530049</v>
      </c>
      <c r="L88" s="823">
        <f t="shared" si="89"/>
        <v>0.99999999999999978</v>
      </c>
      <c r="M88" s="4"/>
      <c r="N88" s="1015">
        <f>B88*C88*D88</f>
        <v>10475.389593043146</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836">
        <f t="shared" si="57"/>
        <v>469.05542998665317</v>
      </c>
      <c r="R88" s="836">
        <f t="shared" si="58"/>
        <v>469.05542998665317</v>
      </c>
      <c r="S88" s="837">
        <f t="shared" si="59"/>
        <v>0</v>
      </c>
      <c r="T88" s="836">
        <f t="shared" si="60"/>
        <v>13906.091750488869</v>
      </c>
      <c r="U88" s="836">
        <f t="shared" si="61"/>
        <v>688.93158419660449</v>
      </c>
      <c r="V88" s="1018">
        <f t="shared" si="62"/>
        <v>459.28772279773631</v>
      </c>
      <c r="X88" s="1010">
        <f>'Recycling - Case 3'!AM138</f>
        <v>1225.3415122615597</v>
      </c>
      <c r="Y88" s="1011">
        <f>Parameters!S258</f>
        <v>0.71500000000000008</v>
      </c>
      <c r="Z88" s="1011">
        <f t="shared" si="63"/>
        <v>0.4</v>
      </c>
      <c r="AA88" s="1012">
        <f t="shared" si="64"/>
        <v>175.22383625340308</v>
      </c>
      <c r="AB88" s="1012">
        <f t="shared" si="65"/>
        <v>175.22383625340308</v>
      </c>
      <c r="AC88" s="1013">
        <f t="shared" si="66"/>
        <v>0</v>
      </c>
      <c r="AD88" s="1012">
        <f t="shared" si="67"/>
        <v>10582.107629451648</v>
      </c>
      <c r="AE88" s="1012">
        <f t="shared" si="68"/>
        <v>533.57234193514978</v>
      </c>
      <c r="AF88" s="1014">
        <f t="shared" si="69"/>
        <v>355.71489462343317</v>
      </c>
      <c r="AH88" s="1010">
        <f>'Recycling - Case 3'!AM178</f>
        <v>1225.3415122615597</v>
      </c>
      <c r="AI88" s="1011">
        <f>Parameters!S258</f>
        <v>0.71500000000000008</v>
      </c>
      <c r="AJ88" s="1011">
        <f t="shared" si="70"/>
        <v>0.4</v>
      </c>
      <c r="AK88" s="1012">
        <f t="shared" si="71"/>
        <v>175.22383625340308</v>
      </c>
      <c r="AL88" s="1012">
        <f t="shared" si="72"/>
        <v>175.22383625340308</v>
      </c>
      <c r="AM88" s="1013">
        <f t="shared" si="73"/>
        <v>0</v>
      </c>
      <c r="AN88" s="1012">
        <f t="shared" si="74"/>
        <v>10582.107629451648</v>
      </c>
      <c r="AO88" s="1012">
        <f t="shared" si="75"/>
        <v>533.57234193514978</v>
      </c>
      <c r="AP88" s="1014">
        <f t="shared" si="76"/>
        <v>355.71489462343317</v>
      </c>
      <c r="AR88" s="849">
        <f>'Recycling - Case 3'!G98</f>
        <v>519.97422906036013</v>
      </c>
      <c r="AS88" s="847">
        <v>1</v>
      </c>
      <c r="AT88" s="847">
        <f t="shared" si="77"/>
        <v>0.05</v>
      </c>
      <c r="AU88" s="836">
        <f t="shared" si="78"/>
        <v>12.999355726509004</v>
      </c>
      <c r="AV88" s="836">
        <f t="shared" si="79"/>
        <v>12.999355726509004</v>
      </c>
      <c r="AW88" s="837">
        <f t="shared" si="80"/>
        <v>0</v>
      </c>
      <c r="AX88" s="836">
        <f t="shared" si="44"/>
        <v>146.76436207642877</v>
      </c>
      <c r="AY88" s="836">
        <f t="shared" si="49"/>
        <v>8.2715660412971381</v>
      </c>
      <c r="AZ88" s="929">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 t="shared" si="85"/>
        <v>355.71489462343317</v>
      </c>
      <c r="BK88" s="1081">
        <f t="shared" si="86"/>
        <v>5.514377360864759</v>
      </c>
      <c r="BL88" s="1053">
        <f t="shared" si="55"/>
        <v>820.5169947820342</v>
      </c>
      <c r="BM88" s="1054">
        <v>0</v>
      </c>
      <c r="BN88" s="1074">
        <f t="shared" si="87"/>
        <v>820.5169947820342</v>
      </c>
    </row>
    <row r="89" spans="1:73">
      <c r="A89" s="927">
        <f>'Input data'!A119</f>
        <v>2019</v>
      </c>
      <c r="B89" s="824">
        <f>'Input data'!B119</f>
        <v>58.364834921819444</v>
      </c>
      <c r="C89" s="824">
        <f>'Recycling - Case 3'!AK99/B89</f>
        <v>406.33320283022556</v>
      </c>
      <c r="D89" s="825">
        <f>'Recycling - Case 3'!AM99</f>
        <v>0.41821418969847352</v>
      </c>
      <c r="E89" s="826">
        <f>'Recycling - Case 3'!BE99</f>
        <v>0.23330174817357269</v>
      </c>
      <c r="F89" s="826">
        <f>'Recycling - Case 3'!BF99</f>
        <v>0.29588973334911756</v>
      </c>
      <c r="G89" s="826">
        <f>'Recycling - Case 3'!BG99</f>
        <v>5.9682776972246526E-2</v>
      </c>
      <c r="H89" s="826">
        <f>'Recycling - Case 3'!BH99</f>
        <v>0</v>
      </c>
      <c r="I89" s="826">
        <f>'Recycling - Case 3'!BI99</f>
        <v>0</v>
      </c>
      <c r="J89" s="826">
        <f>'Recycling - Case 3'!BJ99</f>
        <v>0</v>
      </c>
      <c r="K89" s="826">
        <f>'Recycling - Case 3'!BK99</f>
        <v>0.41112574150506326</v>
      </c>
      <c r="L89" s="827">
        <f t="shared" si="89"/>
        <v>1</v>
      </c>
      <c r="M89" s="4"/>
      <c r="N89" s="838">
        <f t="shared" si="56"/>
        <v>9918.1880189451058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3'!AM139</f>
        <v>860.97445433485484</v>
      </c>
      <c r="Y89" s="853">
        <f>Parameters!S259</f>
        <v>0.71500000000000008</v>
      </c>
      <c r="Z89" s="853">
        <f t="shared" si="63"/>
        <v>0.4</v>
      </c>
      <c r="AA89" s="854">
        <f t="shared" si="64"/>
        <v>123.11934696988426</v>
      </c>
      <c r="AB89" s="854">
        <f t="shared" si="65"/>
        <v>123.11934696988426</v>
      </c>
      <c r="AC89" s="855">
        <f t="shared" si="66"/>
        <v>0</v>
      </c>
      <c r="AD89" s="854">
        <f t="shared" si="67"/>
        <v>10189.13149733779</v>
      </c>
      <c r="AE89" s="854">
        <f t="shared" si="68"/>
        <v>516.09547908374179</v>
      </c>
      <c r="AF89" s="856">
        <f t="shared" si="69"/>
        <v>344.06365272249451</v>
      </c>
      <c r="AH89" s="852">
        <f>'Recycling - Case 3'!AM179</f>
        <v>860.97445433485484</v>
      </c>
      <c r="AI89" s="853">
        <f>Parameters!S259</f>
        <v>0.71500000000000008</v>
      </c>
      <c r="AJ89" s="853">
        <f t="shared" si="70"/>
        <v>0.4</v>
      </c>
      <c r="AK89" s="854">
        <f t="shared" si="71"/>
        <v>123.11934696988426</v>
      </c>
      <c r="AL89" s="854">
        <f t="shared" si="72"/>
        <v>123.11934696988426</v>
      </c>
      <c r="AM89" s="855">
        <f t="shared" si="73"/>
        <v>0</v>
      </c>
      <c r="AN89" s="854">
        <f t="shared" si="74"/>
        <v>10189.13149733779</v>
      </c>
      <c r="AO89" s="854">
        <f t="shared" si="75"/>
        <v>516.09547908374179</v>
      </c>
      <c r="AP89" s="856">
        <f t="shared" si="76"/>
        <v>344.06365272249451</v>
      </c>
      <c r="AR89" s="850">
        <f>'Recycling - Case 3'!G99</f>
        <v>539.43112442415634</v>
      </c>
      <c r="AS89" s="846">
        <v>1</v>
      </c>
      <c r="AT89" s="846">
        <f t="shared" si="77"/>
        <v>0.05</v>
      </c>
      <c r="AU89" s="832">
        <f t="shared" si="78"/>
        <v>13.48577811060391</v>
      </c>
      <c r="AV89" s="832">
        <f t="shared" si="79"/>
        <v>13.48577811060391</v>
      </c>
      <c r="AW89" s="835">
        <f t="shared" si="80"/>
        <v>0</v>
      </c>
      <c r="AX89" s="832">
        <f t="shared" si="44"/>
        <v>151.70324910830166</v>
      </c>
      <c r="AY89" s="832">
        <f t="shared" si="49"/>
        <v>8.5468910787310275</v>
      </c>
      <c r="AZ89" s="930">
        <f t="shared" si="47"/>
        <v>5.6979273858206847</v>
      </c>
      <c r="BA89" s="4"/>
      <c r="BB89" s="1055">
        <f t="shared" si="81"/>
        <v>452.13873174481023</v>
      </c>
      <c r="BC89" s="1056">
        <f t="shared" si="82"/>
        <v>344.06365272249451</v>
      </c>
      <c r="BD89" s="1082">
        <f t="shared" ref="BD89:BD120" si="90">AZ89</f>
        <v>5.6979273858206847</v>
      </c>
      <c r="BE89" s="1056">
        <f t="shared" si="54"/>
        <v>801.90031185312534</v>
      </c>
      <c r="BF89" s="167">
        <v>0</v>
      </c>
      <c r="BG89" s="1075">
        <f t="shared" si="83"/>
        <v>801.90031185312534</v>
      </c>
      <c r="BI89" s="1055">
        <f t="shared" si="84"/>
        <v>452.13873174481023</v>
      </c>
      <c r="BJ89" s="1056">
        <f t="shared" si="85"/>
        <v>344.06365272249451</v>
      </c>
      <c r="BK89" s="1082">
        <f t="shared" si="86"/>
        <v>5.6979273858206847</v>
      </c>
      <c r="BL89" s="1056">
        <f t="shared" si="55"/>
        <v>801.90031185312534</v>
      </c>
      <c r="BM89" s="167">
        <v>0</v>
      </c>
      <c r="BN89" s="1075">
        <f t="shared" si="87"/>
        <v>801.90031185312534</v>
      </c>
    </row>
    <row r="90" spans="1:73">
      <c r="A90" s="927">
        <f>'Input data'!A120</f>
        <v>2020</v>
      </c>
      <c r="B90" s="824">
        <f>'Input data'!B120</f>
        <v>59.308690000000006</v>
      </c>
      <c r="C90" s="824">
        <f>'Recycling - Case 3'!AK100/B90</f>
        <v>397.49323210110077</v>
      </c>
      <c r="D90" s="825">
        <f>'Recycling - Case 3'!AM100</f>
        <v>0.38289463315638228</v>
      </c>
      <c r="E90" s="826">
        <f>'Recycling - Case 3'!BE100</f>
        <v>0.22354491991078579</v>
      </c>
      <c r="F90" s="826">
        <f>'Recycling - Case 3'!BF100</f>
        <v>0.28351543553262054</v>
      </c>
      <c r="G90" s="826">
        <f>'Recycling - Case 3'!BG100</f>
        <v>6.1771817655591317E-2</v>
      </c>
      <c r="H90" s="826">
        <f>'Recycling - Case 3'!BH100</f>
        <v>0</v>
      </c>
      <c r="I90" s="826">
        <f>'Recycling - Case 3'!BI100</f>
        <v>0</v>
      </c>
      <c r="J90" s="826">
        <f>'Recycling - Case 3'!BJ100</f>
        <v>0</v>
      </c>
      <c r="K90" s="826">
        <f>'Recycling - Case 3'!BK100</f>
        <v>0.43116782690100253</v>
      </c>
      <c r="L90" s="827">
        <f t="shared" si="89"/>
        <v>1.0000000000000002</v>
      </c>
      <c r="M90" s="4"/>
      <c r="N90" s="838">
        <f t="shared" si="56"/>
        <v>9026.6655003882443</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3'!AM140</f>
        <v>670.42237130031697</v>
      </c>
      <c r="Y90" s="853">
        <f>Parameters!S260</f>
        <v>0.71500000000000008</v>
      </c>
      <c r="Z90" s="853">
        <f t="shared" si="63"/>
        <v>0.4</v>
      </c>
      <c r="AA90" s="854">
        <f t="shared" si="64"/>
        <v>95.870399095945331</v>
      </c>
      <c r="AB90" s="854">
        <f t="shared" si="65"/>
        <v>95.870399095945331</v>
      </c>
      <c r="AC90" s="855">
        <f t="shared" si="66"/>
        <v>0</v>
      </c>
      <c r="AD90" s="854">
        <f t="shared" si="67"/>
        <v>9788.0720894706701</v>
      </c>
      <c r="AE90" s="854">
        <f t="shared" si="68"/>
        <v>496.92980696306557</v>
      </c>
      <c r="AF90" s="856">
        <f t="shared" si="69"/>
        <v>331.28653797537703</v>
      </c>
      <c r="AH90" s="852">
        <f>'Recycling - Case 3'!AM180</f>
        <v>670.42237130031697</v>
      </c>
      <c r="AI90" s="853">
        <f>Parameters!S260</f>
        <v>0.71500000000000008</v>
      </c>
      <c r="AJ90" s="853">
        <f t="shared" si="70"/>
        <v>0.4</v>
      </c>
      <c r="AK90" s="854">
        <f t="shared" si="71"/>
        <v>95.870399095945331</v>
      </c>
      <c r="AL90" s="854">
        <f t="shared" si="72"/>
        <v>95.870399095945331</v>
      </c>
      <c r="AM90" s="855">
        <f t="shared" si="73"/>
        <v>0</v>
      </c>
      <c r="AN90" s="854">
        <f t="shared" si="74"/>
        <v>9788.0720894706701</v>
      </c>
      <c r="AO90" s="854">
        <f t="shared" si="75"/>
        <v>496.92980696306557</v>
      </c>
      <c r="AP90" s="856">
        <f t="shared" si="76"/>
        <v>331.28653797537703</v>
      </c>
      <c r="AR90" s="850">
        <f>'Recycling - Case 3'!G100</f>
        <v>559.3813349254624</v>
      </c>
      <c r="AS90" s="846">
        <v>1</v>
      </c>
      <c r="AT90" s="846">
        <f t="shared" si="77"/>
        <v>0.05</v>
      </c>
      <c r="AU90" s="832">
        <f t="shared" si="78"/>
        <v>13.984533373136561</v>
      </c>
      <c r="AV90" s="832">
        <f t="shared" si="79"/>
        <v>13.984533373136561</v>
      </c>
      <c r="AW90" s="835">
        <f t="shared" si="80"/>
        <v>0</v>
      </c>
      <c r="AX90" s="832">
        <f t="shared" si="44"/>
        <v>156.85327301283138</v>
      </c>
      <c r="AY90" s="832">
        <f t="shared" si="49"/>
        <v>8.8345094686068517</v>
      </c>
      <c r="AZ90" s="930">
        <f t="shared" si="47"/>
        <v>5.8896729790712348</v>
      </c>
      <c r="BA90" s="4"/>
      <c r="BB90" s="1055">
        <f t="shared" si="81"/>
        <v>444.77283615219312</v>
      </c>
      <c r="BC90" s="1056">
        <f t="shared" si="82"/>
        <v>331.28653797537703</v>
      </c>
      <c r="BD90" s="1082">
        <f t="shared" si="90"/>
        <v>5.8896729790712348</v>
      </c>
      <c r="BE90" s="1056">
        <f t="shared" si="54"/>
        <v>781.94904710664139</v>
      </c>
      <c r="BF90" s="167">
        <v>0</v>
      </c>
      <c r="BG90" s="1075">
        <f t="shared" si="83"/>
        <v>781.94904710664139</v>
      </c>
      <c r="BI90" s="1055">
        <f t="shared" si="84"/>
        <v>444.77283615219312</v>
      </c>
      <c r="BJ90" s="1056">
        <f t="shared" si="85"/>
        <v>331.28653797537703</v>
      </c>
      <c r="BK90" s="1082">
        <f t="shared" si="86"/>
        <v>5.8896729790712348</v>
      </c>
      <c r="BL90" s="1056">
        <f t="shared" si="55"/>
        <v>781.94904710664139</v>
      </c>
      <c r="BM90" s="167">
        <v>0</v>
      </c>
      <c r="BN90" s="1075">
        <f t="shared" si="87"/>
        <v>781.94904710664139</v>
      </c>
    </row>
    <row r="91" spans="1:73">
      <c r="A91" s="927">
        <f>'Input data'!A121</f>
        <v>2021</v>
      </c>
      <c r="B91" s="824">
        <f>'Input data'!B121</f>
        <v>60.097873988486953</v>
      </c>
      <c r="C91" s="824">
        <f>'Recycling - Case 3'!AK101/B91</f>
        <v>382.51682184889864</v>
      </c>
      <c r="D91" s="825">
        <f>'Recycling - Case 3'!AM101</f>
        <v>0.31509828499703613</v>
      </c>
      <c r="E91" s="826">
        <f>'Recycling - Case 3'!BE101</f>
        <v>0.19728260037999343</v>
      </c>
      <c r="F91" s="826">
        <f>'Recycling - Case 3'!BF101</f>
        <v>0.25020770944857024</v>
      </c>
      <c r="G91" s="826">
        <f>'Recycling - Case 3'!BG101</f>
        <v>6.8398961883618048E-2</v>
      </c>
      <c r="H91" s="826">
        <f>'Recycling - Case 3'!BH101</f>
        <v>0</v>
      </c>
      <c r="I91" s="826">
        <f>'Recycling - Case 3'!BI101</f>
        <v>0</v>
      </c>
      <c r="J91" s="826">
        <f>'Recycling - Case 3'!BJ101</f>
        <v>0</v>
      </c>
      <c r="K91" s="826">
        <f>'Recycling - Case 3'!BK101</f>
        <v>0.4841107282878182</v>
      </c>
      <c r="L91" s="827">
        <f t="shared" si="89"/>
        <v>0.99999999999999989</v>
      </c>
      <c r="M91" s="4"/>
      <c r="N91" s="838">
        <f t="shared" si="56"/>
        <v>7243.6204632745166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0.10699351670016027</v>
      </c>
      <c r="Q91" s="832">
        <f t="shared" si="57"/>
        <v>315.07561205630111</v>
      </c>
      <c r="R91" s="832">
        <f t="shared" si="58"/>
        <v>315.07561205630111</v>
      </c>
      <c r="S91" s="835">
        <f t="shared" si="59"/>
        <v>0</v>
      </c>
      <c r="T91" s="832">
        <f t="shared" si="60"/>
        <v>13083.825188632223</v>
      </c>
      <c r="U91" s="832">
        <f t="shared" si="61"/>
        <v>654.66779014194015</v>
      </c>
      <c r="V91" s="839">
        <f t="shared" si="62"/>
        <v>436.44519342796008</v>
      </c>
      <c r="W91" s="4"/>
      <c r="X91" s="852">
        <f>'Recycling - Case 3'!AM141</f>
        <v>100.55222252947536</v>
      </c>
      <c r="Y91" s="853">
        <f>Parameters!S261</f>
        <v>0.71500000000000008</v>
      </c>
      <c r="Z91" s="853">
        <f t="shared" si="63"/>
        <v>0.4</v>
      </c>
      <c r="AA91" s="854">
        <f t="shared" si="64"/>
        <v>14.37896782171498</v>
      </c>
      <c r="AB91" s="854">
        <f t="shared" si="65"/>
        <v>14.37896782171498</v>
      </c>
      <c r="AC91" s="855">
        <f t="shared" si="66"/>
        <v>0</v>
      </c>
      <c r="AD91" s="854">
        <f t="shared" si="67"/>
        <v>9325.0811484604019</v>
      </c>
      <c r="AE91" s="854">
        <f t="shared" si="68"/>
        <v>477.36990883198325</v>
      </c>
      <c r="AF91" s="856">
        <f t="shared" si="69"/>
        <v>318.24660588798884</v>
      </c>
      <c r="AG91" s="4"/>
      <c r="AH91" s="852">
        <f>'Recycling - Case 3'!AM181</f>
        <v>100.55222252947536</v>
      </c>
      <c r="AI91" s="853">
        <f>Parameters!S261</f>
        <v>0.71500000000000008</v>
      </c>
      <c r="AJ91" s="853">
        <f t="shared" si="70"/>
        <v>0.4</v>
      </c>
      <c r="AK91" s="854">
        <f t="shared" si="71"/>
        <v>14.37896782171498</v>
      </c>
      <c r="AL91" s="854">
        <f t="shared" si="72"/>
        <v>14.37896782171498</v>
      </c>
      <c r="AM91" s="855">
        <f t="shared" si="73"/>
        <v>0</v>
      </c>
      <c r="AN91" s="854">
        <f t="shared" si="74"/>
        <v>9325.0811484604019</v>
      </c>
      <c r="AO91" s="854">
        <f t="shared" si="75"/>
        <v>477.36990883198325</v>
      </c>
      <c r="AP91" s="856">
        <f t="shared" si="76"/>
        <v>318.24660588798884</v>
      </c>
      <c r="AR91" s="850">
        <f>'Recycling - Case 3'!G101</f>
        <v>578.20078755547547</v>
      </c>
      <c r="AS91" s="846">
        <v>1</v>
      </c>
      <c r="AT91" s="846">
        <f t="shared" si="77"/>
        <v>0.05</v>
      </c>
      <c r="AU91" s="832">
        <f t="shared" si="78"/>
        <v>14.455019688886887</v>
      </c>
      <c r="AV91" s="832">
        <f t="shared" si="79"/>
        <v>14.455019688886887</v>
      </c>
      <c r="AW91" s="835">
        <f t="shared" si="80"/>
        <v>0</v>
      </c>
      <c r="AX91" s="832">
        <f t="shared" si="44"/>
        <v>162.17386918897887</v>
      </c>
      <c r="AY91" s="832">
        <f t="shared" si="49"/>
        <v>9.1344235127394082</v>
      </c>
      <c r="AZ91" s="930">
        <f t="shared" si="47"/>
        <v>6.0896156751596058</v>
      </c>
      <c r="BA91" s="4"/>
      <c r="BB91" s="1055">
        <f t="shared" si="81"/>
        <v>436.44519342796008</v>
      </c>
      <c r="BC91" s="1056">
        <f t="shared" si="82"/>
        <v>318.24660588798884</v>
      </c>
      <c r="BD91" s="1082">
        <f t="shared" si="90"/>
        <v>6.0896156751596058</v>
      </c>
      <c r="BE91" s="1056">
        <f t="shared" si="54"/>
        <v>760.78141499110848</v>
      </c>
      <c r="BF91" s="167">
        <v>0</v>
      </c>
      <c r="BG91" s="1075">
        <f t="shared" si="83"/>
        <v>760.78141499110848</v>
      </c>
      <c r="BI91" s="1055">
        <f t="shared" si="84"/>
        <v>436.44519342796008</v>
      </c>
      <c r="BJ91" s="1056">
        <f t="shared" si="85"/>
        <v>318.24660588798884</v>
      </c>
      <c r="BK91" s="1082">
        <f t="shared" si="86"/>
        <v>6.0896156751596058</v>
      </c>
      <c r="BL91" s="1056">
        <f t="shared" si="55"/>
        <v>760.78141499110848</v>
      </c>
      <c r="BM91" s="167">
        <v>0</v>
      </c>
      <c r="BN91" s="1075">
        <f t="shared" si="87"/>
        <v>760.78141499110848</v>
      </c>
    </row>
    <row r="92" spans="1:73">
      <c r="A92" s="927">
        <f>'Input data'!A122</f>
        <v>2022</v>
      </c>
      <c r="B92" s="824">
        <f>'Input data'!B122</f>
        <v>60.841582286809363</v>
      </c>
      <c r="C92" s="824">
        <f>'Recycling - Case 3'!AK102/B92</f>
        <v>356.74101143002122</v>
      </c>
      <c r="D92" s="825">
        <f>'Recycling - Case 3'!AM102</f>
        <v>0.2567194627794207</v>
      </c>
      <c r="E92" s="826">
        <f>'Recycling - Case 3'!BE102</f>
        <v>0.18314644524561838</v>
      </c>
      <c r="F92" s="826">
        <f>'Recycling - Case 3'!BF102</f>
        <v>0.23227924039063536</v>
      </c>
      <c r="G92" s="826">
        <f>'Recycling - Case 3'!BG102</f>
        <v>7.1442883166452392E-2</v>
      </c>
      <c r="H92" s="826">
        <f>'Recycling - Case 3'!BH102</f>
        <v>0</v>
      </c>
      <c r="I92" s="826">
        <f>'Recycling - Case 3'!BI102</f>
        <v>0</v>
      </c>
      <c r="J92" s="826">
        <f>'Recycling - Case 3'!BJ102</f>
        <v>0</v>
      </c>
      <c r="K92" s="826">
        <f>'Recycling - Case 3'!BK102</f>
        <v>0.51313143119729399</v>
      </c>
      <c r="L92" s="827">
        <f t="shared" si="89"/>
        <v>1</v>
      </c>
      <c r="M92" s="4"/>
      <c r="N92" s="838">
        <f t="shared" si="56"/>
        <v>5572.015740980396</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0.10250496813155079</v>
      </c>
      <c r="Q92" s="832">
        <f t="shared" si="57"/>
        <v>238.1294910839004</v>
      </c>
      <c r="R92" s="832">
        <f t="shared" si="58"/>
        <v>238.1294910839004</v>
      </c>
      <c r="S92" s="835">
        <f t="shared" si="59"/>
        <v>0</v>
      </c>
      <c r="T92" s="832">
        <f t="shared" si="60"/>
        <v>12683.848995534476</v>
      </c>
      <c r="U92" s="832">
        <f t="shared" si="61"/>
        <v>638.10568418164758</v>
      </c>
      <c r="V92" s="839">
        <f t="shared" si="62"/>
        <v>425.40378945443172</v>
      </c>
      <c r="W92" s="4"/>
      <c r="X92" s="852">
        <f>'Recycling - Case 3'!AM142</f>
        <v>0</v>
      </c>
      <c r="Y92" s="853">
        <f>Parameters!S262</f>
        <v>0.71500000000000008</v>
      </c>
      <c r="Z92" s="853">
        <f t="shared" si="63"/>
        <v>0.4</v>
      </c>
      <c r="AA92" s="854">
        <f t="shared" si="64"/>
        <v>0</v>
      </c>
      <c r="AB92" s="854">
        <f t="shared" si="65"/>
        <v>0</v>
      </c>
      <c r="AC92" s="855">
        <f t="shared" si="66"/>
        <v>0</v>
      </c>
      <c r="AD92" s="854">
        <f t="shared" si="67"/>
        <v>8870.2915742724454</v>
      </c>
      <c r="AE92" s="854">
        <f t="shared" si="68"/>
        <v>454.78957418795648</v>
      </c>
      <c r="AF92" s="856">
        <f t="shared" si="69"/>
        <v>303.19304945863763</v>
      </c>
      <c r="AG92" s="4"/>
      <c r="AH92" s="852">
        <f>'Recycling - Case 3'!AM182</f>
        <v>0</v>
      </c>
      <c r="AI92" s="853">
        <f>Parameters!S262</f>
        <v>0.71500000000000008</v>
      </c>
      <c r="AJ92" s="853">
        <f t="shared" si="70"/>
        <v>0.4</v>
      </c>
      <c r="AK92" s="854">
        <f t="shared" si="71"/>
        <v>0</v>
      </c>
      <c r="AL92" s="854">
        <f t="shared" si="72"/>
        <v>0</v>
      </c>
      <c r="AM92" s="855">
        <f t="shared" si="73"/>
        <v>0</v>
      </c>
      <c r="AN92" s="854">
        <f t="shared" si="74"/>
        <v>8870.2915742724454</v>
      </c>
      <c r="AO92" s="854">
        <f t="shared" si="75"/>
        <v>454.78957418795648</v>
      </c>
      <c r="AP92" s="856">
        <f t="shared" si="76"/>
        <v>303.19304945863763</v>
      </c>
      <c r="AR92" s="850">
        <f>'Recycling - Case 3'!G102</f>
        <v>596.87288512572582</v>
      </c>
      <c r="AS92" s="846">
        <v>1</v>
      </c>
      <c r="AT92" s="846">
        <f t="shared" si="77"/>
        <v>0.05</v>
      </c>
      <c r="AU92" s="832">
        <f t="shared" si="78"/>
        <v>14.921822128143146</v>
      </c>
      <c r="AV92" s="832">
        <f t="shared" si="79"/>
        <v>14.921822128143146</v>
      </c>
      <c r="AW92" s="835">
        <f t="shared" si="80"/>
        <v>0</v>
      </c>
      <c r="AX92" s="832">
        <f t="shared" si="44"/>
        <v>167.6514204044548</v>
      </c>
      <c r="AY92" s="832">
        <f t="shared" si="49"/>
        <v>9.4442709126672195</v>
      </c>
      <c r="AZ92" s="930">
        <f t="shared" si="47"/>
        <v>6.2961806084448133</v>
      </c>
      <c r="BA92" s="4"/>
      <c r="BB92" s="1055">
        <f t="shared" si="81"/>
        <v>425.40378945443172</v>
      </c>
      <c r="BC92" s="1056">
        <f t="shared" si="82"/>
        <v>303.19304945863763</v>
      </c>
      <c r="BD92" s="1082">
        <f t="shared" si="90"/>
        <v>6.2961806084448133</v>
      </c>
      <c r="BE92" s="1056">
        <f t="shared" si="54"/>
        <v>734.89301952151425</v>
      </c>
      <c r="BF92" s="167">
        <v>0</v>
      </c>
      <c r="BG92" s="1075">
        <f t="shared" si="83"/>
        <v>734.89301952151425</v>
      </c>
      <c r="BI92" s="1055">
        <f t="shared" si="84"/>
        <v>425.40378945443172</v>
      </c>
      <c r="BJ92" s="1056">
        <f t="shared" si="85"/>
        <v>303.19304945863763</v>
      </c>
      <c r="BK92" s="1082">
        <f t="shared" si="86"/>
        <v>6.2961806084448133</v>
      </c>
      <c r="BL92" s="1056">
        <f t="shared" si="55"/>
        <v>734.89301952151425</v>
      </c>
      <c r="BM92" s="167">
        <v>0</v>
      </c>
      <c r="BN92" s="1075">
        <f t="shared" si="87"/>
        <v>734.89301952151425</v>
      </c>
    </row>
    <row r="93" spans="1:73">
      <c r="A93" s="927">
        <f>'Input data'!A123</f>
        <v>2023</v>
      </c>
      <c r="B93" s="824">
        <f>'Input data'!B123</f>
        <v>61.537824355929828</v>
      </c>
      <c r="C93" s="824">
        <f>'Recycling - Case 3'!AK103/B93</f>
        <v>348.73670596215072</v>
      </c>
      <c r="D93" s="825">
        <f>'Recycling - Case 3'!AM103</f>
        <v>0.2440621255838728</v>
      </c>
      <c r="E93" s="826">
        <f>'Recycling - Case 3'!BE103</f>
        <v>0.18659467086164952</v>
      </c>
      <c r="F93" s="826">
        <f>'Recycling - Case 3'!BF103</f>
        <v>0.23665252334304582</v>
      </c>
      <c r="G93" s="826">
        <f>'Recycling - Case 3'!BG103</f>
        <v>6.9532503062923412E-2</v>
      </c>
      <c r="H93" s="826">
        <f>'Recycling - Case 3'!BH103</f>
        <v>0</v>
      </c>
      <c r="I93" s="826">
        <f>'Recycling - Case 3'!BI103</f>
        <v>0</v>
      </c>
      <c r="J93" s="826">
        <f>'Recycling - Case 3'!BJ103</f>
        <v>0</v>
      </c>
      <c r="K93" s="826">
        <f>'Recycling - Case 3'!BK103</f>
        <v>0.50722030273238117</v>
      </c>
      <c r="L93" s="827">
        <f t="shared" si="89"/>
        <v>1</v>
      </c>
      <c r="M93" s="4"/>
      <c r="N93" s="838">
        <f t="shared" si="56"/>
        <v>5237.6947965215732</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0.10313270652302595</v>
      </c>
      <c r="Q93" s="832">
        <f t="shared" si="57"/>
        <v>230.82206091573025</v>
      </c>
      <c r="R93" s="832">
        <f t="shared" si="58"/>
        <v>230.82206091573025</v>
      </c>
      <c r="S93" s="835">
        <f t="shared" si="59"/>
        <v>0</v>
      </c>
      <c r="T93" s="832">
        <f t="shared" si="60"/>
        <v>12296.072441391949</v>
      </c>
      <c r="U93" s="832">
        <f t="shared" si="61"/>
        <v>618.59861505825688</v>
      </c>
      <c r="V93" s="839">
        <f t="shared" si="62"/>
        <v>412.39907670550457</v>
      </c>
      <c r="W93" s="4"/>
      <c r="X93" s="852">
        <f>'Recycling - Case 3'!AM143</f>
        <v>0</v>
      </c>
      <c r="Y93" s="853">
        <f>Parameters!S263</f>
        <v>0.71500000000000008</v>
      </c>
      <c r="Z93" s="853">
        <f t="shared" si="63"/>
        <v>0.4</v>
      </c>
      <c r="AA93" s="854">
        <f t="shared" si="64"/>
        <v>0</v>
      </c>
      <c r="AB93" s="854">
        <f t="shared" si="65"/>
        <v>0</v>
      </c>
      <c r="AC93" s="855">
        <f t="shared" si="66"/>
        <v>0</v>
      </c>
      <c r="AD93" s="854">
        <f t="shared" si="67"/>
        <v>8437.68234934871</v>
      </c>
      <c r="AE93" s="854">
        <f t="shared" si="68"/>
        <v>432.60922492373464</v>
      </c>
      <c r="AF93" s="856">
        <f t="shared" si="69"/>
        <v>288.40614994915643</v>
      </c>
      <c r="AG93" s="4"/>
      <c r="AH93" s="852">
        <f>'Recycling - Case 3'!AM183</f>
        <v>0</v>
      </c>
      <c r="AI93" s="853">
        <f>Parameters!S263</f>
        <v>0.71500000000000008</v>
      </c>
      <c r="AJ93" s="853">
        <f t="shared" si="70"/>
        <v>0.4</v>
      </c>
      <c r="AK93" s="854">
        <f t="shared" si="71"/>
        <v>0</v>
      </c>
      <c r="AL93" s="854">
        <f t="shared" si="72"/>
        <v>0</v>
      </c>
      <c r="AM93" s="855">
        <f t="shared" si="73"/>
        <v>0</v>
      </c>
      <c r="AN93" s="854">
        <f t="shared" si="74"/>
        <v>8437.68234934871</v>
      </c>
      <c r="AO93" s="854">
        <f t="shared" si="75"/>
        <v>432.60922492373464</v>
      </c>
      <c r="AP93" s="856">
        <f t="shared" si="76"/>
        <v>288.40614994915643</v>
      </c>
      <c r="AQ93" s="4"/>
      <c r="AR93" s="850">
        <f>'Recycling - Case 3'!G103</f>
        <v>615.35189839731549</v>
      </c>
      <c r="AS93" s="846">
        <v>1</v>
      </c>
      <c r="AT93" s="846">
        <f t="shared" si="77"/>
        <v>0.05</v>
      </c>
      <c r="AU93" s="832">
        <f t="shared" si="78"/>
        <v>15.383797459932888</v>
      </c>
      <c r="AV93" s="832">
        <f t="shared" si="79"/>
        <v>15.383797459932888</v>
      </c>
      <c r="AW93" s="835">
        <f t="shared" si="80"/>
        <v>0</v>
      </c>
      <c r="AX93" s="832">
        <f t="shared" si="44"/>
        <v>173.27195920187106</v>
      </c>
      <c r="AY93" s="832">
        <f t="shared" si="49"/>
        <v>9.7632586625166269</v>
      </c>
      <c r="AZ93" s="930">
        <f t="shared" si="47"/>
        <v>6.5088391083444179</v>
      </c>
      <c r="BA93" s="4"/>
      <c r="BB93" s="1055">
        <f t="shared" si="81"/>
        <v>412.39907670550457</v>
      </c>
      <c r="BC93" s="1056">
        <f t="shared" si="82"/>
        <v>288.40614994915643</v>
      </c>
      <c r="BD93" s="1082">
        <f t="shared" si="90"/>
        <v>6.5088391083444179</v>
      </c>
      <c r="BE93" s="1056">
        <f t="shared" si="54"/>
        <v>707.31406576300549</v>
      </c>
      <c r="BF93" s="167">
        <v>0</v>
      </c>
      <c r="BG93" s="1075">
        <f t="shared" si="83"/>
        <v>707.31406576300549</v>
      </c>
      <c r="BI93" s="1055">
        <f t="shared" si="84"/>
        <v>412.39907670550457</v>
      </c>
      <c r="BJ93" s="1056">
        <f t="shared" si="85"/>
        <v>288.40614994915643</v>
      </c>
      <c r="BK93" s="1082">
        <f t="shared" si="86"/>
        <v>6.5088391083444179</v>
      </c>
      <c r="BL93" s="1056">
        <f t="shared" si="55"/>
        <v>707.31406576300549</v>
      </c>
      <c r="BM93" s="167">
        <v>0</v>
      </c>
      <c r="BN93" s="1075">
        <f t="shared" si="87"/>
        <v>707.31406576300549</v>
      </c>
    </row>
    <row r="94" spans="1:73">
      <c r="A94" s="927">
        <f>'Input data'!A124</f>
        <v>2024</v>
      </c>
      <c r="B94" s="824">
        <f>'Input data'!B124</f>
        <v>62.221509701386374</v>
      </c>
      <c r="C94" s="824">
        <f>'Recycling - Case 3'!AK104/B94</f>
        <v>340.9682493805812</v>
      </c>
      <c r="D94" s="825">
        <f>'Recycling - Case 3'!AM104</f>
        <v>0.23112159323054371</v>
      </c>
      <c r="E94" s="826">
        <f>'Recycling - Case 3'!BE104</f>
        <v>0.19006356703225424</v>
      </c>
      <c r="F94" s="826">
        <f>'Recycling - Case 3'!BF104</f>
        <v>0.24105202215079752</v>
      </c>
      <c r="G94" s="826">
        <f>'Recycling - Case 3'!BG104</f>
        <v>6.7598881340952627E-2</v>
      </c>
      <c r="H94" s="826">
        <f>'Recycling - Case 3'!BH104</f>
        <v>0</v>
      </c>
      <c r="I94" s="826">
        <f>'Recycling - Case 3'!BI104</f>
        <v>0</v>
      </c>
      <c r="J94" s="826">
        <f>'Recycling - Case 3'!BJ104</f>
        <v>0</v>
      </c>
      <c r="K94" s="826">
        <f>'Recycling - Case 3'!BK104</f>
        <v>0.50128552947599581</v>
      </c>
      <c r="L94" s="827">
        <f t="shared" si="89"/>
        <v>1.0000000000000002</v>
      </c>
      <c r="M94" s="4"/>
      <c r="N94" s="838">
        <f t="shared" si="56"/>
        <v>4903.3738520627494</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0.10375949202137869</v>
      </c>
      <c r="Q94" s="832">
        <f t="shared" si="57"/>
        <v>222.68540697388903</v>
      </c>
      <c r="R94" s="832">
        <f t="shared" si="58"/>
        <v>222.68540697388903</v>
      </c>
      <c r="S94" s="835">
        <f t="shared" si="59"/>
        <v>0</v>
      </c>
      <c r="T94" s="832">
        <f t="shared" si="60"/>
        <v>11919.071319018241</v>
      </c>
      <c r="U94" s="832">
        <f t="shared" si="61"/>
        <v>599.68652934759575</v>
      </c>
      <c r="V94" s="839">
        <f t="shared" si="62"/>
        <v>399.79101956506383</v>
      </c>
      <c r="W94" s="4"/>
      <c r="X94" s="852">
        <f>'Recycling - Case 3'!AM144</f>
        <v>0</v>
      </c>
      <c r="Y94" s="853">
        <f>Parameters!S264</f>
        <v>0.71500000000000008</v>
      </c>
      <c r="Z94" s="853">
        <f t="shared" si="63"/>
        <v>0.4</v>
      </c>
      <c r="AA94" s="854">
        <f t="shared" si="64"/>
        <v>0</v>
      </c>
      <c r="AB94" s="854">
        <f t="shared" si="65"/>
        <v>0</v>
      </c>
      <c r="AC94" s="855">
        <f t="shared" si="66"/>
        <v>0</v>
      </c>
      <c r="AD94" s="854">
        <f t="shared" si="67"/>
        <v>8026.1717252908056</v>
      </c>
      <c r="AE94" s="854">
        <f t="shared" si="68"/>
        <v>411.51062405790401</v>
      </c>
      <c r="AF94" s="856">
        <f t="shared" si="69"/>
        <v>274.34041603860265</v>
      </c>
      <c r="AG94" s="4"/>
      <c r="AH94" s="852">
        <f>'Recycling - Case 3'!AM184</f>
        <v>0</v>
      </c>
      <c r="AI94" s="853">
        <f>Parameters!S264</f>
        <v>0.71500000000000008</v>
      </c>
      <c r="AJ94" s="853">
        <f t="shared" si="70"/>
        <v>0.4</v>
      </c>
      <c r="AK94" s="854">
        <f t="shared" si="71"/>
        <v>0</v>
      </c>
      <c r="AL94" s="854">
        <f t="shared" si="72"/>
        <v>0</v>
      </c>
      <c r="AM94" s="855">
        <f t="shared" si="73"/>
        <v>0</v>
      </c>
      <c r="AN94" s="854">
        <f t="shared" si="74"/>
        <v>8026.1717252908056</v>
      </c>
      <c r="AO94" s="854">
        <f t="shared" si="75"/>
        <v>411.51062405790401</v>
      </c>
      <c r="AP94" s="856">
        <f t="shared" si="76"/>
        <v>274.34041603860265</v>
      </c>
      <c r="AQ94" s="4"/>
      <c r="AR94" s="850">
        <f>'Recycling - Case 3'!G104</f>
        <v>633.96656052179912</v>
      </c>
      <c r="AS94" s="846">
        <v>1</v>
      </c>
      <c r="AT94" s="846">
        <f t="shared" si="77"/>
        <v>0.05</v>
      </c>
      <c r="AU94" s="832">
        <f t="shared" si="78"/>
        <v>15.849164013044978</v>
      </c>
      <c r="AV94" s="832">
        <f t="shared" si="79"/>
        <v>15.849164013044978</v>
      </c>
      <c r="AW94" s="835">
        <f t="shared" si="80"/>
        <v>0</v>
      </c>
      <c r="AX94" s="832">
        <f t="shared" si="44"/>
        <v>179.03054985402403</v>
      </c>
      <c r="AY94" s="832">
        <f t="shared" si="49"/>
        <v>10.090573360891987</v>
      </c>
      <c r="AZ94" s="930">
        <f t="shared" si="47"/>
        <v>6.7270489072613247</v>
      </c>
      <c r="BA94" s="4"/>
      <c r="BB94" s="1055">
        <f t="shared" si="81"/>
        <v>399.79101956506383</v>
      </c>
      <c r="BC94" s="1056">
        <f t="shared" si="82"/>
        <v>274.34041603860265</v>
      </c>
      <c r="BD94" s="1082">
        <f t="shared" si="90"/>
        <v>6.7270489072613247</v>
      </c>
      <c r="BE94" s="1056">
        <f t="shared" si="54"/>
        <v>680.85848451092772</v>
      </c>
      <c r="BF94" s="167">
        <v>0</v>
      </c>
      <c r="BG94" s="1075">
        <f t="shared" si="83"/>
        <v>680.85848451092772</v>
      </c>
      <c r="BI94" s="1055">
        <f t="shared" si="84"/>
        <v>399.79101956506383</v>
      </c>
      <c r="BJ94" s="1056">
        <f t="shared" si="85"/>
        <v>274.34041603860265</v>
      </c>
      <c r="BK94" s="1082">
        <f t="shared" si="86"/>
        <v>6.7270489072613247</v>
      </c>
      <c r="BL94" s="1056">
        <f t="shared" si="55"/>
        <v>680.85848451092772</v>
      </c>
      <c r="BM94" s="167">
        <v>0</v>
      </c>
      <c r="BN94" s="1075">
        <f t="shared" si="87"/>
        <v>680.85848451092772</v>
      </c>
    </row>
    <row r="95" spans="1:73">
      <c r="A95" s="927">
        <f>'Input data'!A125</f>
        <v>2025</v>
      </c>
      <c r="B95" s="824">
        <f>'Input data'!B125</f>
        <v>62.892038582526091</v>
      </c>
      <c r="C95" s="824">
        <f>'Recycling - Case 3'!AK105/B95</f>
        <v>333.42245520975717</v>
      </c>
      <c r="D95" s="825">
        <f>'Recycling - Case 3'!AM105</f>
        <v>0.21788918260772572</v>
      </c>
      <c r="E95" s="826">
        <f>'Recycling - Case 3'!BE105</f>
        <v>0.19355654057484101</v>
      </c>
      <c r="F95" s="826">
        <f>'Recycling - Case 3'!BF105</f>
        <v>0.24548205758003311</v>
      </c>
      <c r="G95" s="826">
        <f>'Recycling - Case 3'!BG105</f>
        <v>6.5640113605096362E-2</v>
      </c>
      <c r="H95" s="826">
        <f>'Recycling - Case 3'!BH105</f>
        <v>0</v>
      </c>
      <c r="I95" s="826">
        <f>'Recycling - Case 3'!BI105</f>
        <v>0</v>
      </c>
      <c r="J95" s="826">
        <f>'Recycling - Case 3'!BJ105</f>
        <v>0</v>
      </c>
      <c r="K95" s="826">
        <f>'Recycling - Case 3'!BK105</f>
        <v>0.4953212882400293</v>
      </c>
      <c r="L95" s="827">
        <f t="shared" si="89"/>
        <v>0.99999999999999978</v>
      </c>
      <c r="M95" s="4"/>
      <c r="N95" s="838">
        <f t="shared" si="56"/>
        <v>4569.0529076039256</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0.10438593804427132</v>
      </c>
      <c r="Q95" s="832">
        <f t="shared" si="57"/>
        <v>213.70799150010546</v>
      </c>
      <c r="R95" s="832">
        <f t="shared" si="58"/>
        <v>213.70799150010546</v>
      </c>
      <c r="S95" s="835">
        <f t="shared" si="59"/>
        <v>0</v>
      </c>
      <c r="T95" s="832">
        <f t="shared" si="60"/>
        <v>11551.479342872793</v>
      </c>
      <c r="U95" s="832">
        <f t="shared" si="61"/>
        <v>581.29996764555335</v>
      </c>
      <c r="V95" s="839">
        <f t="shared" si="62"/>
        <v>387.53331176370222</v>
      </c>
      <c r="W95" s="4"/>
      <c r="X95" s="852">
        <f>'Recycling - Case 3'!AM145</f>
        <v>0</v>
      </c>
      <c r="Y95" s="853">
        <f>Parameters!S265</f>
        <v>0.71500000000000008</v>
      </c>
      <c r="Z95" s="853">
        <f t="shared" si="63"/>
        <v>0.4</v>
      </c>
      <c r="AA95" s="854">
        <f t="shared" si="64"/>
        <v>0</v>
      </c>
      <c r="AB95" s="854">
        <f t="shared" si="65"/>
        <v>0</v>
      </c>
      <c r="AC95" s="855">
        <f t="shared" si="66"/>
        <v>0</v>
      </c>
      <c r="AD95" s="854">
        <f t="shared" si="67"/>
        <v>7634.7307111922755</v>
      </c>
      <c r="AE95" s="854">
        <f t="shared" si="68"/>
        <v>391.44101409852971</v>
      </c>
      <c r="AF95" s="856">
        <f t="shared" si="69"/>
        <v>260.96067606568647</v>
      </c>
      <c r="AG95" s="4"/>
      <c r="AH95" s="852">
        <f>'Recycling - Case 3'!AM185</f>
        <v>0</v>
      </c>
      <c r="AI95" s="853">
        <f>Parameters!S265</f>
        <v>0.71500000000000008</v>
      </c>
      <c r="AJ95" s="853">
        <f t="shared" si="70"/>
        <v>0.4</v>
      </c>
      <c r="AK95" s="854">
        <f t="shared" si="71"/>
        <v>0</v>
      </c>
      <c r="AL95" s="854">
        <f t="shared" si="72"/>
        <v>0</v>
      </c>
      <c r="AM95" s="855">
        <f t="shared" si="73"/>
        <v>0</v>
      </c>
      <c r="AN95" s="854">
        <f t="shared" si="74"/>
        <v>7634.7307111922755</v>
      </c>
      <c r="AO95" s="854">
        <f t="shared" si="75"/>
        <v>391.44101409852971</v>
      </c>
      <c r="AP95" s="856">
        <f t="shared" si="76"/>
        <v>260.96067606568647</v>
      </c>
      <c r="AQ95" s="4"/>
      <c r="AR95" s="850">
        <f>'Recycling - Case 3'!G105</f>
        <v>652.70351659310825</v>
      </c>
      <c r="AS95" s="846">
        <v>1</v>
      </c>
      <c r="AT95" s="846">
        <f t="shared" si="77"/>
        <v>0.05</v>
      </c>
      <c r="AU95" s="832">
        <f t="shared" si="78"/>
        <v>16.317587914827708</v>
      </c>
      <c r="AV95" s="832">
        <f t="shared" si="79"/>
        <v>16.317587914827708</v>
      </c>
      <c r="AW95" s="835">
        <f t="shared" si="80"/>
        <v>0</v>
      </c>
      <c r="AX95" s="832">
        <f t="shared" si="44"/>
        <v>184.92221019543422</v>
      </c>
      <c r="AY95" s="832">
        <f t="shared" si="49"/>
        <v>10.425927573417502</v>
      </c>
      <c r="AZ95" s="930">
        <f t="shared" si="47"/>
        <v>6.9506183822783347</v>
      </c>
      <c r="BA95" s="4"/>
      <c r="BB95" s="1055">
        <f t="shared" si="81"/>
        <v>387.53331176370222</v>
      </c>
      <c r="BC95" s="1056">
        <f t="shared" si="82"/>
        <v>260.96067606568647</v>
      </c>
      <c r="BD95" s="1082">
        <f t="shared" si="90"/>
        <v>6.9506183822783347</v>
      </c>
      <c r="BE95" s="1056">
        <f t="shared" si="54"/>
        <v>655.44460621166706</v>
      </c>
      <c r="BF95" s="167">
        <v>0</v>
      </c>
      <c r="BG95" s="1075">
        <f t="shared" si="83"/>
        <v>655.44460621166706</v>
      </c>
      <c r="BI95" s="1055">
        <f t="shared" si="84"/>
        <v>387.53331176370222</v>
      </c>
      <c r="BJ95" s="1056">
        <f t="shared" si="85"/>
        <v>260.96067606568647</v>
      </c>
      <c r="BK95" s="1082">
        <f t="shared" si="86"/>
        <v>6.9506183822783347</v>
      </c>
      <c r="BL95" s="1056">
        <f t="shared" si="55"/>
        <v>655.44460621166706</v>
      </c>
      <c r="BM95" s="167">
        <v>0</v>
      </c>
      <c r="BN95" s="1075">
        <f t="shared" si="87"/>
        <v>655.44460621166706</v>
      </c>
    </row>
    <row r="96" spans="1:73">
      <c r="A96" s="927">
        <f>'Input data'!A126</f>
        <v>2026</v>
      </c>
      <c r="B96" s="824">
        <f>'Input data'!B126</f>
        <v>63.548817559440096</v>
      </c>
      <c r="C96" s="824">
        <f>'Recycling - Case 3'!AK106/B96</f>
        <v>326.08654539180856</v>
      </c>
      <c r="D96" s="825">
        <f>'Recycling - Case 3'!AM106</f>
        <v>0.20435514342799796</v>
      </c>
      <c r="E96" s="826">
        <f>'Recycling - Case 3'!BE106</f>
        <v>0.19707703729266704</v>
      </c>
      <c r="F96" s="826">
        <f>'Recycling - Case 3'!BF106</f>
        <v>0.24994699984149868</v>
      </c>
      <c r="G96" s="826">
        <f>'Recycling - Case 3'!BG106</f>
        <v>6.3654247025737618E-2</v>
      </c>
      <c r="H96" s="826">
        <f>'Recycling - Case 3'!BH106</f>
        <v>0</v>
      </c>
      <c r="I96" s="826">
        <f>'Recycling - Case 3'!BI106</f>
        <v>0</v>
      </c>
      <c r="J96" s="826">
        <f>'Recycling - Case 3'!BJ106</f>
        <v>0</v>
      </c>
      <c r="K96" s="826">
        <f>'Recycling - Case 3'!BK106</f>
        <v>0.48932171584009665</v>
      </c>
      <c r="L96" s="827">
        <f t="shared" si="89"/>
        <v>1</v>
      </c>
      <c r="M96" s="4"/>
      <c r="N96" s="838">
        <f t="shared" si="56"/>
        <v>4234.7319631451019</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0.10501265437249484</v>
      </c>
      <c r="Q96" s="832">
        <f t="shared" si="57"/>
        <v>203.87804971348012</v>
      </c>
      <c r="R96" s="832">
        <f t="shared" si="58"/>
        <v>203.87804971348012</v>
      </c>
      <c r="S96" s="835">
        <f t="shared" si="59"/>
        <v>0</v>
      </c>
      <c r="T96" s="832">
        <f t="shared" si="60"/>
        <v>11191.985097166253</v>
      </c>
      <c r="U96" s="832">
        <f t="shared" si="61"/>
        <v>563.37229542002001</v>
      </c>
      <c r="V96" s="839">
        <f t="shared" si="62"/>
        <v>375.58153028001334</v>
      </c>
      <c r="W96" s="4"/>
      <c r="X96" s="852">
        <f>'Recycling - Case 3'!AM146</f>
        <v>0</v>
      </c>
      <c r="Y96" s="853">
        <f>Parameters!S266</f>
        <v>0.71500000000000008</v>
      </c>
      <c r="Z96" s="853">
        <f t="shared" si="63"/>
        <v>0.4</v>
      </c>
      <c r="AA96" s="854">
        <f t="shared" si="64"/>
        <v>0</v>
      </c>
      <c r="AB96" s="854">
        <f t="shared" si="65"/>
        <v>0</v>
      </c>
      <c r="AC96" s="855">
        <f t="shared" si="66"/>
        <v>0</v>
      </c>
      <c r="AD96" s="854">
        <f t="shared" si="67"/>
        <v>7262.3805006253551</v>
      </c>
      <c r="AE96" s="854">
        <f t="shared" si="68"/>
        <v>372.35021056692023</v>
      </c>
      <c r="AF96" s="856">
        <f t="shared" si="69"/>
        <v>248.23347371128014</v>
      </c>
      <c r="AG96" s="4"/>
      <c r="AH96" s="852">
        <f>'Recycling - Case 3'!AM186</f>
        <v>0</v>
      </c>
      <c r="AI96" s="853">
        <f>Parameters!S266</f>
        <v>0.71500000000000008</v>
      </c>
      <c r="AJ96" s="853">
        <f t="shared" si="70"/>
        <v>0.4</v>
      </c>
      <c r="AK96" s="854">
        <f t="shared" si="71"/>
        <v>0</v>
      </c>
      <c r="AL96" s="854">
        <f t="shared" si="72"/>
        <v>0</v>
      </c>
      <c r="AM96" s="855">
        <f t="shared" si="73"/>
        <v>0</v>
      </c>
      <c r="AN96" s="854">
        <f t="shared" si="74"/>
        <v>7262.3805006253551</v>
      </c>
      <c r="AO96" s="854">
        <f t="shared" si="75"/>
        <v>372.35021056692023</v>
      </c>
      <c r="AP96" s="856">
        <f t="shared" si="76"/>
        <v>248.23347371128014</v>
      </c>
      <c r="AQ96" s="4"/>
      <c r="AR96" s="850">
        <f>'Recycling - Case 3'!G106</f>
        <v>671.54902418095162</v>
      </c>
      <c r="AS96" s="846">
        <v>1</v>
      </c>
      <c r="AT96" s="846">
        <f t="shared" si="77"/>
        <v>0.05</v>
      </c>
      <c r="AU96" s="832">
        <f t="shared" si="78"/>
        <v>16.78872560452379</v>
      </c>
      <c r="AV96" s="832">
        <f t="shared" si="79"/>
        <v>16.78872560452379</v>
      </c>
      <c r="AW96" s="835">
        <f t="shared" si="80"/>
        <v>0</v>
      </c>
      <c r="AX96" s="832">
        <f t="shared" si="44"/>
        <v>190.9419046385953</v>
      </c>
      <c r="AY96" s="832">
        <f t="shared" si="49"/>
        <v>10.769031161362708</v>
      </c>
      <c r="AZ96" s="930">
        <f t="shared" si="47"/>
        <v>7.179354107575139</v>
      </c>
      <c r="BA96" s="4"/>
      <c r="BB96" s="1055">
        <f t="shared" si="81"/>
        <v>375.58153028001334</v>
      </c>
      <c r="BC96" s="1056">
        <f t="shared" si="82"/>
        <v>248.23347371128014</v>
      </c>
      <c r="BD96" s="1082">
        <f t="shared" si="90"/>
        <v>7.179354107575139</v>
      </c>
      <c r="BE96" s="1056">
        <f t="shared" si="54"/>
        <v>630.99435809886859</v>
      </c>
      <c r="BF96" s="167">
        <v>0</v>
      </c>
      <c r="BG96" s="1075">
        <f t="shared" si="83"/>
        <v>630.99435809886859</v>
      </c>
      <c r="BI96" s="1055">
        <f t="shared" si="84"/>
        <v>375.58153028001334</v>
      </c>
      <c r="BJ96" s="1056">
        <f t="shared" si="85"/>
        <v>248.23347371128014</v>
      </c>
      <c r="BK96" s="1082">
        <f t="shared" si="86"/>
        <v>7.179354107575139</v>
      </c>
      <c r="BL96" s="1056">
        <f t="shared" si="55"/>
        <v>630.99435809886859</v>
      </c>
      <c r="BM96" s="167">
        <v>0</v>
      </c>
      <c r="BN96" s="1075">
        <f t="shared" si="87"/>
        <v>630.99435809886859</v>
      </c>
    </row>
    <row r="97" spans="1:66">
      <c r="A97" s="927">
        <f>'Input data'!A127</f>
        <v>2027</v>
      </c>
      <c r="B97" s="824">
        <f>'Input data'!B127</f>
        <v>64.191260356766122</v>
      </c>
      <c r="C97" s="824">
        <f>'Recycling - Case 3'!AK107/B97</f>
        <v>318.94811809555193</v>
      </c>
      <c r="D97" s="825">
        <f>'Recycling - Case 3'!AM107</f>
        <v>0.19050853080260471</v>
      </c>
      <c r="E97" s="826">
        <f>'Recycling - Case 3'!BE107</f>
        <v>0.20062855392392273</v>
      </c>
      <c r="F97" s="826">
        <f>'Recycling - Case 3'!BF107</f>
        <v>0.25445128374521531</v>
      </c>
      <c r="G97" s="826">
        <f>'Recycling - Case 3'!BG107</f>
        <v>6.1639273401389631E-2</v>
      </c>
      <c r="H97" s="826">
        <f>'Recycling - Case 3'!BH107</f>
        <v>0</v>
      </c>
      <c r="I97" s="826">
        <f>'Recycling - Case 3'!BI107</f>
        <v>0</v>
      </c>
      <c r="J97" s="826">
        <f>'Recycling - Case 3'!BJ107</f>
        <v>0</v>
      </c>
      <c r="K97" s="826">
        <f>'Recycling - Case 3'!BK107</f>
        <v>0.48328088892947224</v>
      </c>
      <c r="L97" s="827">
        <f t="shared" si="89"/>
        <v>1</v>
      </c>
      <c r="M97" s="4"/>
      <c r="N97" s="838">
        <f t="shared" si="56"/>
        <v>3900.4110186862777</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0.10564024919818732</v>
      </c>
      <c r="Q97" s="832">
        <f t="shared" si="57"/>
        <v>193.1835530134795</v>
      </c>
      <c r="R97" s="832">
        <f t="shared" si="58"/>
        <v>193.1835530134795</v>
      </c>
      <c r="S97" s="835">
        <f t="shared" si="59"/>
        <v>0</v>
      </c>
      <c r="T97" s="832">
        <f t="shared" si="60"/>
        <v>10839.329096011501</v>
      </c>
      <c r="U97" s="832">
        <f t="shared" si="61"/>
        <v>545.83955416823028</v>
      </c>
      <c r="V97" s="839">
        <f t="shared" si="62"/>
        <v>363.89303611215354</v>
      </c>
      <c r="W97" s="4"/>
      <c r="X97" s="852">
        <f>'Recycling - Case 3'!AM147</f>
        <v>0</v>
      </c>
      <c r="Y97" s="853">
        <f>Parameters!S267</f>
        <v>0.71500000000000008</v>
      </c>
      <c r="Z97" s="853">
        <f t="shared" si="63"/>
        <v>0.4</v>
      </c>
      <c r="AA97" s="854">
        <f t="shared" si="64"/>
        <v>0</v>
      </c>
      <c r="AB97" s="854">
        <f t="shared" si="65"/>
        <v>0</v>
      </c>
      <c r="AC97" s="855">
        <f t="shared" si="66"/>
        <v>0</v>
      </c>
      <c r="AD97" s="854">
        <f t="shared" si="67"/>
        <v>6908.1900241150643</v>
      </c>
      <c r="AE97" s="854">
        <f t="shared" si="68"/>
        <v>354.19047651029121</v>
      </c>
      <c r="AF97" s="856">
        <f t="shared" si="69"/>
        <v>236.12698434019413</v>
      </c>
      <c r="AG97" s="4"/>
      <c r="AH97" s="852">
        <f>'Recycling - Case 3'!AM187</f>
        <v>0</v>
      </c>
      <c r="AI97" s="853">
        <f>Parameters!S267</f>
        <v>0.71500000000000008</v>
      </c>
      <c r="AJ97" s="853">
        <f t="shared" si="70"/>
        <v>0.4</v>
      </c>
      <c r="AK97" s="854">
        <f t="shared" si="71"/>
        <v>0</v>
      </c>
      <c r="AL97" s="854">
        <f t="shared" si="72"/>
        <v>0</v>
      </c>
      <c r="AM97" s="855">
        <f t="shared" si="73"/>
        <v>0</v>
      </c>
      <c r="AN97" s="854">
        <f t="shared" si="74"/>
        <v>6908.1900241150643</v>
      </c>
      <c r="AO97" s="854">
        <f t="shared" si="75"/>
        <v>354.19047651029121</v>
      </c>
      <c r="AP97" s="856">
        <f t="shared" si="76"/>
        <v>236.12698434019413</v>
      </c>
      <c r="AQ97" s="4"/>
      <c r="AR97" s="850">
        <f>'Recycling - Case 3'!G107</f>
        <v>690.48896858595515</v>
      </c>
      <c r="AS97" s="846">
        <v>1</v>
      </c>
      <c r="AT97" s="846">
        <f t="shared" si="77"/>
        <v>0.05</v>
      </c>
      <c r="AU97" s="832">
        <f t="shared" si="78"/>
        <v>17.262224214648878</v>
      </c>
      <c r="AV97" s="832">
        <f t="shared" si="79"/>
        <v>17.262224214648878</v>
      </c>
      <c r="AW97" s="835">
        <f t="shared" si="80"/>
        <v>0</v>
      </c>
      <c r="AX97" s="832">
        <f t="shared" si="44"/>
        <v>197.08453797830367</v>
      </c>
      <c r="AY97" s="832">
        <f t="shared" si="49"/>
        <v>11.119590874940501</v>
      </c>
      <c r="AZ97" s="930">
        <f t="shared" si="47"/>
        <v>7.4130605832936673</v>
      </c>
      <c r="BA97" s="4"/>
      <c r="BB97" s="1055">
        <f t="shared" si="81"/>
        <v>363.89303611215354</v>
      </c>
      <c r="BC97" s="1056">
        <f t="shared" si="82"/>
        <v>236.12698434019413</v>
      </c>
      <c r="BD97" s="1082">
        <f t="shared" si="90"/>
        <v>7.4130605832936673</v>
      </c>
      <c r="BE97" s="1056">
        <f t="shared" si="54"/>
        <v>607.43308103564141</v>
      </c>
      <c r="BF97" s="167">
        <v>0</v>
      </c>
      <c r="BG97" s="1075">
        <f t="shared" si="83"/>
        <v>607.43308103564141</v>
      </c>
      <c r="BI97" s="1055">
        <f t="shared" si="84"/>
        <v>363.89303611215354</v>
      </c>
      <c r="BJ97" s="1056">
        <f t="shared" si="85"/>
        <v>236.12698434019413</v>
      </c>
      <c r="BK97" s="1082">
        <f t="shared" si="86"/>
        <v>7.4130605832936673</v>
      </c>
      <c r="BL97" s="1056">
        <f t="shared" si="55"/>
        <v>607.43308103564141</v>
      </c>
      <c r="BM97" s="167">
        <v>0</v>
      </c>
      <c r="BN97" s="1075">
        <f t="shared" si="87"/>
        <v>607.43308103564141</v>
      </c>
    </row>
    <row r="98" spans="1:66">
      <c r="A98" s="927">
        <f>'Input data'!A128</f>
        <v>2028</v>
      </c>
      <c r="B98" s="824">
        <f>'Input data'!B128</f>
        <v>64.818788725428234</v>
      </c>
      <c r="C98" s="824">
        <f>'Recycling - Case 3'!AK108/B98</f>
        <v>311.99511644861855</v>
      </c>
      <c r="D98" s="825">
        <f>'Recycling - Case 3'!AM108</f>
        <v>0.176337062293314</v>
      </c>
      <c r="E98" s="826">
        <f>'Recycling - Case 3'!BE108</f>
        <v>0.20421465044194656</v>
      </c>
      <c r="F98" s="826">
        <f>'Recycling - Case 3'!BF108</f>
        <v>0.25899942430047962</v>
      </c>
      <c r="G98" s="826">
        <f>'Recycling - Case 3'!BG108</f>
        <v>5.9593121881565105E-2</v>
      </c>
      <c r="H98" s="826">
        <f>'Recycling - Case 3'!BH108</f>
        <v>0</v>
      </c>
      <c r="I98" s="826">
        <f>'Recycling - Case 3'!BI108</f>
        <v>0</v>
      </c>
      <c r="J98" s="826">
        <f>'Recycling - Case 3'!BJ108</f>
        <v>0</v>
      </c>
      <c r="K98" s="826">
        <f>'Recycling - Case 3'!BK108</f>
        <v>0.47719280337600883</v>
      </c>
      <c r="L98" s="827">
        <f t="shared" si="89"/>
        <v>1</v>
      </c>
      <c r="M98" s="4"/>
      <c r="N98" s="838">
        <f t="shared" si="56"/>
        <v>3566.0900742274539</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0.10626933117901396</v>
      </c>
      <c r="Q98" s="832">
        <f t="shared" si="57"/>
        <v>181.61217110072707</v>
      </c>
      <c r="R98" s="832">
        <f t="shared" si="58"/>
        <v>181.61217110072707</v>
      </c>
      <c r="S98" s="835">
        <f t="shared" si="59"/>
        <v>0</v>
      </c>
      <c r="T98" s="832">
        <f t="shared" si="60"/>
        <v>10492.300949073591</v>
      </c>
      <c r="U98" s="832">
        <f t="shared" si="61"/>
        <v>528.64031803863622</v>
      </c>
      <c r="V98" s="839">
        <f t="shared" si="62"/>
        <v>352.42687869242417</v>
      </c>
      <c r="W98" s="4"/>
      <c r="X98" s="852">
        <f>'Recycling - Case 3'!AM148</f>
        <v>0</v>
      </c>
      <c r="Y98" s="853">
        <f>Parameters!S268</f>
        <v>0.71500000000000008</v>
      </c>
      <c r="Z98" s="853">
        <f t="shared" si="63"/>
        <v>0.4</v>
      </c>
      <c r="AA98" s="854">
        <f t="shared" si="64"/>
        <v>0</v>
      </c>
      <c r="AB98" s="854">
        <f t="shared" si="65"/>
        <v>0</v>
      </c>
      <c r="AC98" s="855">
        <f t="shared" si="66"/>
        <v>0</v>
      </c>
      <c r="AD98" s="854">
        <f t="shared" si="67"/>
        <v>6571.2736209805462</v>
      </c>
      <c r="AE98" s="854">
        <f t="shared" si="68"/>
        <v>336.91640313451802</v>
      </c>
      <c r="AF98" s="856">
        <f t="shared" si="69"/>
        <v>224.61093542301202</v>
      </c>
      <c r="AG98" s="4"/>
      <c r="AH98" s="852">
        <f>'Recycling - Case 3'!AM188</f>
        <v>0</v>
      </c>
      <c r="AI98" s="853">
        <f>Parameters!S268</f>
        <v>0.71500000000000008</v>
      </c>
      <c r="AJ98" s="853">
        <f t="shared" si="70"/>
        <v>0.4</v>
      </c>
      <c r="AK98" s="854">
        <f t="shared" si="71"/>
        <v>0</v>
      </c>
      <c r="AL98" s="854">
        <f t="shared" si="72"/>
        <v>0</v>
      </c>
      <c r="AM98" s="855">
        <f t="shared" si="73"/>
        <v>0</v>
      </c>
      <c r="AN98" s="854">
        <f t="shared" si="74"/>
        <v>6571.2736209805462</v>
      </c>
      <c r="AO98" s="854">
        <f t="shared" si="75"/>
        <v>336.91640313451802</v>
      </c>
      <c r="AP98" s="856">
        <f t="shared" si="76"/>
        <v>224.61093542301202</v>
      </c>
      <c r="AQ98" s="4"/>
      <c r="AR98" s="850">
        <f>'Recycling - Case 3'!G108</f>
        <v>709.50887905329228</v>
      </c>
      <c r="AS98" s="846">
        <v>1</v>
      </c>
      <c r="AT98" s="846">
        <f t="shared" si="77"/>
        <v>0.05</v>
      </c>
      <c r="AU98" s="832">
        <f t="shared" si="78"/>
        <v>17.737721976332306</v>
      </c>
      <c r="AV98" s="832">
        <f t="shared" si="79"/>
        <v>17.737721976332306</v>
      </c>
      <c r="AW98" s="835">
        <f t="shared" si="80"/>
        <v>0</v>
      </c>
      <c r="AX98" s="832">
        <f t="shared" si="44"/>
        <v>203.34494996213661</v>
      </c>
      <c r="AY98" s="832">
        <f t="shared" si="49"/>
        <v>11.477309992499361</v>
      </c>
      <c r="AZ98" s="930">
        <f t="shared" si="47"/>
        <v>7.6515399949995739</v>
      </c>
      <c r="BA98" s="4"/>
      <c r="BB98" s="1055">
        <f t="shared" si="81"/>
        <v>352.42687869242417</v>
      </c>
      <c r="BC98" s="1056">
        <f t="shared" si="82"/>
        <v>224.61093542301202</v>
      </c>
      <c r="BD98" s="1082">
        <f t="shared" si="90"/>
        <v>7.6515399949995739</v>
      </c>
      <c r="BE98" s="1056">
        <f t="shared" si="54"/>
        <v>584.68935411043572</v>
      </c>
      <c r="BF98" s="167">
        <v>0</v>
      </c>
      <c r="BG98" s="1075">
        <f t="shared" si="83"/>
        <v>584.68935411043572</v>
      </c>
      <c r="BI98" s="1055">
        <f t="shared" si="84"/>
        <v>352.42687869242417</v>
      </c>
      <c r="BJ98" s="1056">
        <f t="shared" si="85"/>
        <v>224.61093542301202</v>
      </c>
      <c r="BK98" s="1082">
        <f t="shared" si="86"/>
        <v>7.6515399949995739</v>
      </c>
      <c r="BL98" s="1056">
        <f t="shared" si="55"/>
        <v>584.68935411043572</v>
      </c>
      <c r="BM98" s="167">
        <v>0</v>
      </c>
      <c r="BN98" s="1075">
        <f t="shared" si="87"/>
        <v>584.68935411043572</v>
      </c>
    </row>
    <row r="99" spans="1:66">
      <c r="A99" s="927">
        <f>'Input data'!A129</f>
        <v>2029</v>
      </c>
      <c r="B99" s="824">
        <f>'Input data'!B129</f>
        <v>65.435442210930105</v>
      </c>
      <c r="C99" s="824">
        <f>'Recycling - Case 3'!AK109/B99</f>
        <v>305.20350626422811</v>
      </c>
      <c r="D99" s="825">
        <f>'Recycling - Case 3'!AM109</f>
        <v>0.16182207580932503</v>
      </c>
      <c r="E99" s="826">
        <f>'Recycling - Case 3'!BE109</f>
        <v>0.2078448457589184</v>
      </c>
      <c r="F99" s="826">
        <f>'Recycling - Case 3'!BF109</f>
        <v>0.26360349406314965</v>
      </c>
      <c r="G99" s="826">
        <f>'Recycling - Case 3'!BG109</f>
        <v>5.7512199304914538E-2</v>
      </c>
      <c r="H99" s="826">
        <f>'Recycling - Case 3'!BH109</f>
        <v>0</v>
      </c>
      <c r="I99" s="826">
        <f>'Recycling - Case 3'!BI109</f>
        <v>0</v>
      </c>
      <c r="J99" s="826">
        <f>'Recycling - Case 3'!BJ109</f>
        <v>0</v>
      </c>
      <c r="K99" s="826">
        <f>'Recycling - Case 3'!BK109</f>
        <v>0.47103946087301729</v>
      </c>
      <c r="L99" s="827">
        <f t="shared" si="89"/>
        <v>0.99999999999999989</v>
      </c>
      <c r="M99" s="4"/>
      <c r="N99" s="838">
        <f t="shared" si="56"/>
        <v>3231.7691297686301</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0.1069023053984335</v>
      </c>
      <c r="Q99" s="832">
        <f t="shared" si="57"/>
        <v>169.1540712426588</v>
      </c>
      <c r="R99" s="832">
        <f t="shared" si="58"/>
        <v>169.1540712426588</v>
      </c>
      <c r="S99" s="835">
        <f t="shared" si="59"/>
        <v>0</v>
      </c>
      <c r="T99" s="832">
        <f t="shared" si="60"/>
        <v>10149.739464718226</v>
      </c>
      <c r="U99" s="832">
        <f t="shared" si="61"/>
        <v>511.71555559802357</v>
      </c>
      <c r="V99" s="839">
        <f t="shared" si="62"/>
        <v>341.14370373201569</v>
      </c>
      <c r="W99" s="4"/>
      <c r="X99" s="852">
        <f>'Recycling - Case 3'!AM149</f>
        <v>0</v>
      </c>
      <c r="Y99" s="853">
        <f>Parameters!S269</f>
        <v>0.71500000000000008</v>
      </c>
      <c r="Z99" s="853">
        <f t="shared" si="63"/>
        <v>0.4</v>
      </c>
      <c r="AA99" s="854">
        <f t="shared" si="64"/>
        <v>0</v>
      </c>
      <c r="AB99" s="854">
        <f t="shared" si="65"/>
        <v>0</v>
      </c>
      <c r="AC99" s="855">
        <f t="shared" si="66"/>
        <v>0</v>
      </c>
      <c r="AD99" s="854">
        <f t="shared" si="67"/>
        <v>6250.788824722048</v>
      </c>
      <c r="AE99" s="854">
        <f t="shared" si="68"/>
        <v>320.48479625849814</v>
      </c>
      <c r="AF99" s="856">
        <f t="shared" si="69"/>
        <v>213.65653083899875</v>
      </c>
      <c r="AG99" s="4"/>
      <c r="AH99" s="852">
        <f>'Recycling - Case 3'!AM189</f>
        <v>0</v>
      </c>
      <c r="AI99" s="853">
        <f>Parameters!S269</f>
        <v>0.71500000000000008</v>
      </c>
      <c r="AJ99" s="853">
        <f t="shared" si="70"/>
        <v>0.4</v>
      </c>
      <c r="AK99" s="854">
        <f t="shared" si="71"/>
        <v>0</v>
      </c>
      <c r="AL99" s="854">
        <f t="shared" si="72"/>
        <v>0</v>
      </c>
      <c r="AM99" s="855">
        <f t="shared" si="73"/>
        <v>0</v>
      </c>
      <c r="AN99" s="854">
        <f t="shared" si="74"/>
        <v>6250.788824722048</v>
      </c>
      <c r="AO99" s="854">
        <f t="shared" si="75"/>
        <v>320.48479625849814</v>
      </c>
      <c r="AP99" s="856">
        <f t="shared" si="76"/>
        <v>213.65653083899875</v>
      </c>
      <c r="AQ99" s="4"/>
      <c r="AR99" s="850">
        <f>'Recycling - Case 3'!G109</f>
        <v>728.64526766221286</v>
      </c>
      <c r="AS99" s="846">
        <v>1</v>
      </c>
      <c r="AT99" s="846">
        <f t="shared" si="77"/>
        <v>0.05</v>
      </c>
      <c r="AU99" s="832">
        <f t="shared" si="78"/>
        <v>18.216131691555322</v>
      </c>
      <c r="AV99" s="832">
        <f t="shared" si="79"/>
        <v>18.216131691555322</v>
      </c>
      <c r="AW99" s="835">
        <f t="shared" si="80"/>
        <v>0</v>
      </c>
      <c r="AX99" s="832">
        <f t="shared" si="44"/>
        <v>209.71919364935928</v>
      </c>
      <c r="AY99" s="832">
        <f t="shared" si="49"/>
        <v>11.841888004332631</v>
      </c>
      <c r="AZ99" s="930">
        <f t="shared" si="47"/>
        <v>7.8945920028884204</v>
      </c>
      <c r="BA99" s="4"/>
      <c r="BB99" s="1055">
        <f t="shared" si="81"/>
        <v>341.14370373201569</v>
      </c>
      <c r="BC99" s="1056">
        <f t="shared" si="82"/>
        <v>213.65653083899875</v>
      </c>
      <c r="BD99" s="1082">
        <f t="shared" si="90"/>
        <v>7.8945920028884204</v>
      </c>
      <c r="BE99" s="1056">
        <f t="shared" si="54"/>
        <v>562.6948265739029</v>
      </c>
      <c r="BF99" s="167">
        <v>0</v>
      </c>
      <c r="BG99" s="1075">
        <f t="shared" si="83"/>
        <v>562.6948265739029</v>
      </c>
      <c r="BI99" s="1055">
        <f t="shared" si="84"/>
        <v>341.14370373201569</v>
      </c>
      <c r="BJ99" s="1056">
        <f t="shared" si="85"/>
        <v>213.65653083899875</v>
      </c>
      <c r="BK99" s="1082">
        <f t="shared" si="86"/>
        <v>7.8945920028884204</v>
      </c>
      <c r="BL99" s="1056">
        <f t="shared" si="55"/>
        <v>562.6948265739029</v>
      </c>
      <c r="BM99" s="167">
        <v>0</v>
      </c>
      <c r="BN99" s="1075">
        <f t="shared" si="87"/>
        <v>562.6948265739029</v>
      </c>
    </row>
    <row r="100" spans="1:66">
      <c r="A100" s="927">
        <f>'Input data'!A130</f>
        <v>2030</v>
      </c>
      <c r="B100" s="824">
        <f>'Input data'!B130</f>
        <v>66.040790860694059</v>
      </c>
      <c r="C100" s="824">
        <f>'Recycling - Case 3'!AK110/B100</f>
        <v>298.56375160658246</v>
      </c>
      <c r="D100" s="825">
        <f>'Recycling - Case 3'!AM110</f>
        <v>0.14694889801285832</v>
      </c>
      <c r="E100" s="826">
        <f>'Recycling - Case 3'!BE110</f>
        <v>0.21152261618513082</v>
      </c>
      <c r="F100" s="826">
        <f>'Recycling - Case 3'!BF110</f>
        <v>0.26826790193514582</v>
      </c>
      <c r="G100" s="826">
        <f>'Recycling - Case 3'!BG110</f>
        <v>5.5394439284700059E-2</v>
      </c>
      <c r="H100" s="826">
        <f>'Recycling - Case 3'!BH110</f>
        <v>0</v>
      </c>
      <c r="I100" s="826">
        <f>'Recycling - Case 3'!BI110</f>
        <v>0</v>
      </c>
      <c r="J100" s="826">
        <f>'Recycling - Case 3'!BJ110</f>
        <v>0</v>
      </c>
      <c r="K100" s="826">
        <f>'Recycling - Case 3'!BK110</f>
        <v>0.46481504259502315</v>
      </c>
      <c r="L100" s="827">
        <f t="shared" si="89"/>
        <v>0.99999999999999989</v>
      </c>
      <c r="M100" s="4"/>
      <c r="N100" s="838">
        <f t="shared" si="56"/>
        <v>2897.4481853098068</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0.10753974852867881</v>
      </c>
      <c r="Q100" s="832">
        <f t="shared" si="57"/>
        <v>155.79542461154671</v>
      </c>
      <c r="R100" s="832">
        <f t="shared" si="58"/>
        <v>155.79542461154671</v>
      </c>
      <c r="S100" s="835">
        <f t="shared" si="59"/>
        <v>0</v>
      </c>
      <c r="T100" s="832">
        <f t="shared" si="60"/>
        <v>9810.5262544676498</v>
      </c>
      <c r="U100" s="832">
        <f t="shared" si="61"/>
        <v>495.00863486212279</v>
      </c>
      <c r="V100" s="839">
        <f t="shared" si="62"/>
        <v>330.00575657474855</v>
      </c>
      <c r="W100" s="4"/>
      <c r="X100" s="852">
        <f>'Recycling - Case 3'!AM150</f>
        <v>0</v>
      </c>
      <c r="Y100" s="853">
        <f>Parameters!S270</f>
        <v>0.71500000000000008</v>
      </c>
      <c r="Z100" s="853">
        <f t="shared" si="63"/>
        <v>0.4</v>
      </c>
      <c r="AA100" s="854">
        <f t="shared" si="64"/>
        <v>0</v>
      </c>
      <c r="AB100" s="854">
        <f t="shared" si="65"/>
        <v>0</v>
      </c>
      <c r="AC100" s="855">
        <f t="shared" si="66"/>
        <v>0</v>
      </c>
      <c r="AD100" s="854">
        <f t="shared" si="67"/>
        <v>5945.9342564158487</v>
      </c>
      <c r="AE100" s="854">
        <f t="shared" si="68"/>
        <v>304.85456830619972</v>
      </c>
      <c r="AF100" s="856">
        <f t="shared" si="69"/>
        <v>203.23637887079983</v>
      </c>
      <c r="AG100" s="4"/>
      <c r="AH100" s="852">
        <f>'Recycling - Case 3'!AM190</f>
        <v>0</v>
      </c>
      <c r="AI100" s="853">
        <f>Parameters!S270</f>
        <v>0.71500000000000008</v>
      </c>
      <c r="AJ100" s="853">
        <f t="shared" si="70"/>
        <v>0.4</v>
      </c>
      <c r="AK100" s="854">
        <f t="shared" si="71"/>
        <v>0</v>
      </c>
      <c r="AL100" s="854">
        <f t="shared" si="72"/>
        <v>0</v>
      </c>
      <c r="AM100" s="855">
        <f t="shared" si="73"/>
        <v>0</v>
      </c>
      <c r="AN100" s="854">
        <f t="shared" si="74"/>
        <v>5945.9342564158487</v>
      </c>
      <c r="AO100" s="854">
        <f t="shared" si="75"/>
        <v>304.85456830619972</v>
      </c>
      <c r="AP100" s="856">
        <f t="shared" si="76"/>
        <v>203.23637887079983</v>
      </c>
      <c r="AQ100" s="4"/>
      <c r="AR100" s="850">
        <f>'Recycling - Case 3'!G110</f>
        <v>747.88708974120425</v>
      </c>
      <c r="AS100" s="846">
        <v>1</v>
      </c>
      <c r="AT100" s="846">
        <f t="shared" si="77"/>
        <v>0.05</v>
      </c>
      <c r="AU100" s="832">
        <f t="shared" si="78"/>
        <v>18.697177243530106</v>
      </c>
      <c r="AV100" s="832">
        <f t="shared" si="79"/>
        <v>18.697177243530106</v>
      </c>
      <c r="AW100" s="835">
        <f t="shared" si="80"/>
        <v>0</v>
      </c>
      <c r="AX100" s="832">
        <f t="shared" si="44"/>
        <v>216.2032758343837</v>
      </c>
      <c r="AY100" s="832">
        <f t="shared" si="49"/>
        <v>12.213095058505703</v>
      </c>
      <c r="AZ100" s="930">
        <f t="shared" si="47"/>
        <v>8.1420633723371356</v>
      </c>
      <c r="BA100" s="4"/>
      <c r="BB100" s="1055">
        <f t="shared" si="81"/>
        <v>330.00575657474855</v>
      </c>
      <c r="BC100" s="1056">
        <f t="shared" si="82"/>
        <v>203.23637887079983</v>
      </c>
      <c r="BD100" s="1082">
        <f t="shared" si="90"/>
        <v>8.1420633723371356</v>
      </c>
      <c r="BE100" s="1056">
        <f t="shared" si="54"/>
        <v>541.38419881788548</v>
      </c>
      <c r="BF100" s="167">
        <v>0</v>
      </c>
      <c r="BG100" s="1075">
        <f t="shared" si="83"/>
        <v>541.38419881788548</v>
      </c>
      <c r="BI100" s="1055">
        <f t="shared" si="84"/>
        <v>330.00575657474855</v>
      </c>
      <c r="BJ100" s="1056">
        <f t="shared" si="85"/>
        <v>203.23637887079983</v>
      </c>
      <c r="BK100" s="1082">
        <f t="shared" si="86"/>
        <v>8.1420633723371356</v>
      </c>
      <c r="BL100" s="1056">
        <f t="shared" si="55"/>
        <v>541.38419881788548</v>
      </c>
      <c r="BM100" s="167">
        <v>0</v>
      </c>
      <c r="BN100" s="1075">
        <f t="shared" si="87"/>
        <v>541.38419881788548</v>
      </c>
    </row>
    <row r="101" spans="1:66">
      <c r="A101" s="927">
        <f>'Input data'!A131</f>
        <v>2031</v>
      </c>
      <c r="B101" s="824">
        <f>'Input data'!B131</f>
        <v>66.6344094187031</v>
      </c>
      <c r="C101" s="824">
        <f>'Recycling - Case 3'!AK111/B101</f>
        <v>290.06021478695209</v>
      </c>
      <c r="D101" s="825">
        <f>'Recycling - Case 3'!AM111</f>
        <v>0.13261219060499221</v>
      </c>
      <c r="E101" s="826">
        <f>'Recycling - Case 3'!BE111</f>
        <v>0.21225356152019015</v>
      </c>
      <c r="F101" s="826">
        <f>'Recycling - Case 3'!BF111</f>
        <v>0.26919493836747704</v>
      </c>
      <c r="G101" s="826">
        <f>'Recycling - Case 3'!BG111</f>
        <v>5.5217889310991419E-2</v>
      </c>
      <c r="H101" s="826">
        <f>'Recycling - Case 3'!BH111</f>
        <v>0</v>
      </c>
      <c r="I101" s="826">
        <f>'Recycling - Case 3'!BI111</f>
        <v>0</v>
      </c>
      <c r="J101" s="826">
        <f>'Recycling - Case 3'!BJ111</f>
        <v>0</v>
      </c>
      <c r="K101" s="826">
        <f>'Recycling - Case 3'!BK111</f>
        <v>0.46333361080134122</v>
      </c>
      <c r="L101" s="827">
        <f t="shared" si="89"/>
        <v>0.99999999999999978</v>
      </c>
      <c r="M101" s="4"/>
      <c r="N101" s="838">
        <f t="shared" si="56"/>
        <v>2563.1272408509831</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0.1077641776259205</v>
      </c>
      <c r="Q101" s="832">
        <f t="shared" si="57"/>
        <v>138.10664963045042</v>
      </c>
      <c r="R101" s="832">
        <f t="shared" si="58"/>
        <v>138.10664963045042</v>
      </c>
      <c r="S101" s="835">
        <f t="shared" si="59"/>
        <v>0</v>
      </c>
      <c r="T101" s="832">
        <f t="shared" si="60"/>
        <v>9470.1678927168578</v>
      </c>
      <c r="U101" s="832">
        <f t="shared" si="61"/>
        <v>478.46501138124188</v>
      </c>
      <c r="V101" s="839">
        <f t="shared" si="62"/>
        <v>318.97667425416125</v>
      </c>
      <c r="W101" s="4"/>
      <c r="X101" s="852">
        <f>'Recycling - Case 3'!AM151</f>
        <v>0</v>
      </c>
      <c r="Y101" s="853">
        <f>Parameters!S271</f>
        <v>0.71500000000000008</v>
      </c>
      <c r="Z101" s="853">
        <f t="shared" si="63"/>
        <v>0.4</v>
      </c>
      <c r="AA101" s="854">
        <f t="shared" si="64"/>
        <v>0</v>
      </c>
      <c r="AB101" s="854">
        <f t="shared" si="65"/>
        <v>0</v>
      </c>
      <c r="AC101" s="855">
        <f t="shared" si="66"/>
        <v>0</v>
      </c>
      <c r="AD101" s="854">
        <f t="shared" si="67"/>
        <v>5655.9476208495289</v>
      </c>
      <c r="AE101" s="854">
        <f t="shared" si="68"/>
        <v>289.98663556631999</v>
      </c>
      <c r="AF101" s="856">
        <f t="shared" si="69"/>
        <v>193.32442371087998</v>
      </c>
      <c r="AG101" s="4"/>
      <c r="AH101" s="852">
        <f>'Recycling - Case 3'!AM191</f>
        <v>0</v>
      </c>
      <c r="AI101" s="853">
        <f>Parameters!S271</f>
        <v>0.71500000000000008</v>
      </c>
      <c r="AJ101" s="853">
        <f t="shared" si="70"/>
        <v>0.4</v>
      </c>
      <c r="AK101" s="854">
        <f t="shared" si="71"/>
        <v>0</v>
      </c>
      <c r="AL101" s="854">
        <f t="shared" si="72"/>
        <v>0</v>
      </c>
      <c r="AM101" s="855">
        <f t="shared" si="73"/>
        <v>0</v>
      </c>
      <c r="AN101" s="854">
        <f t="shared" si="74"/>
        <v>5655.9476208495289</v>
      </c>
      <c r="AO101" s="854">
        <f t="shared" si="75"/>
        <v>289.98663556631999</v>
      </c>
      <c r="AP101" s="856">
        <f t="shared" si="76"/>
        <v>193.32442371087998</v>
      </c>
      <c r="AQ101" s="4"/>
      <c r="AR101" s="850">
        <f>'Recycling - Case 3'!G111</f>
        <v>754.60959639171108</v>
      </c>
      <c r="AS101" s="846">
        <v>1</v>
      </c>
      <c r="AT101" s="846">
        <f t="shared" si="77"/>
        <v>0.05</v>
      </c>
      <c r="AU101" s="832">
        <f t="shared" si="78"/>
        <v>18.865239909792777</v>
      </c>
      <c r="AV101" s="832">
        <f t="shared" si="79"/>
        <v>18.865239909792777</v>
      </c>
      <c r="AW101" s="835">
        <f t="shared" si="80"/>
        <v>0</v>
      </c>
      <c r="AX101" s="832">
        <f t="shared" si="44"/>
        <v>222.47781713534783</v>
      </c>
      <c r="AY101" s="832">
        <f t="shared" si="49"/>
        <v>12.590698608828662</v>
      </c>
      <c r="AZ101" s="930">
        <f t="shared" si="47"/>
        <v>8.3937990725524418</v>
      </c>
      <c r="BA101" s="4"/>
      <c r="BB101" s="1055">
        <f t="shared" si="81"/>
        <v>318.97667425416125</v>
      </c>
      <c r="BC101" s="1056">
        <f t="shared" si="82"/>
        <v>193.32442371087998</v>
      </c>
      <c r="BD101" s="1082">
        <f t="shared" si="90"/>
        <v>8.3937990725524418</v>
      </c>
      <c r="BE101" s="1056">
        <f t="shared" si="54"/>
        <v>520.69489703759371</v>
      </c>
      <c r="BF101" s="167">
        <v>0</v>
      </c>
      <c r="BG101" s="1075">
        <f t="shared" si="83"/>
        <v>520.69489703759371</v>
      </c>
      <c r="BI101" s="1055">
        <f t="shared" si="84"/>
        <v>318.97667425416125</v>
      </c>
      <c r="BJ101" s="1056">
        <f t="shared" si="85"/>
        <v>193.32442371087998</v>
      </c>
      <c r="BK101" s="1082">
        <f t="shared" si="86"/>
        <v>8.3937990725524418</v>
      </c>
      <c r="BL101" s="1056">
        <f t="shared" si="55"/>
        <v>520.69489703759371</v>
      </c>
      <c r="BM101" s="167">
        <v>0</v>
      </c>
      <c r="BN101" s="1075">
        <f t="shared" si="87"/>
        <v>520.69489703759371</v>
      </c>
    </row>
    <row r="102" spans="1:66">
      <c r="A102" s="927">
        <f>'Input data'!A132</f>
        <v>2032</v>
      </c>
      <c r="B102" s="824">
        <f>'Input data'!B132</f>
        <v>67.215877817791679</v>
      </c>
      <c r="C102" s="824">
        <f>'Recycling - Case 3'!AK112/B102</f>
        <v>281.7471686507306</v>
      </c>
      <c r="D102" s="825">
        <f>'Recycling - Case 3'!AM112</f>
        <v>0.11769035986633153</v>
      </c>
      <c r="E102" s="826">
        <f>'Recycling - Case 3'!BE112</f>
        <v>0.21295264249390564</v>
      </c>
      <c r="F102" s="826">
        <f>'Recycling - Case 3'!BF112</f>
        <v>0.27008156216914803</v>
      </c>
      <c r="G102" s="826">
        <f>'Recycling - Case 3'!BG112</f>
        <v>5.5049035743412841E-2</v>
      </c>
      <c r="H102" s="826">
        <f>'Recycling - Case 3'!BH112</f>
        <v>0</v>
      </c>
      <c r="I102" s="826">
        <f>'Recycling - Case 3'!BI112</f>
        <v>0</v>
      </c>
      <c r="J102" s="826">
        <f>'Recycling - Case 3'!BJ112</f>
        <v>0</v>
      </c>
      <c r="K102" s="826">
        <f>'Recycling - Case 3'!BK112</f>
        <v>0.46191675959353351</v>
      </c>
      <c r="L102" s="827">
        <f t="shared" si="89"/>
        <v>1</v>
      </c>
      <c r="M102" s="4"/>
      <c r="N102" s="838">
        <f t="shared" si="56"/>
        <v>2228.8062963921584</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0.10797882310528059</v>
      </c>
      <c r="Q102" s="832">
        <f t="shared" si="57"/>
        <v>120.33194040703222</v>
      </c>
      <c r="R102" s="832">
        <f t="shared" si="58"/>
        <v>120.33194040703222</v>
      </c>
      <c r="S102" s="835">
        <f t="shared" si="59"/>
        <v>0</v>
      </c>
      <c r="T102" s="832">
        <f t="shared" si="60"/>
        <v>9128.6342949212285</v>
      </c>
      <c r="U102" s="832">
        <f t="shared" si="61"/>
        <v>461.86553820266158</v>
      </c>
      <c r="V102" s="839">
        <f t="shared" si="62"/>
        <v>307.91035880177441</v>
      </c>
      <c r="W102" s="4"/>
      <c r="X102" s="852">
        <f>'Recycling - Case 3'!AM152</f>
        <v>0</v>
      </c>
      <c r="Y102" s="853">
        <f>Parameters!S272</f>
        <v>0.71500000000000008</v>
      </c>
      <c r="Z102" s="853">
        <f t="shared" si="63"/>
        <v>0.4</v>
      </c>
      <c r="AA102" s="854">
        <f t="shared" si="64"/>
        <v>0</v>
      </c>
      <c r="AB102" s="854">
        <f t="shared" si="65"/>
        <v>0</v>
      </c>
      <c r="AC102" s="855">
        <f t="shared" si="66"/>
        <v>0</v>
      </c>
      <c r="AD102" s="854">
        <f t="shared" si="67"/>
        <v>5380.1038003868798</v>
      </c>
      <c r="AE102" s="854">
        <f t="shared" si="68"/>
        <v>275.84382046264886</v>
      </c>
      <c r="AF102" s="856">
        <f t="shared" si="69"/>
        <v>183.89588030843257</v>
      </c>
      <c r="AG102" s="4"/>
      <c r="AH102" s="852">
        <f>'Recycling - Case 3'!AM192</f>
        <v>0</v>
      </c>
      <c r="AI102" s="853">
        <f>Parameters!S272</f>
        <v>0.71500000000000008</v>
      </c>
      <c r="AJ102" s="853">
        <f t="shared" si="70"/>
        <v>0.4</v>
      </c>
      <c r="AK102" s="854">
        <f t="shared" si="71"/>
        <v>0</v>
      </c>
      <c r="AL102" s="854">
        <f t="shared" si="72"/>
        <v>0</v>
      </c>
      <c r="AM102" s="855">
        <f t="shared" si="73"/>
        <v>0</v>
      </c>
      <c r="AN102" s="854">
        <f t="shared" si="74"/>
        <v>5380.1038003868798</v>
      </c>
      <c r="AO102" s="854">
        <f t="shared" si="75"/>
        <v>275.84382046264886</v>
      </c>
      <c r="AP102" s="856">
        <f t="shared" si="76"/>
        <v>183.89588030843257</v>
      </c>
      <c r="AQ102" s="4"/>
      <c r="AR102" s="850">
        <f>'Recycling - Case 3'!G112</f>
        <v>761.19450706741986</v>
      </c>
      <c r="AS102" s="846">
        <v>1</v>
      </c>
      <c r="AT102" s="846">
        <f t="shared" si="77"/>
        <v>0.05</v>
      </c>
      <c r="AU102" s="832">
        <f t="shared" si="78"/>
        <v>19.029862676685497</v>
      </c>
      <c r="AV102" s="832">
        <f t="shared" si="79"/>
        <v>19.029862676685497</v>
      </c>
      <c r="AW102" s="835">
        <f t="shared" si="80"/>
        <v>0</v>
      </c>
      <c r="AX102" s="832">
        <f t="shared" si="44"/>
        <v>228.55158036399814</v>
      </c>
      <c r="AY102" s="832">
        <f t="shared" si="49"/>
        <v>12.956099448035204</v>
      </c>
      <c r="AZ102" s="930">
        <f t="shared" si="47"/>
        <v>8.6373996320234685</v>
      </c>
      <c r="BA102" s="4"/>
      <c r="BB102" s="1055">
        <f t="shared" si="81"/>
        <v>307.91035880177441</v>
      </c>
      <c r="BC102" s="1056">
        <f t="shared" si="82"/>
        <v>183.89588030843257</v>
      </c>
      <c r="BD102" s="1082">
        <f t="shared" si="90"/>
        <v>8.6373996320234685</v>
      </c>
      <c r="BE102" s="1056">
        <f t="shared" si="54"/>
        <v>500.44363874223046</v>
      </c>
      <c r="BF102" s="167">
        <v>0</v>
      </c>
      <c r="BG102" s="1075">
        <f t="shared" si="83"/>
        <v>500.44363874223046</v>
      </c>
      <c r="BI102" s="1055">
        <f t="shared" si="84"/>
        <v>307.91035880177441</v>
      </c>
      <c r="BJ102" s="1056">
        <f t="shared" si="85"/>
        <v>183.89588030843257</v>
      </c>
      <c r="BK102" s="1082">
        <f t="shared" si="86"/>
        <v>8.6373996320234685</v>
      </c>
      <c r="BL102" s="1056">
        <f t="shared" si="55"/>
        <v>500.44363874223046</v>
      </c>
      <c r="BM102" s="167">
        <v>0</v>
      </c>
      <c r="BN102" s="1075">
        <f t="shared" si="87"/>
        <v>500.44363874223046</v>
      </c>
    </row>
    <row r="103" spans="1:66">
      <c r="A103" s="927">
        <f>'Input data'!A133</f>
        <v>2033</v>
      </c>
      <c r="B103" s="824">
        <f>'Input data'!B133</f>
        <v>67.784781669940756</v>
      </c>
      <c r="C103" s="824">
        <f>'Recycling - Case 3'!AK113/B103</f>
        <v>280.51509892940925</v>
      </c>
      <c r="D103" s="825">
        <f>'Recycling - Case 3'!AM113</f>
        <v>0.11721518625138828</v>
      </c>
      <c r="E103" s="826">
        <f>'Recycling - Case 3'!BE113</f>
        <v>0.21362098806928778</v>
      </c>
      <c r="F103" s="826">
        <f>'Recycling - Case 3'!BF113</f>
        <v>0.27092920517068153</v>
      </c>
      <c r="G103" s="826">
        <f>'Recycling - Case 3'!BG113</f>
        <v>5.4887605896196658E-2</v>
      </c>
      <c r="H103" s="826">
        <f>'Recycling - Case 3'!BH113</f>
        <v>0</v>
      </c>
      <c r="I103" s="826">
        <f>'Recycling - Case 3'!BI113</f>
        <v>0</v>
      </c>
      <c r="J103" s="826">
        <f>'Recycling - Case 3'!BJ113</f>
        <v>0</v>
      </c>
      <c r="K103" s="826">
        <f>'Recycling - Case 3'!BK113</f>
        <v>0.4605622008638342</v>
      </c>
      <c r="L103" s="827">
        <f t="shared" si="89"/>
        <v>1.0000000000000002</v>
      </c>
      <c r="M103" s="4"/>
      <c r="N103" s="838">
        <f t="shared" si="56"/>
        <v>2228.8062963921584</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0.10818403160300816</v>
      </c>
      <c r="Q103" s="832">
        <f t="shared" si="57"/>
        <v>120.56062540293641</v>
      </c>
      <c r="R103" s="832">
        <f t="shared" si="58"/>
        <v>120.56062540293641</v>
      </c>
      <c r="S103" s="835">
        <f t="shared" si="59"/>
        <v>0</v>
      </c>
      <c r="T103" s="832">
        <f t="shared" si="60"/>
        <v>8803.9861722383393</v>
      </c>
      <c r="U103" s="832">
        <f t="shared" si="61"/>
        <v>445.20874808582704</v>
      </c>
      <c r="V103" s="839">
        <f t="shared" si="62"/>
        <v>296.80583205721803</v>
      </c>
      <c r="W103" s="4"/>
      <c r="X103" s="852">
        <f>'Recycling - Case 3'!AM153</f>
        <v>0</v>
      </c>
      <c r="Y103" s="853">
        <f>Parameters!S273</f>
        <v>0.71500000000000008</v>
      </c>
      <c r="Z103" s="853">
        <f t="shared" si="63"/>
        <v>0.4</v>
      </c>
      <c r="AA103" s="854">
        <f t="shared" si="64"/>
        <v>0</v>
      </c>
      <c r="AB103" s="854">
        <f t="shared" si="65"/>
        <v>0</v>
      </c>
      <c r="AC103" s="855">
        <f t="shared" si="66"/>
        <v>0</v>
      </c>
      <c r="AD103" s="854">
        <f t="shared" si="67"/>
        <v>5117.7130417961162</v>
      </c>
      <c r="AE103" s="854">
        <f t="shared" si="68"/>
        <v>262.39075859076377</v>
      </c>
      <c r="AF103" s="856">
        <f t="shared" si="69"/>
        <v>174.92717239384251</v>
      </c>
      <c r="AG103" s="4"/>
      <c r="AH103" s="852">
        <f>'Recycling - Case 3'!AM193</f>
        <v>0</v>
      </c>
      <c r="AI103" s="853">
        <f>Parameters!S273</f>
        <v>0.71500000000000008</v>
      </c>
      <c r="AJ103" s="853">
        <f t="shared" si="70"/>
        <v>0.4</v>
      </c>
      <c r="AK103" s="854">
        <f t="shared" si="71"/>
        <v>0</v>
      </c>
      <c r="AL103" s="854">
        <f t="shared" si="72"/>
        <v>0</v>
      </c>
      <c r="AM103" s="855">
        <f t="shared" si="73"/>
        <v>0</v>
      </c>
      <c r="AN103" s="854">
        <f t="shared" si="74"/>
        <v>5117.7130417961162</v>
      </c>
      <c r="AO103" s="854">
        <f t="shared" si="75"/>
        <v>262.39075859076377</v>
      </c>
      <c r="AP103" s="856">
        <f t="shared" si="76"/>
        <v>174.92717239384251</v>
      </c>
      <c r="AQ103" s="4"/>
      <c r="AR103" s="850">
        <f>'Recycling - Case 3'!G113</f>
        <v>767.63712898004701</v>
      </c>
      <c r="AS103" s="846">
        <v>1</v>
      </c>
      <c r="AT103" s="846">
        <f t="shared" si="77"/>
        <v>0.05</v>
      </c>
      <c r="AU103" s="832">
        <f t="shared" si="78"/>
        <v>19.190928224501178</v>
      </c>
      <c r="AV103" s="832">
        <f t="shared" si="79"/>
        <v>19.190928224501178</v>
      </c>
      <c r="AW103" s="835">
        <f t="shared" si="80"/>
        <v>0</v>
      </c>
      <c r="AX103" s="832">
        <f t="shared" si="44"/>
        <v>234.43270070594485</v>
      </c>
      <c r="AY103" s="832">
        <f t="shared" si="49"/>
        <v>13.309807882554493</v>
      </c>
      <c r="AZ103" s="930">
        <f t="shared" si="47"/>
        <v>8.8732052550363285</v>
      </c>
      <c r="BA103" s="4"/>
      <c r="BB103" s="1055">
        <f t="shared" si="81"/>
        <v>296.80583205721803</v>
      </c>
      <c r="BC103" s="1056">
        <f t="shared" si="82"/>
        <v>174.92717239384251</v>
      </c>
      <c r="BD103" s="1082">
        <f t="shared" si="90"/>
        <v>8.8732052550363285</v>
      </c>
      <c r="BE103" s="1056">
        <f t="shared" si="54"/>
        <v>480.60620970609688</v>
      </c>
      <c r="BF103" s="167">
        <v>0</v>
      </c>
      <c r="BG103" s="1075">
        <f t="shared" si="83"/>
        <v>480.60620970609688</v>
      </c>
      <c r="BI103" s="1055">
        <f t="shared" si="84"/>
        <v>296.80583205721803</v>
      </c>
      <c r="BJ103" s="1056">
        <f t="shared" si="85"/>
        <v>174.92717239384251</v>
      </c>
      <c r="BK103" s="1082">
        <f t="shared" si="86"/>
        <v>8.8732052550363285</v>
      </c>
      <c r="BL103" s="1056">
        <f t="shared" si="55"/>
        <v>480.60620970609688</v>
      </c>
      <c r="BM103" s="167">
        <v>0</v>
      </c>
      <c r="BN103" s="1075">
        <f t="shared" si="87"/>
        <v>480.60620970609688</v>
      </c>
    </row>
    <row r="104" spans="1:66">
      <c r="A104" s="927">
        <f>'Input data'!A134</f>
        <v>2034</v>
      </c>
      <c r="B104" s="824">
        <f>'Input data'!B134</f>
        <v>68.342055626742408</v>
      </c>
      <c r="C104" s="824">
        <f>'Recycling - Case 3'!AK114/B104</f>
        <v>279.32893305281084</v>
      </c>
      <c r="D104" s="825">
        <f>'Recycling - Case 3'!AM114</f>
        <v>0.11675308526817242</v>
      </c>
      <c r="E104" s="826">
        <f>'Recycling - Case 3'!BE114</f>
        <v>0.21426118579123435</v>
      </c>
      <c r="F104" s="826">
        <f>'Recycling - Case 3'!BF114</f>
        <v>0.27174114907903391</v>
      </c>
      <c r="G104" s="826">
        <f>'Recycling - Case 3'!BG114</f>
        <v>5.4732974782819556E-2</v>
      </c>
      <c r="H104" s="826">
        <f>'Recycling - Case 3'!BH114</f>
        <v>0</v>
      </c>
      <c r="I104" s="826">
        <f>'Recycling - Case 3'!BI114</f>
        <v>0</v>
      </c>
      <c r="J104" s="826">
        <f>'Recycling - Case 3'!BJ114</f>
        <v>0</v>
      </c>
      <c r="K104" s="826">
        <f>'Recycling - Case 3'!BK114</f>
        <v>0.45926469034691214</v>
      </c>
      <c r="L104" s="827">
        <f t="shared" si="89"/>
        <v>1</v>
      </c>
      <c r="M104" s="4"/>
      <c r="N104" s="838">
        <f t="shared" si="56"/>
        <v>2228.8062963921584</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0.10838059759761975</v>
      </c>
      <c r="Q104" s="832">
        <f t="shared" si="57"/>
        <v>120.77967916615987</v>
      </c>
      <c r="R104" s="832">
        <f t="shared" si="58"/>
        <v>120.77967916615987</v>
      </c>
      <c r="S104" s="835">
        <f t="shared" si="59"/>
        <v>0</v>
      </c>
      <c r="T104" s="832">
        <f t="shared" si="60"/>
        <v>8495.3903790966797</v>
      </c>
      <c r="U104" s="832">
        <f t="shared" si="61"/>
        <v>429.37547230781973</v>
      </c>
      <c r="V104" s="839">
        <f t="shared" si="62"/>
        <v>286.25031487187982</v>
      </c>
      <c r="W104" s="4"/>
      <c r="X104" s="852">
        <f>'Recycling - Case 3'!AM154</f>
        <v>0</v>
      </c>
      <c r="Y104" s="853">
        <f>Parameters!S274</f>
        <v>0.71500000000000008</v>
      </c>
      <c r="Z104" s="853">
        <f t="shared" si="63"/>
        <v>0.4</v>
      </c>
      <c r="AA104" s="854">
        <f t="shared" si="64"/>
        <v>0</v>
      </c>
      <c r="AB104" s="854">
        <f t="shared" si="65"/>
        <v>0</v>
      </c>
      <c r="AC104" s="855">
        <f t="shared" si="66"/>
        <v>0</v>
      </c>
      <c r="AD104" s="854">
        <f t="shared" si="67"/>
        <v>4868.1192315075177</v>
      </c>
      <c r="AE104" s="854">
        <f t="shared" si="68"/>
        <v>249.59381028859801</v>
      </c>
      <c r="AF104" s="856">
        <f t="shared" si="69"/>
        <v>166.39587352573201</v>
      </c>
      <c r="AG104" s="4"/>
      <c r="AH104" s="852">
        <f>'Recycling - Case 3'!AM194</f>
        <v>0</v>
      </c>
      <c r="AI104" s="853">
        <f>Parameters!S274</f>
        <v>0.71500000000000008</v>
      </c>
      <c r="AJ104" s="853">
        <f t="shared" si="70"/>
        <v>0.4</v>
      </c>
      <c r="AK104" s="854">
        <f t="shared" si="71"/>
        <v>0</v>
      </c>
      <c r="AL104" s="854">
        <f t="shared" si="72"/>
        <v>0</v>
      </c>
      <c r="AM104" s="855">
        <f t="shared" si="73"/>
        <v>0</v>
      </c>
      <c r="AN104" s="854">
        <f t="shared" si="74"/>
        <v>4868.1192315075177</v>
      </c>
      <c r="AO104" s="854">
        <f t="shared" si="75"/>
        <v>249.59381028859801</v>
      </c>
      <c r="AP104" s="856">
        <f t="shared" si="76"/>
        <v>166.39587352573201</v>
      </c>
      <c r="AQ104" s="4"/>
      <c r="AR104" s="850">
        <f>'Recycling - Case 3'!G114</f>
        <v>773.94804670694248</v>
      </c>
      <c r="AS104" s="846">
        <v>1</v>
      </c>
      <c r="AT104" s="846">
        <f t="shared" si="77"/>
        <v>0.05</v>
      </c>
      <c r="AU104" s="832">
        <f t="shared" si="78"/>
        <v>19.348701167673564</v>
      </c>
      <c r="AV104" s="832">
        <f t="shared" si="79"/>
        <v>19.348701167673564</v>
      </c>
      <c r="AW104" s="835">
        <f t="shared" si="80"/>
        <v>0</v>
      </c>
      <c r="AX104" s="832">
        <f t="shared" si="44"/>
        <v>240.12910420490348</v>
      </c>
      <c r="AY104" s="832">
        <f t="shared" si="49"/>
        <v>13.652297668714922</v>
      </c>
      <c r="AZ104" s="930">
        <f t="shared" si="47"/>
        <v>9.101531779143281</v>
      </c>
      <c r="BA104" s="4"/>
      <c r="BB104" s="1055">
        <f t="shared" si="81"/>
        <v>286.25031487187982</v>
      </c>
      <c r="BC104" s="1056">
        <f t="shared" si="82"/>
        <v>166.39587352573201</v>
      </c>
      <c r="BD104" s="1082">
        <f t="shared" si="90"/>
        <v>9.101531779143281</v>
      </c>
      <c r="BE104" s="1056">
        <f t="shared" si="54"/>
        <v>461.74772017675508</v>
      </c>
      <c r="BF104" s="167">
        <v>0</v>
      </c>
      <c r="BG104" s="1075">
        <f t="shared" si="83"/>
        <v>461.74772017675508</v>
      </c>
      <c r="BI104" s="1055">
        <f t="shared" si="84"/>
        <v>286.25031487187982</v>
      </c>
      <c r="BJ104" s="1056">
        <f t="shared" si="85"/>
        <v>166.39587352573201</v>
      </c>
      <c r="BK104" s="1082">
        <f t="shared" si="86"/>
        <v>9.101531779143281</v>
      </c>
      <c r="BL104" s="1056">
        <f t="shared" si="55"/>
        <v>461.74772017675508</v>
      </c>
      <c r="BM104" s="167">
        <v>0</v>
      </c>
      <c r="BN104" s="1075">
        <f t="shared" si="87"/>
        <v>461.74772017675508</v>
      </c>
    </row>
    <row r="105" spans="1:66">
      <c r="A105" s="927">
        <f>'Input data'!A135</f>
        <v>2035</v>
      </c>
      <c r="B105" s="824">
        <f>'Input data'!B135</f>
        <v>68.88733085860035</v>
      </c>
      <c r="C105" s="824">
        <f>'Recycling - Case 3'!AK115/B105</f>
        <v>278.18764521853552</v>
      </c>
      <c r="D105" s="825">
        <f>'Recycling - Case 3'!AM115</f>
        <v>0.11630412812110268</v>
      </c>
      <c r="E105" s="826">
        <f>'Recycling - Case 3'!BE115</f>
        <v>0.21487417432033118</v>
      </c>
      <c r="F105" s="826">
        <f>'Recycling - Case 3'!BF115</f>
        <v>0.27251858436976989</v>
      </c>
      <c r="G105" s="826">
        <f>'Recycling - Case 3'!BG115</f>
        <v>5.4584915682494392E-2</v>
      </c>
      <c r="H105" s="826">
        <f>'Recycling - Case 3'!BH115</f>
        <v>0</v>
      </c>
      <c r="I105" s="826">
        <f>'Recycling - Case 3'!BI115</f>
        <v>0</v>
      </c>
      <c r="J105" s="826">
        <f>'Recycling - Case 3'!BJ115</f>
        <v>0</v>
      </c>
      <c r="K105" s="826">
        <f>'Recycling - Case 3'!BK115</f>
        <v>0.45802232562740441</v>
      </c>
      <c r="L105" s="827">
        <f t="shared" si="89"/>
        <v>0.99999999999999989</v>
      </c>
      <c r="M105" s="4"/>
      <c r="N105" s="838">
        <f t="shared" si="56"/>
        <v>2228.8062963921584</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0.10856880929500141</v>
      </c>
      <c r="Q105" s="832">
        <f t="shared" si="57"/>
        <v>120.98942287424933</v>
      </c>
      <c r="R105" s="832">
        <f t="shared" si="58"/>
        <v>120.98942287424933</v>
      </c>
      <c r="S105" s="835">
        <f t="shared" si="59"/>
        <v>0</v>
      </c>
      <c r="T105" s="832">
        <f t="shared" si="60"/>
        <v>8202.0547240912856</v>
      </c>
      <c r="U105" s="832">
        <f t="shared" si="61"/>
        <v>414.32507787964238</v>
      </c>
      <c r="V105" s="839">
        <f t="shared" si="62"/>
        <v>276.21671858642827</v>
      </c>
      <c r="W105" s="4"/>
      <c r="X105" s="852">
        <f>'Recycling - Case 3'!AM155</f>
        <v>0</v>
      </c>
      <c r="Y105" s="853">
        <f>Parameters!S275</f>
        <v>0.71500000000000008</v>
      </c>
      <c r="Z105" s="853">
        <f t="shared" si="63"/>
        <v>0.4</v>
      </c>
      <c r="AA105" s="854">
        <f t="shared" si="64"/>
        <v>0</v>
      </c>
      <c r="AB105" s="854">
        <f t="shared" si="65"/>
        <v>0</v>
      </c>
      <c r="AC105" s="855">
        <f t="shared" si="66"/>
        <v>0</v>
      </c>
      <c r="AD105" s="854">
        <f t="shared" si="67"/>
        <v>4630.6982549877539</v>
      </c>
      <c r="AE105" s="854">
        <f t="shared" si="68"/>
        <v>237.42097651976346</v>
      </c>
      <c r="AF105" s="856">
        <f t="shared" si="69"/>
        <v>158.28065101317563</v>
      </c>
      <c r="AG105" s="4"/>
      <c r="AH105" s="852">
        <f>'Recycling - Case 3'!AM195</f>
        <v>0</v>
      </c>
      <c r="AI105" s="853">
        <f>Parameters!S275</f>
        <v>0.71500000000000008</v>
      </c>
      <c r="AJ105" s="853">
        <f t="shared" si="70"/>
        <v>0.4</v>
      </c>
      <c r="AK105" s="854">
        <f t="shared" si="71"/>
        <v>0</v>
      </c>
      <c r="AL105" s="854">
        <f t="shared" si="72"/>
        <v>0</v>
      </c>
      <c r="AM105" s="855">
        <f t="shared" si="73"/>
        <v>0</v>
      </c>
      <c r="AN105" s="854">
        <f t="shared" si="74"/>
        <v>4630.6982549877539</v>
      </c>
      <c r="AO105" s="854">
        <f t="shared" si="75"/>
        <v>237.42097651976346</v>
      </c>
      <c r="AP105" s="856">
        <f t="shared" si="76"/>
        <v>158.28065101317563</v>
      </c>
      <c r="AQ105" s="4"/>
      <c r="AR105" s="850">
        <f>'Recycling - Case 3'!G115</f>
        <v>780.12308339180618</v>
      </c>
      <c r="AS105" s="846">
        <v>1</v>
      </c>
      <c r="AT105" s="846">
        <f t="shared" si="77"/>
        <v>0.05</v>
      </c>
      <c r="AU105" s="832">
        <f t="shared" si="78"/>
        <v>19.503077084795155</v>
      </c>
      <c r="AV105" s="832">
        <f t="shared" si="79"/>
        <v>19.503077084795155</v>
      </c>
      <c r="AW105" s="835">
        <f t="shared" si="80"/>
        <v>0</v>
      </c>
      <c r="AX105" s="832">
        <f t="shared" si="44"/>
        <v>245.64815090632956</v>
      </c>
      <c r="AY105" s="832">
        <f t="shared" si="49"/>
        <v>13.984030383369097</v>
      </c>
      <c r="AZ105" s="930">
        <f t="shared" si="47"/>
        <v>9.3226869222460653</v>
      </c>
      <c r="BA105" s="4"/>
      <c r="BB105" s="1055">
        <f t="shared" si="81"/>
        <v>276.21671858642827</v>
      </c>
      <c r="BC105" s="1056">
        <f t="shared" si="82"/>
        <v>158.28065101317563</v>
      </c>
      <c r="BD105" s="1082">
        <f t="shared" si="90"/>
        <v>9.3226869222460653</v>
      </c>
      <c r="BE105" s="1056">
        <f t="shared" si="54"/>
        <v>443.82005652184995</v>
      </c>
      <c r="BF105" s="167">
        <v>0</v>
      </c>
      <c r="BG105" s="1075">
        <f t="shared" si="83"/>
        <v>443.82005652184995</v>
      </c>
      <c r="BI105" s="1055">
        <f t="shared" si="84"/>
        <v>276.21671858642827</v>
      </c>
      <c r="BJ105" s="1056">
        <f t="shared" si="85"/>
        <v>158.28065101317563</v>
      </c>
      <c r="BK105" s="1082">
        <f t="shared" si="86"/>
        <v>9.3226869222460653</v>
      </c>
      <c r="BL105" s="1056">
        <f t="shared" si="55"/>
        <v>443.82005652184995</v>
      </c>
      <c r="BM105" s="167">
        <v>0</v>
      </c>
      <c r="BN105" s="1075">
        <f t="shared" si="87"/>
        <v>443.82005652184995</v>
      </c>
    </row>
    <row r="106" spans="1:66">
      <c r="A106" s="927">
        <f>'Input data'!A136</f>
        <v>2036</v>
      </c>
      <c r="B106" s="824">
        <f>'Input data'!B136</f>
        <v>69.420244147098416</v>
      </c>
      <c r="C106" s="824">
        <f>'Recycling - Case 3'!AK116/B106</f>
        <v>277.09025591010533</v>
      </c>
      <c r="D106" s="825">
        <f>'Recycling - Case 3'!AM116</f>
        <v>0.11586838013712665</v>
      </c>
      <c r="E106" s="826">
        <f>'Recycling - Case 3'!BE116</f>
        <v>0.21546083872155694</v>
      </c>
      <c r="F106" s="826">
        <f>'Recycling - Case 3'!BF116</f>
        <v>0.27326263354472491</v>
      </c>
      <c r="G106" s="826">
        <f>'Recycling - Case 3'!BG116</f>
        <v>5.444321481972908E-2</v>
      </c>
      <c r="H106" s="826">
        <f>'Recycling - Case 3'!BH116</f>
        <v>0</v>
      </c>
      <c r="I106" s="826">
        <f>'Recycling - Case 3'!BI116</f>
        <v>0</v>
      </c>
      <c r="J106" s="826">
        <f>'Recycling - Case 3'!BJ116</f>
        <v>0</v>
      </c>
      <c r="K106" s="826">
        <f>'Recycling - Case 3'!BK116</f>
        <v>0.45683331291398949</v>
      </c>
      <c r="L106" s="827">
        <f t="shared" si="89"/>
        <v>1.0000000000000004</v>
      </c>
      <c r="M106" s="4"/>
      <c r="N106" s="838">
        <f t="shared" si="56"/>
        <v>2228.8062963921584</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0.10874893844507016</v>
      </c>
      <c r="Q106" s="832">
        <f t="shared" si="57"/>
        <v>121.19015936616782</v>
      </c>
      <c r="R106" s="832">
        <f t="shared" si="58"/>
        <v>121.19015936616782</v>
      </c>
      <c r="S106" s="835">
        <f t="shared" si="59"/>
        <v>0</v>
      </c>
      <c r="T106" s="832">
        <f t="shared" si="60"/>
        <v>7923.2259542868842</v>
      </c>
      <c r="U106" s="832">
        <f t="shared" si="61"/>
        <v>400.01892917056932</v>
      </c>
      <c r="V106" s="839">
        <f t="shared" si="62"/>
        <v>266.67928611371286</v>
      </c>
      <c r="W106" s="4"/>
      <c r="X106" s="852">
        <f>'Recycling - Case 3'!AM156</f>
        <v>0</v>
      </c>
      <c r="Y106" s="853">
        <f>Parameters!S276</f>
        <v>0.71500000000000008</v>
      </c>
      <c r="Z106" s="853">
        <f t="shared" si="63"/>
        <v>0.4</v>
      </c>
      <c r="AA106" s="854">
        <f t="shared" si="64"/>
        <v>0</v>
      </c>
      <c r="AB106" s="854">
        <f t="shared" si="65"/>
        <v>0</v>
      </c>
      <c r="AC106" s="855">
        <f t="shared" si="66"/>
        <v>0</v>
      </c>
      <c r="AD106" s="854">
        <f t="shared" si="67"/>
        <v>4404.8564361284616</v>
      </c>
      <c r="AE106" s="854">
        <f t="shared" si="68"/>
        <v>225.84181885929212</v>
      </c>
      <c r="AF106" s="856">
        <f t="shared" si="69"/>
        <v>150.56121257286142</v>
      </c>
      <c r="AG106" s="4"/>
      <c r="AH106" s="852">
        <f>'Recycling - Case 3'!AM196</f>
        <v>0</v>
      </c>
      <c r="AI106" s="853">
        <f>Parameters!S276</f>
        <v>0.71500000000000008</v>
      </c>
      <c r="AJ106" s="853">
        <f t="shared" si="70"/>
        <v>0.4</v>
      </c>
      <c r="AK106" s="854">
        <f t="shared" si="71"/>
        <v>0</v>
      </c>
      <c r="AL106" s="854">
        <f t="shared" si="72"/>
        <v>0</v>
      </c>
      <c r="AM106" s="855">
        <f t="shared" si="73"/>
        <v>0</v>
      </c>
      <c r="AN106" s="854">
        <f t="shared" si="74"/>
        <v>4404.8564361284616</v>
      </c>
      <c r="AO106" s="854">
        <f t="shared" si="75"/>
        <v>225.84181885929212</v>
      </c>
      <c r="AP106" s="856">
        <f t="shared" si="76"/>
        <v>150.56121257286142</v>
      </c>
      <c r="AQ106" s="4"/>
      <c r="AR106" s="850">
        <f>'Recycling - Case 3'!G116</f>
        <v>786.15812572283994</v>
      </c>
      <c r="AS106" s="846">
        <v>1</v>
      </c>
      <c r="AT106" s="846">
        <f t="shared" si="77"/>
        <v>0.05</v>
      </c>
      <c r="AU106" s="832">
        <f t="shared" si="78"/>
        <v>19.653953143071</v>
      </c>
      <c r="AV106" s="832">
        <f t="shared" si="79"/>
        <v>19.653953143071</v>
      </c>
      <c r="AW106" s="835">
        <f t="shared" si="80"/>
        <v>0</v>
      </c>
      <c r="AX106" s="832">
        <f t="shared" si="44"/>
        <v>250.9966694072036</v>
      </c>
      <c r="AY106" s="832">
        <f t="shared" si="49"/>
        <v>14.305434642196957</v>
      </c>
      <c r="AZ106" s="930">
        <f t="shared" si="47"/>
        <v>9.5369564281313046</v>
      </c>
      <c r="BA106" s="4"/>
      <c r="BB106" s="1055">
        <f t="shared" si="81"/>
        <v>266.67928611371286</v>
      </c>
      <c r="BC106" s="1056">
        <f t="shared" si="82"/>
        <v>150.56121257286142</v>
      </c>
      <c r="BD106" s="1082">
        <f t="shared" si="90"/>
        <v>9.5369564281313046</v>
      </c>
      <c r="BE106" s="1056">
        <f t="shared" si="54"/>
        <v>426.77745511470556</v>
      </c>
      <c r="BF106" s="167">
        <v>0</v>
      </c>
      <c r="BG106" s="1075">
        <f t="shared" si="83"/>
        <v>426.77745511470556</v>
      </c>
      <c r="BI106" s="1055">
        <f t="shared" si="84"/>
        <v>266.67928611371286</v>
      </c>
      <c r="BJ106" s="1056">
        <f t="shared" si="85"/>
        <v>150.56121257286142</v>
      </c>
      <c r="BK106" s="1082">
        <f t="shared" si="86"/>
        <v>9.5369564281313046</v>
      </c>
      <c r="BL106" s="1056">
        <f t="shared" si="55"/>
        <v>426.77745511470556</v>
      </c>
      <c r="BM106" s="167">
        <v>0</v>
      </c>
      <c r="BN106" s="1075">
        <f t="shared" si="87"/>
        <v>426.77745511470556</v>
      </c>
    </row>
    <row r="107" spans="1:66">
      <c r="A107" s="927">
        <f>'Input data'!A137</f>
        <v>2037</v>
      </c>
      <c r="B107" s="824">
        <f>'Input data'!B137</f>
        <v>69.940438284968707</v>
      </c>
      <c r="C107" s="824">
        <f>'Recycling - Case 3'!AK117/B107</f>
        <v>276.0358301984125</v>
      </c>
      <c r="D107" s="825">
        <f>'Recycling - Case 3'!AM117</f>
        <v>0.11544590115513144</v>
      </c>
      <c r="E107" s="826">
        <f>'Recycling - Case 3'!BE117</f>
        <v>0.21602201354651107</v>
      </c>
      <c r="F107" s="826">
        <f>'Recycling - Case 3'!BF117</f>
        <v>0.2739743550411039</v>
      </c>
      <c r="G107" s="826">
        <f>'Recycling - Case 3'!BG117</f>
        <v>5.430767061985594E-2</v>
      </c>
      <c r="H107" s="826">
        <f>'Recycling - Case 3'!BH117</f>
        <v>0</v>
      </c>
      <c r="I107" s="826">
        <f>'Recycling - Case 3'!BI117</f>
        <v>0</v>
      </c>
      <c r="J107" s="826">
        <f>'Recycling - Case 3'!BJ117</f>
        <v>0</v>
      </c>
      <c r="K107" s="826">
        <f>'Recycling - Case 3'!BK117</f>
        <v>0.45569596079252928</v>
      </c>
      <c r="L107" s="827">
        <f t="shared" si="89"/>
        <v>1.0000000000000002</v>
      </c>
      <c r="M107" s="4"/>
      <c r="N107" s="838">
        <f t="shared" si="56"/>
        <v>2228.8062963921584</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0.10892124128813982</v>
      </c>
      <c r="Q107" s="832">
        <f t="shared" si="57"/>
        <v>121.38217419692778</v>
      </c>
      <c r="R107" s="832">
        <f t="shared" si="58"/>
        <v>121.38217419692778</v>
      </c>
      <c r="S107" s="835">
        <f t="shared" si="59"/>
        <v>0</v>
      </c>
      <c r="T107" s="832">
        <f t="shared" si="60"/>
        <v>7658.1878388823616</v>
      </c>
      <c r="U107" s="832">
        <f t="shared" si="61"/>
        <v>386.42028960145075</v>
      </c>
      <c r="V107" s="839">
        <f t="shared" si="62"/>
        <v>257.61352640096715</v>
      </c>
      <c r="W107" s="4"/>
      <c r="X107" s="852">
        <f>'Recycling - Case 3'!AM157</f>
        <v>78.961674767334173</v>
      </c>
      <c r="Y107" s="853">
        <f>Parameters!S277</f>
        <v>0.71500000000000008</v>
      </c>
      <c r="Z107" s="853">
        <f t="shared" si="63"/>
        <v>0.4</v>
      </c>
      <c r="AA107" s="854">
        <f t="shared" si="64"/>
        <v>11.291519491728788</v>
      </c>
      <c r="AB107" s="854">
        <f t="shared" si="65"/>
        <v>11.291519491728788</v>
      </c>
      <c r="AC107" s="855">
        <f t="shared" si="66"/>
        <v>0</v>
      </c>
      <c r="AD107" s="854">
        <f t="shared" si="67"/>
        <v>4201.320572238471</v>
      </c>
      <c r="AE107" s="854">
        <f t="shared" si="68"/>
        <v>214.82738338171893</v>
      </c>
      <c r="AF107" s="856">
        <f t="shared" si="69"/>
        <v>143.21825558781262</v>
      </c>
      <c r="AG107" s="4"/>
      <c r="AH107" s="852">
        <f>'Recycling - Case 3'!AM197</f>
        <v>78.961674767334173</v>
      </c>
      <c r="AI107" s="853">
        <f>Parameters!S277</f>
        <v>0.71500000000000008</v>
      </c>
      <c r="AJ107" s="853">
        <f t="shared" si="70"/>
        <v>0.4</v>
      </c>
      <c r="AK107" s="854">
        <f t="shared" si="71"/>
        <v>11.291519491728788</v>
      </c>
      <c r="AL107" s="854">
        <f t="shared" si="72"/>
        <v>11.291519491728788</v>
      </c>
      <c r="AM107" s="855">
        <f t="shared" si="73"/>
        <v>0</v>
      </c>
      <c r="AN107" s="854">
        <f t="shared" si="74"/>
        <v>4201.320572238471</v>
      </c>
      <c r="AO107" s="854">
        <f t="shared" si="75"/>
        <v>214.82738338171893</v>
      </c>
      <c r="AP107" s="856">
        <f t="shared" si="76"/>
        <v>143.21825558781262</v>
      </c>
      <c r="AQ107" s="4"/>
      <c r="AR107" s="850">
        <f>'Recycling - Case 3'!G117</f>
        <v>792.04912846223624</v>
      </c>
      <c r="AS107" s="846">
        <v>1</v>
      </c>
      <c r="AT107" s="846">
        <f t="shared" si="77"/>
        <v>0.05</v>
      </c>
      <c r="AU107" s="832">
        <f t="shared" si="78"/>
        <v>19.801228211555909</v>
      </c>
      <c r="AV107" s="832">
        <f t="shared" si="79"/>
        <v>19.801228211555909</v>
      </c>
      <c r="AW107" s="835">
        <f t="shared" si="80"/>
        <v>0</v>
      </c>
      <c r="AX107" s="832">
        <f t="shared" si="44"/>
        <v>256.18098950703086</v>
      </c>
      <c r="AY107" s="832">
        <f t="shared" si="49"/>
        <v>14.616908111728632</v>
      </c>
      <c r="AZ107" s="930">
        <f t="shared" si="47"/>
        <v>9.7446054078190887</v>
      </c>
      <c r="BA107" s="4"/>
      <c r="BB107" s="1055">
        <f t="shared" si="81"/>
        <v>257.61352640096715</v>
      </c>
      <c r="BC107" s="1056">
        <f t="shared" si="82"/>
        <v>143.21825558781262</v>
      </c>
      <c r="BD107" s="1082">
        <f t="shared" si="90"/>
        <v>9.7446054078190887</v>
      </c>
      <c r="BE107" s="1056">
        <f t="shared" si="54"/>
        <v>410.57638739659888</v>
      </c>
      <c r="BF107" s="167">
        <v>0</v>
      </c>
      <c r="BG107" s="1075">
        <f t="shared" si="83"/>
        <v>410.57638739659888</v>
      </c>
      <c r="BI107" s="1055">
        <f t="shared" si="84"/>
        <v>257.61352640096715</v>
      </c>
      <c r="BJ107" s="1056">
        <f t="shared" si="85"/>
        <v>143.21825558781262</v>
      </c>
      <c r="BK107" s="1082">
        <f t="shared" si="86"/>
        <v>9.7446054078190887</v>
      </c>
      <c r="BL107" s="1056">
        <f t="shared" si="55"/>
        <v>410.57638739659888</v>
      </c>
      <c r="BM107" s="167">
        <v>0</v>
      </c>
      <c r="BN107" s="1075">
        <f t="shared" si="87"/>
        <v>410.57638739659888</v>
      </c>
    </row>
    <row r="108" spans="1:66">
      <c r="A108" s="927">
        <f>'Input data'!A138</f>
        <v>2038</v>
      </c>
      <c r="B108" s="824">
        <f>'Input data'!B138</f>
        <v>70.447562472153166</v>
      </c>
      <c r="C108" s="824">
        <f>'Recycling - Case 3'!AK118/B108</f>
        <v>275.02347614301084</v>
      </c>
      <c r="D108" s="825">
        <f>'Recycling - Case 3'!AM118</f>
        <v>0.11503674589633903</v>
      </c>
      <c r="E108" s="826">
        <f>'Recycling - Case 3'!BE118</f>
        <v>0.2165584856814364</v>
      </c>
      <c r="F108" s="826">
        <f>'Recycling - Case 3'!BF118</f>
        <v>0.27465474684354413</v>
      </c>
      <c r="G108" s="826">
        <f>'Recycling - Case 3'!BG118</f>
        <v>5.4178093021130566E-2</v>
      </c>
      <c r="H108" s="826">
        <f>'Recycling - Case 3'!BH118</f>
        <v>0</v>
      </c>
      <c r="I108" s="826">
        <f>'Recycling - Case 3'!BI118</f>
        <v>0</v>
      </c>
      <c r="J108" s="826">
        <f>'Recycling - Case 3'!BJ118</f>
        <v>0</v>
      </c>
      <c r="K108" s="826">
        <f>'Recycling - Case 3'!BK118</f>
        <v>0.45460867445388897</v>
      </c>
      <c r="L108" s="827">
        <f t="shared" si="89"/>
        <v>1</v>
      </c>
      <c r="M108" s="4"/>
      <c r="N108" s="838">
        <f t="shared" si="56"/>
        <v>2228.8062963921584</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0.1090859594293765</v>
      </c>
      <c r="Q108" s="832">
        <f t="shared" si="57"/>
        <v>121.56573661208695</v>
      </c>
      <c r="R108" s="832">
        <f t="shared" si="58"/>
        <v>121.56573661208695</v>
      </c>
      <c r="S108" s="835">
        <f t="shared" si="59"/>
        <v>0</v>
      </c>
      <c r="T108" s="832">
        <f t="shared" si="60"/>
        <v>7406.2593473105226</v>
      </c>
      <c r="U108" s="832">
        <f t="shared" si="61"/>
        <v>373.494228183926</v>
      </c>
      <c r="V108" s="839">
        <f t="shared" si="62"/>
        <v>248.99615212261733</v>
      </c>
      <c r="W108" s="4"/>
      <c r="X108" s="852">
        <f>'Recycling - Case 3'!AM158</f>
        <v>185.0965042386533</v>
      </c>
      <c r="Y108" s="853">
        <f>Parameters!S278</f>
        <v>0.71500000000000008</v>
      </c>
      <c r="Z108" s="853">
        <f t="shared" si="63"/>
        <v>0.4</v>
      </c>
      <c r="AA108" s="854">
        <f t="shared" si="64"/>
        <v>26.468800106127425</v>
      </c>
      <c r="AB108" s="854">
        <f t="shared" si="65"/>
        <v>26.468800106127425</v>
      </c>
      <c r="AC108" s="855">
        <f t="shared" si="66"/>
        <v>0</v>
      </c>
      <c r="AD108" s="854">
        <f t="shared" si="67"/>
        <v>4022.8885501795385</v>
      </c>
      <c r="AE108" s="854">
        <f t="shared" si="68"/>
        <v>204.90082216505974</v>
      </c>
      <c r="AF108" s="856">
        <f t="shared" si="69"/>
        <v>136.60054811003982</v>
      </c>
      <c r="AG108" s="4"/>
      <c r="AH108" s="852">
        <f>'Recycling - Case 3'!AM198</f>
        <v>185.0965042386533</v>
      </c>
      <c r="AI108" s="853">
        <f>Parameters!S278</f>
        <v>0.71500000000000008</v>
      </c>
      <c r="AJ108" s="853">
        <f t="shared" si="70"/>
        <v>0.4</v>
      </c>
      <c r="AK108" s="854">
        <f t="shared" si="71"/>
        <v>26.468800106127425</v>
      </c>
      <c r="AL108" s="854">
        <f t="shared" si="72"/>
        <v>26.468800106127425</v>
      </c>
      <c r="AM108" s="855">
        <f t="shared" si="73"/>
        <v>0</v>
      </c>
      <c r="AN108" s="854">
        <f t="shared" si="74"/>
        <v>4022.8885501795385</v>
      </c>
      <c r="AO108" s="854">
        <f t="shared" si="75"/>
        <v>204.90082216505974</v>
      </c>
      <c r="AP108" s="856">
        <f t="shared" si="76"/>
        <v>136.60054811003982</v>
      </c>
      <c r="AQ108" s="4"/>
      <c r="AR108" s="850">
        <f>'Recycling - Case 3'!G118</f>
        <v>797.79211893142644</v>
      </c>
      <c r="AS108" s="846">
        <v>1</v>
      </c>
      <c r="AT108" s="846">
        <f t="shared" si="77"/>
        <v>0.05</v>
      </c>
      <c r="AU108" s="832">
        <f t="shared" si="78"/>
        <v>19.944802973285661</v>
      </c>
      <c r="AV108" s="832">
        <f t="shared" si="79"/>
        <v>19.944802973285661</v>
      </c>
      <c r="AW108" s="835">
        <f t="shared" si="80"/>
        <v>0</v>
      </c>
      <c r="AX108" s="832">
        <f t="shared" si="44"/>
        <v>261.20697306952587</v>
      </c>
      <c r="AY108" s="832">
        <f t="shared" si="49"/>
        <v>14.918819410790627</v>
      </c>
      <c r="AZ108" s="930">
        <f t="shared" si="47"/>
        <v>9.945879607193751</v>
      </c>
      <c r="BA108" s="4"/>
      <c r="BB108" s="1055">
        <f t="shared" si="81"/>
        <v>248.99615212261733</v>
      </c>
      <c r="BC108" s="1056">
        <f t="shared" si="82"/>
        <v>136.60054811003982</v>
      </c>
      <c r="BD108" s="1082">
        <f t="shared" si="90"/>
        <v>9.945879607193751</v>
      </c>
      <c r="BE108" s="1056">
        <f t="shared" si="54"/>
        <v>395.54257983985093</v>
      </c>
      <c r="BF108" s="167">
        <v>0</v>
      </c>
      <c r="BG108" s="1075">
        <f t="shared" si="83"/>
        <v>395.54257983985093</v>
      </c>
      <c r="BI108" s="1055">
        <f t="shared" si="84"/>
        <v>248.99615212261733</v>
      </c>
      <c r="BJ108" s="1056">
        <f t="shared" si="85"/>
        <v>136.60054811003982</v>
      </c>
      <c r="BK108" s="1082">
        <f t="shared" si="86"/>
        <v>9.945879607193751</v>
      </c>
      <c r="BL108" s="1056">
        <f t="shared" si="55"/>
        <v>395.54257983985093</v>
      </c>
      <c r="BM108" s="167">
        <v>0</v>
      </c>
      <c r="BN108" s="1075">
        <f t="shared" si="87"/>
        <v>395.54257983985093</v>
      </c>
    </row>
    <row r="109" spans="1:66">
      <c r="A109" s="927">
        <f>'Input data'!A139</f>
        <v>2039</v>
      </c>
      <c r="B109" s="824">
        <f>'Input data'!B139</f>
        <v>70.942722252264574</v>
      </c>
      <c r="C109" s="824">
        <f>'Recycling - Case 3'!AK119/B109</f>
        <v>274.04951268746902</v>
      </c>
      <c r="D109" s="825">
        <f>'Recycling - Case 3'!AM119</f>
        <v>0.11463980598078129</v>
      </c>
      <c r="E109" s="826">
        <f>'Recycling - Case 3'!BE119</f>
        <v>0.21707248779870661</v>
      </c>
      <c r="F109" s="826">
        <f>'Recycling - Case 3'!BF119</f>
        <v>0.27530664058463516</v>
      </c>
      <c r="G109" s="826">
        <f>'Recycling - Case 3'!BG119</f>
        <v>5.4053942751695054E-2</v>
      </c>
      <c r="H109" s="826">
        <f>'Recycling - Case 3'!BH119</f>
        <v>0</v>
      </c>
      <c r="I109" s="826">
        <f>'Recycling - Case 3'!BI119</f>
        <v>0</v>
      </c>
      <c r="J109" s="826">
        <f>'Recycling - Case 3'!BJ119</f>
        <v>0</v>
      </c>
      <c r="K109" s="826">
        <f>'Recycling - Case 3'!BK119</f>
        <v>0.4535669288649633</v>
      </c>
      <c r="L109" s="827">
        <f t="shared" si="89"/>
        <v>1</v>
      </c>
      <c r="M109" s="4"/>
      <c r="N109" s="838">
        <f t="shared" si="56"/>
        <v>2228.8062963921584</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0.10924377838741106</v>
      </c>
      <c r="Q109" s="832">
        <f t="shared" si="57"/>
        <v>121.74161055576569</v>
      </c>
      <c r="R109" s="832">
        <f t="shared" si="58"/>
        <v>121.74161055576569</v>
      </c>
      <c r="S109" s="835">
        <f t="shared" si="59"/>
        <v>0</v>
      </c>
      <c r="T109" s="832">
        <f t="shared" si="60"/>
        <v>7166.7934272009879</v>
      </c>
      <c r="U109" s="832">
        <f t="shared" si="61"/>
        <v>361.2075306653004</v>
      </c>
      <c r="V109" s="839">
        <f t="shared" si="62"/>
        <v>240.80502044353361</v>
      </c>
      <c r="W109" s="4"/>
      <c r="X109" s="852">
        <f>'Recycling - Case 3'!AM159</f>
        <v>294.45186544237362</v>
      </c>
      <c r="Y109" s="853">
        <f>Parameters!S279</f>
        <v>0.71500000000000008</v>
      </c>
      <c r="Z109" s="853">
        <f t="shared" si="63"/>
        <v>0.4</v>
      </c>
      <c r="AA109" s="854">
        <f t="shared" si="64"/>
        <v>42.106616758259435</v>
      </c>
      <c r="AB109" s="854">
        <f t="shared" si="65"/>
        <v>42.106616758259435</v>
      </c>
      <c r="AC109" s="855">
        <f t="shared" si="66"/>
        <v>0</v>
      </c>
      <c r="AD109" s="854">
        <f t="shared" si="67"/>
        <v>3868.7965771760537</v>
      </c>
      <c r="AE109" s="854">
        <f t="shared" si="68"/>
        <v>196.1985897617443</v>
      </c>
      <c r="AF109" s="856">
        <f t="shared" si="69"/>
        <v>130.79905984116286</v>
      </c>
      <c r="AG109" s="4"/>
      <c r="AH109" s="852">
        <f>'Recycling - Case 3'!AM199</f>
        <v>294.45186544237362</v>
      </c>
      <c r="AI109" s="853">
        <f>Parameters!S279</f>
        <v>0.71500000000000008</v>
      </c>
      <c r="AJ109" s="853">
        <f t="shared" si="70"/>
        <v>0.4</v>
      </c>
      <c r="AK109" s="854">
        <f t="shared" si="71"/>
        <v>42.106616758259435</v>
      </c>
      <c r="AL109" s="854">
        <f t="shared" si="72"/>
        <v>42.106616758259435</v>
      </c>
      <c r="AM109" s="855">
        <f t="shared" si="73"/>
        <v>0</v>
      </c>
      <c r="AN109" s="854">
        <f t="shared" si="74"/>
        <v>3868.7965771760537</v>
      </c>
      <c r="AO109" s="854">
        <f t="shared" si="75"/>
        <v>196.1985897617443</v>
      </c>
      <c r="AP109" s="856">
        <f t="shared" si="76"/>
        <v>130.79905984116286</v>
      </c>
      <c r="AQ109" s="4"/>
      <c r="AR109" s="850">
        <f>'Recycling - Case 3'!G119</f>
        <v>803.3996169955484</v>
      </c>
      <c r="AS109" s="846">
        <v>1</v>
      </c>
      <c r="AT109" s="846">
        <f t="shared" si="77"/>
        <v>0.05</v>
      </c>
      <c r="AU109" s="832">
        <f t="shared" si="78"/>
        <v>20.084990424888712</v>
      </c>
      <c r="AV109" s="832">
        <f t="shared" si="79"/>
        <v>20.084990424888712</v>
      </c>
      <c r="AW109" s="835">
        <f t="shared" si="80"/>
        <v>0</v>
      </c>
      <c r="AX109" s="832">
        <f t="shared" si="44"/>
        <v>266.08045358666419</v>
      </c>
      <c r="AY109" s="832">
        <f t="shared" si="49"/>
        <v>15.211509907750424</v>
      </c>
      <c r="AZ109" s="930">
        <f t="shared" si="47"/>
        <v>10.141006605166949</v>
      </c>
      <c r="BA109" s="4"/>
      <c r="BB109" s="1055">
        <f t="shared" si="81"/>
        <v>240.80502044353361</v>
      </c>
      <c r="BC109" s="1056">
        <f t="shared" si="82"/>
        <v>130.79905984116286</v>
      </c>
      <c r="BD109" s="1082">
        <f t="shared" si="90"/>
        <v>10.141006605166949</v>
      </c>
      <c r="BE109" s="1056">
        <f t="shared" si="54"/>
        <v>381.74508688986339</v>
      </c>
      <c r="BF109" s="167">
        <v>0</v>
      </c>
      <c r="BG109" s="1075">
        <f t="shared" si="83"/>
        <v>381.74508688986339</v>
      </c>
      <c r="BI109" s="1055">
        <f t="shared" si="84"/>
        <v>240.80502044353361</v>
      </c>
      <c r="BJ109" s="1056">
        <f t="shared" si="85"/>
        <v>130.79905984116286</v>
      </c>
      <c r="BK109" s="1082">
        <f t="shared" si="86"/>
        <v>10.141006605166949</v>
      </c>
      <c r="BL109" s="1056">
        <f t="shared" si="55"/>
        <v>381.74508688986339</v>
      </c>
      <c r="BM109" s="167">
        <v>0</v>
      </c>
      <c r="BN109" s="1075">
        <f t="shared" si="87"/>
        <v>381.74508688986339</v>
      </c>
    </row>
    <row r="110" spans="1:66">
      <c r="A110" s="927">
        <f>'Input data'!A140</f>
        <v>2040</v>
      </c>
      <c r="B110" s="824">
        <f>'Input data'!B140</f>
        <v>71.425610993241406</v>
      </c>
      <c r="C110" s="824">
        <f>'Recycling - Case 3'!AK120/B110</f>
        <v>273.11318974975688</v>
      </c>
      <c r="D110" s="825">
        <f>'Recycling - Case 3'!AM120</f>
        <v>0.11425512435381627</v>
      </c>
      <c r="E110" s="826">
        <f>'Recycling - Case 3'!BE120</f>
        <v>0.21756467022906484</v>
      </c>
      <c r="F110" s="826">
        <f>'Recycling - Case 3'!BF120</f>
        <v>0.27593086105969777</v>
      </c>
      <c r="G110" s="826">
        <f>'Recycling - Case 3'!BG120</f>
        <v>5.3935062732941567E-2</v>
      </c>
      <c r="H110" s="826">
        <f>'Recycling - Case 3'!BH120</f>
        <v>0</v>
      </c>
      <c r="I110" s="826">
        <f>'Recycling - Case 3'!BI120</f>
        <v>0</v>
      </c>
      <c r="J110" s="826">
        <f>'Recycling - Case 3'!BJ120</f>
        <v>0</v>
      </c>
      <c r="K110" s="826">
        <f>'Recycling - Case 3'!BK120</f>
        <v>0.45256940597829598</v>
      </c>
      <c r="L110" s="827">
        <f t="shared" si="89"/>
        <v>1</v>
      </c>
      <c r="M110" s="4"/>
      <c r="N110" s="838">
        <f t="shared" si="56"/>
        <v>2228.8062963921584</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0.10939489783947591</v>
      </c>
      <c r="Q110" s="832">
        <f t="shared" si="57"/>
        <v>121.91001854890041</v>
      </c>
      <c r="R110" s="832">
        <f t="shared" si="58"/>
        <v>121.91001854890041</v>
      </c>
      <c r="S110" s="835">
        <f t="shared" si="59"/>
        <v>0</v>
      </c>
      <c r="T110" s="832">
        <f t="shared" si="60"/>
        <v>6939.1748058207959</v>
      </c>
      <c r="U110" s="832">
        <f t="shared" si="61"/>
        <v>349.52863992909232</v>
      </c>
      <c r="V110" s="839">
        <f t="shared" si="62"/>
        <v>233.01909328606155</v>
      </c>
      <c r="W110" s="4"/>
      <c r="X110" s="852">
        <f>'Recycling - Case 3'!AM160</f>
        <v>406.9172997853218</v>
      </c>
      <c r="Y110" s="853">
        <f>Parameters!S280</f>
        <v>0.71500000000000008</v>
      </c>
      <c r="Z110" s="853">
        <f t="shared" si="63"/>
        <v>0.4</v>
      </c>
      <c r="AA110" s="854">
        <f t="shared" si="64"/>
        <v>58.189173869301023</v>
      </c>
      <c r="AB110" s="854">
        <f t="shared" si="65"/>
        <v>58.189173869301023</v>
      </c>
      <c r="AC110" s="855">
        <f t="shared" si="66"/>
        <v>0</v>
      </c>
      <c r="AD110" s="854">
        <f t="shared" si="67"/>
        <v>3738.302315486811</v>
      </c>
      <c r="AE110" s="854">
        <f t="shared" si="68"/>
        <v>188.68343555854392</v>
      </c>
      <c r="AF110" s="856">
        <f t="shared" si="69"/>
        <v>125.78895703902928</v>
      </c>
      <c r="AG110" s="4"/>
      <c r="AH110" s="852">
        <f>'Recycling - Case 3'!AM200</f>
        <v>406.9172997853218</v>
      </c>
      <c r="AI110" s="853">
        <f>Parameters!S280</f>
        <v>0.71500000000000008</v>
      </c>
      <c r="AJ110" s="853">
        <f t="shared" si="70"/>
        <v>0.4</v>
      </c>
      <c r="AK110" s="854">
        <f t="shared" si="71"/>
        <v>58.189173869301023</v>
      </c>
      <c r="AL110" s="854">
        <f t="shared" si="72"/>
        <v>58.189173869301023</v>
      </c>
      <c r="AM110" s="855">
        <f t="shared" si="73"/>
        <v>0</v>
      </c>
      <c r="AN110" s="854">
        <f t="shared" si="74"/>
        <v>3738.302315486811</v>
      </c>
      <c r="AO110" s="854">
        <f t="shared" si="75"/>
        <v>188.68343555854392</v>
      </c>
      <c r="AP110" s="856">
        <f t="shared" si="76"/>
        <v>125.78895703902928</v>
      </c>
      <c r="AQ110" s="4"/>
      <c r="AR110" s="850">
        <f>'Recycling - Case 3'!G120</f>
        <v>808.86815016196294</v>
      </c>
      <c r="AS110" s="846">
        <v>1</v>
      </c>
      <c r="AT110" s="846">
        <f t="shared" si="77"/>
        <v>0.05</v>
      </c>
      <c r="AU110" s="832">
        <f t="shared" si="78"/>
        <v>20.221703754049074</v>
      </c>
      <c r="AV110" s="832">
        <f t="shared" si="79"/>
        <v>20.221703754049074</v>
      </c>
      <c r="AW110" s="835">
        <f t="shared" si="80"/>
        <v>0</v>
      </c>
      <c r="AX110" s="832">
        <f t="shared" si="44"/>
        <v>270.80683802197922</v>
      </c>
      <c r="AY110" s="832">
        <f t="shared" si="49"/>
        <v>15.495319318734049</v>
      </c>
      <c r="AZ110" s="930">
        <f t="shared" si="47"/>
        <v>10.330212879156033</v>
      </c>
      <c r="BA110" s="4"/>
      <c r="BB110" s="1055">
        <f t="shared" si="81"/>
        <v>233.01909328606155</v>
      </c>
      <c r="BC110" s="1056">
        <f t="shared" si="82"/>
        <v>125.78895703902928</v>
      </c>
      <c r="BD110" s="1082">
        <f t="shared" si="90"/>
        <v>10.330212879156033</v>
      </c>
      <c r="BE110" s="1056">
        <f t="shared" si="54"/>
        <v>369.13826320424687</v>
      </c>
      <c r="BF110" s="167">
        <v>0</v>
      </c>
      <c r="BG110" s="1075">
        <f t="shared" si="83"/>
        <v>369.13826320424687</v>
      </c>
      <c r="BI110" s="1055">
        <f t="shared" si="84"/>
        <v>233.01909328606155</v>
      </c>
      <c r="BJ110" s="1056">
        <f t="shared" si="85"/>
        <v>125.78895703902928</v>
      </c>
      <c r="BK110" s="1082">
        <f t="shared" si="86"/>
        <v>10.330212879156033</v>
      </c>
      <c r="BL110" s="1056">
        <f t="shared" si="55"/>
        <v>369.13826320424687</v>
      </c>
      <c r="BM110" s="167">
        <v>0</v>
      </c>
      <c r="BN110" s="1075">
        <f t="shared" si="87"/>
        <v>369.13826320424687</v>
      </c>
    </row>
    <row r="111" spans="1:66">
      <c r="A111" s="927">
        <f>'Input data'!A141</f>
        <v>2041</v>
      </c>
      <c r="B111" s="824">
        <f>'Input data'!B141</f>
        <v>71.895928013305991</v>
      </c>
      <c r="C111" s="824">
        <f>'Recycling - Case 3'!AK121/B111</f>
        <v>272.21379085956789</v>
      </c>
      <c r="D111" s="825">
        <f>'Recycling - Case 3'!AM121</f>
        <v>0.11388274022991254</v>
      </c>
      <c r="E111" s="826">
        <f>'Recycling - Case 3'!BE121</f>
        <v>0.21803564768604347</v>
      </c>
      <c r="F111" s="826">
        <f>'Recycling - Case 3'!BF121</f>
        <v>0.27652818789179318</v>
      </c>
      <c r="G111" s="826">
        <f>'Recycling - Case 3'!BG121</f>
        <v>5.38213044891186E-2</v>
      </c>
      <c r="H111" s="826">
        <f>'Recycling - Case 3'!BH121</f>
        <v>0</v>
      </c>
      <c r="I111" s="826">
        <f>'Recycling - Case 3'!BI121</f>
        <v>0</v>
      </c>
      <c r="J111" s="826">
        <f>'Recycling - Case 3'!BJ121</f>
        <v>0</v>
      </c>
      <c r="K111" s="826">
        <f>'Recycling - Case 3'!BK121</f>
        <v>0.45161485993304479</v>
      </c>
      <c r="L111" s="827">
        <f t="shared" si="89"/>
        <v>1</v>
      </c>
      <c r="M111" s="4"/>
      <c r="N111" s="838">
        <f t="shared" si="56"/>
        <v>2228.8062963921584</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0.10953950652691259</v>
      </c>
      <c r="Q111" s="832">
        <f t="shared" si="57"/>
        <v>122.07117092543636</v>
      </c>
      <c r="R111" s="832">
        <f t="shared" si="58"/>
        <v>122.07117092543636</v>
      </c>
      <c r="S111" s="835">
        <f t="shared" si="59"/>
        <v>0</v>
      </c>
      <c r="T111" s="832">
        <f t="shared" si="60"/>
        <v>6722.8184279762063</v>
      </c>
      <c r="U111" s="832">
        <f t="shared" si="61"/>
        <v>338.42754877002631</v>
      </c>
      <c r="V111" s="839">
        <f t="shared" si="62"/>
        <v>225.61836584668421</v>
      </c>
      <c r="W111" s="4"/>
      <c r="X111" s="852">
        <f>'Recycling - Case 3'!AM161</f>
        <v>440.25582227013876</v>
      </c>
      <c r="Y111" s="853">
        <f>Parameters!S281</f>
        <v>0.71500000000000008</v>
      </c>
      <c r="Z111" s="853">
        <f t="shared" si="63"/>
        <v>0.4</v>
      </c>
      <c r="AA111" s="854">
        <f t="shared" si="64"/>
        <v>62.956582584629849</v>
      </c>
      <c r="AB111" s="854">
        <f t="shared" si="65"/>
        <v>62.956582584629849</v>
      </c>
      <c r="AC111" s="855">
        <f t="shared" si="66"/>
        <v>0</v>
      </c>
      <c r="AD111" s="854">
        <f t="shared" si="67"/>
        <v>3618.9397427548356</v>
      </c>
      <c r="AE111" s="854">
        <f t="shared" si="68"/>
        <v>182.31915531660513</v>
      </c>
      <c r="AF111" s="856">
        <f t="shared" si="69"/>
        <v>121.54610354440342</v>
      </c>
      <c r="AG111" s="4"/>
      <c r="AH111" s="852">
        <f>'Recycling - Case 3'!AM201</f>
        <v>440.25582227013876</v>
      </c>
      <c r="AI111" s="853">
        <f>Parameters!S281</f>
        <v>0.71500000000000008</v>
      </c>
      <c r="AJ111" s="853">
        <f t="shared" si="70"/>
        <v>0.4</v>
      </c>
      <c r="AK111" s="854">
        <f t="shared" si="71"/>
        <v>62.956582584629849</v>
      </c>
      <c r="AL111" s="854">
        <f t="shared" si="72"/>
        <v>62.956582584629849</v>
      </c>
      <c r="AM111" s="855">
        <f t="shared" si="73"/>
        <v>0</v>
      </c>
      <c r="AN111" s="854">
        <f t="shared" si="74"/>
        <v>3618.9397427548356</v>
      </c>
      <c r="AO111" s="854">
        <f t="shared" si="75"/>
        <v>182.31915531660513</v>
      </c>
      <c r="AP111" s="856">
        <f t="shared" si="76"/>
        <v>121.54610354440342</v>
      </c>
      <c r="AQ111" s="4"/>
      <c r="AR111" s="850">
        <f>'Recycling - Case 3'!G121</f>
        <v>814.19431332275587</v>
      </c>
      <c r="AS111" s="846">
        <v>1</v>
      </c>
      <c r="AT111" s="846">
        <f t="shared" si="77"/>
        <v>0.05</v>
      </c>
      <c r="AU111" s="832">
        <f t="shared" si="78"/>
        <v>20.354857833068898</v>
      </c>
      <c r="AV111" s="832">
        <f t="shared" si="79"/>
        <v>20.354857833068898</v>
      </c>
      <c r="AW111" s="835">
        <f t="shared" si="80"/>
        <v>0</v>
      </c>
      <c r="AX111" s="832">
        <f t="shared" si="44"/>
        <v>275.39113333426332</v>
      </c>
      <c r="AY111" s="832">
        <f t="shared" si="49"/>
        <v>15.770562520784768</v>
      </c>
      <c r="AZ111" s="930">
        <f t="shared" si="47"/>
        <v>10.513708347189846</v>
      </c>
      <c r="BA111" s="4"/>
      <c r="BB111" s="1055">
        <f t="shared" si="81"/>
        <v>225.61836584668421</v>
      </c>
      <c r="BC111" s="1056">
        <f t="shared" si="82"/>
        <v>121.54610354440342</v>
      </c>
      <c r="BD111" s="1082">
        <f t="shared" si="90"/>
        <v>10.513708347189846</v>
      </c>
      <c r="BE111" s="1056">
        <f t="shared" si="54"/>
        <v>357.6781777382775</v>
      </c>
      <c r="BF111" s="167">
        <v>0</v>
      </c>
      <c r="BG111" s="1075">
        <f t="shared" si="83"/>
        <v>357.6781777382775</v>
      </c>
      <c r="BI111" s="1055">
        <f t="shared" si="84"/>
        <v>225.61836584668421</v>
      </c>
      <c r="BJ111" s="1056">
        <f t="shared" si="85"/>
        <v>121.54610354440342</v>
      </c>
      <c r="BK111" s="1082">
        <f t="shared" si="86"/>
        <v>10.513708347189846</v>
      </c>
      <c r="BL111" s="1056">
        <f t="shared" si="55"/>
        <v>357.6781777382775</v>
      </c>
      <c r="BM111" s="167">
        <v>0</v>
      </c>
      <c r="BN111" s="1075">
        <f t="shared" si="87"/>
        <v>357.6781777382775</v>
      </c>
    </row>
    <row r="112" spans="1:66">
      <c r="A112" s="927">
        <f>'Input data'!A142</f>
        <v>2042</v>
      </c>
      <c r="B112" s="824">
        <f>'Input data'!B142</f>
        <v>72.353378891150228</v>
      </c>
      <c r="C112" s="824">
        <f>'Recycling - Case 3'!AK122/B112</f>
        <v>271.35063207888572</v>
      </c>
      <c r="D112" s="825">
        <f>'Recycling - Case 3'!AM122</f>
        <v>0.11352268935092187</v>
      </c>
      <c r="E112" s="826">
        <f>'Recycling - Case 3'!BE122</f>
        <v>0.21848600107947069</v>
      </c>
      <c r="F112" s="826">
        <f>'Recycling - Case 3'!BF122</f>
        <v>0.27709935783174111</v>
      </c>
      <c r="G112" s="826">
        <f>'Recycling - Case 3'!BG122</f>
        <v>5.3712527709302738E-2</v>
      </c>
      <c r="H112" s="826">
        <f>'Recycling - Case 3'!BH122</f>
        <v>0</v>
      </c>
      <c r="I112" s="826">
        <f>'Recycling - Case 3'!BI122</f>
        <v>0</v>
      </c>
      <c r="J112" s="826">
        <f>'Recycling - Case 3'!BJ122</f>
        <v>0</v>
      </c>
      <c r="K112" s="826">
        <f>'Recycling - Case 3'!BK122</f>
        <v>0.4507021133794854</v>
      </c>
      <c r="L112" s="827">
        <f t="shared" si="89"/>
        <v>0.99999999999999989</v>
      </c>
      <c r="M112" s="4"/>
      <c r="N112" s="838">
        <f t="shared" si="56"/>
        <v>2228.8062963921584</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0.10967778281198994</v>
      </c>
      <c r="Q112" s="832">
        <f t="shared" si="57"/>
        <v>122.22526645284741</v>
      </c>
      <c r="R112" s="832">
        <f t="shared" si="58"/>
        <v>122.22526645284741</v>
      </c>
      <c r="S112" s="835">
        <f t="shared" si="59"/>
        <v>0</v>
      </c>
      <c r="T112" s="832">
        <f t="shared" si="60"/>
        <v>6517.1679707194498</v>
      </c>
      <c r="U112" s="832">
        <f t="shared" si="61"/>
        <v>327.8757237096047</v>
      </c>
      <c r="V112" s="839">
        <f t="shared" si="62"/>
        <v>218.58381580640312</v>
      </c>
      <c r="W112" s="4"/>
      <c r="X112" s="852">
        <f>'Recycling - Case 3'!AM162</f>
        <v>473.60466716039514</v>
      </c>
      <c r="Y112" s="853">
        <f>Parameters!S282</f>
        <v>0.71500000000000008</v>
      </c>
      <c r="Z112" s="853">
        <f t="shared" si="63"/>
        <v>0.4</v>
      </c>
      <c r="AA112" s="854">
        <f t="shared" si="64"/>
        <v>67.72546740393652</v>
      </c>
      <c r="AB112" s="854">
        <f t="shared" si="65"/>
        <v>67.72546740393652</v>
      </c>
      <c r="AC112" s="855">
        <f t="shared" si="66"/>
        <v>0</v>
      </c>
      <c r="AD112" s="854">
        <f t="shared" si="67"/>
        <v>3510.1674362073809</v>
      </c>
      <c r="AE112" s="854">
        <f t="shared" si="68"/>
        <v>176.49777395139131</v>
      </c>
      <c r="AF112" s="856">
        <f t="shared" si="69"/>
        <v>117.66518263426087</v>
      </c>
      <c r="AG112" s="4"/>
      <c r="AH112" s="852">
        <f>'Recycling - Case 3'!AM202</f>
        <v>473.60466716039514</v>
      </c>
      <c r="AI112" s="853">
        <f>Parameters!S282</f>
        <v>0.71500000000000008</v>
      </c>
      <c r="AJ112" s="853">
        <f t="shared" si="70"/>
        <v>0.4</v>
      </c>
      <c r="AK112" s="854">
        <f t="shared" si="71"/>
        <v>67.72546740393652</v>
      </c>
      <c r="AL112" s="854">
        <f t="shared" si="72"/>
        <v>67.72546740393652</v>
      </c>
      <c r="AM112" s="855">
        <f t="shared" si="73"/>
        <v>0</v>
      </c>
      <c r="AN112" s="854">
        <f t="shared" si="74"/>
        <v>3510.1674362073809</v>
      </c>
      <c r="AO112" s="854">
        <f t="shared" si="75"/>
        <v>176.49777395139131</v>
      </c>
      <c r="AP112" s="856">
        <f t="shared" si="76"/>
        <v>117.66518263426087</v>
      </c>
      <c r="AQ112" s="4"/>
      <c r="AR112" s="850">
        <f>'Recycling - Case 3'!G122</f>
        <v>819.37477226747319</v>
      </c>
      <c r="AS112" s="846">
        <v>1</v>
      </c>
      <c r="AT112" s="846">
        <f t="shared" si="77"/>
        <v>0.05</v>
      </c>
      <c r="AU112" s="832">
        <f t="shared" si="78"/>
        <v>20.48436930668683</v>
      </c>
      <c r="AV112" s="832">
        <f t="shared" si="79"/>
        <v>20.48436930668683</v>
      </c>
      <c r="AW112" s="835">
        <f t="shared" si="80"/>
        <v>0</v>
      </c>
      <c r="AX112" s="832">
        <f t="shared" si="44"/>
        <v>279.837971544467</v>
      </c>
      <c r="AY112" s="832">
        <f t="shared" si="49"/>
        <v>16.037531096483175</v>
      </c>
      <c r="AZ112" s="930">
        <f t="shared" si="47"/>
        <v>10.69168739765545</v>
      </c>
      <c r="BA112" s="4"/>
      <c r="BB112" s="1055">
        <f t="shared" si="81"/>
        <v>218.58381580640312</v>
      </c>
      <c r="BC112" s="1056">
        <f t="shared" si="82"/>
        <v>117.66518263426087</v>
      </c>
      <c r="BD112" s="1082">
        <f t="shared" si="90"/>
        <v>10.69168739765545</v>
      </c>
      <c r="BE112" s="1056">
        <f t="shared" si="54"/>
        <v>346.94068583831944</v>
      </c>
      <c r="BF112" s="167">
        <v>0</v>
      </c>
      <c r="BG112" s="1075">
        <f t="shared" si="83"/>
        <v>346.94068583831944</v>
      </c>
      <c r="BI112" s="1055">
        <f t="shared" si="84"/>
        <v>218.58381580640312</v>
      </c>
      <c r="BJ112" s="1056">
        <f t="shared" si="85"/>
        <v>117.66518263426087</v>
      </c>
      <c r="BK112" s="1082">
        <f t="shared" si="86"/>
        <v>10.69168739765545</v>
      </c>
      <c r="BL112" s="1056">
        <f t="shared" si="55"/>
        <v>346.94068583831944</v>
      </c>
      <c r="BM112" s="167">
        <v>0</v>
      </c>
      <c r="BN112" s="1075">
        <f t="shared" si="87"/>
        <v>346.94068583831944</v>
      </c>
    </row>
    <row r="113" spans="1:66">
      <c r="A113" s="927">
        <f>'Input data'!A143</f>
        <v>2043</v>
      </c>
      <c r="B113" s="824">
        <f>'Input data'!B143</f>
        <v>72.797675771420302</v>
      </c>
      <c r="C113" s="824">
        <f>'Recycling - Case 3'!AK123/B113</f>
        <v>270.5230609831691</v>
      </c>
      <c r="D113" s="825">
        <f>'Recycling - Case 3'!AM123</f>
        <v>0.11317500423213851</v>
      </c>
      <c r="E113" s="826">
        <f>'Recycling - Case 3'!BE123</f>
        <v>0.21891627919977846</v>
      </c>
      <c r="F113" s="826">
        <f>'Recycling - Case 3'!BF123</f>
        <v>0.27764506689427715</v>
      </c>
      <c r="G113" s="826">
        <f>'Recycling - Case 3'!BG123</f>
        <v>5.3608599840576955E-2</v>
      </c>
      <c r="H113" s="826">
        <f>'Recycling - Case 3'!BH123</f>
        <v>0</v>
      </c>
      <c r="I113" s="826">
        <f>'Recycling - Case 3'!BI123</f>
        <v>0</v>
      </c>
      <c r="J113" s="826">
        <f>'Recycling - Case 3'!BJ123</f>
        <v>0</v>
      </c>
      <c r="K113" s="826">
        <f>'Recycling - Case 3'!BK123</f>
        <v>0.44983005406536741</v>
      </c>
      <c r="L113" s="827">
        <f t="shared" si="89"/>
        <v>1</v>
      </c>
      <c r="M113" s="4"/>
      <c r="N113" s="838">
        <f t="shared" si="56"/>
        <v>2228.8062963921584</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0.10980989519505298</v>
      </c>
      <c r="Q113" s="832">
        <f t="shared" si="57"/>
        <v>122.37249290844855</v>
      </c>
      <c r="R113" s="832">
        <f t="shared" si="58"/>
        <v>122.37249290844855</v>
      </c>
      <c r="S113" s="835">
        <f t="shared" si="59"/>
        <v>0</v>
      </c>
      <c r="T113" s="832">
        <f t="shared" si="60"/>
        <v>6321.6944310703966</v>
      </c>
      <c r="U113" s="832">
        <f t="shared" si="61"/>
        <v>317.84603255750136</v>
      </c>
      <c r="V113" s="839">
        <f t="shared" si="62"/>
        <v>211.89735503833424</v>
      </c>
      <c r="W113" s="4"/>
      <c r="X113" s="852">
        <f>'Recycling - Case 3'!AM163</f>
        <v>507.41871248206621</v>
      </c>
      <c r="Y113" s="853">
        <f>Parameters!S283</f>
        <v>0.71500000000000008</v>
      </c>
      <c r="Z113" s="853">
        <f t="shared" si="63"/>
        <v>0.4</v>
      </c>
      <c r="AA113" s="854">
        <f t="shared" si="64"/>
        <v>72.56087588493547</v>
      </c>
      <c r="AB113" s="854">
        <f t="shared" si="65"/>
        <v>72.56087588493547</v>
      </c>
      <c r="AC113" s="855">
        <f t="shared" si="66"/>
        <v>0</v>
      </c>
      <c r="AD113" s="854">
        <f t="shared" si="67"/>
        <v>3411.5354261296288</v>
      </c>
      <c r="AE113" s="854">
        <f t="shared" si="68"/>
        <v>171.1928859626872</v>
      </c>
      <c r="AF113" s="856">
        <f t="shared" si="69"/>
        <v>114.12859064179146</v>
      </c>
      <c r="AG113" s="4"/>
      <c r="AH113" s="852">
        <f>'Recycling - Case 3'!AM203</f>
        <v>507.41871248206621</v>
      </c>
      <c r="AI113" s="853">
        <f>Parameters!S283</f>
        <v>0.71500000000000008</v>
      </c>
      <c r="AJ113" s="853">
        <f t="shared" si="70"/>
        <v>0.4</v>
      </c>
      <c r="AK113" s="854">
        <f t="shared" si="71"/>
        <v>72.56087588493547</v>
      </c>
      <c r="AL113" s="854">
        <f t="shared" si="72"/>
        <v>72.56087588493547</v>
      </c>
      <c r="AM113" s="855">
        <f t="shared" si="73"/>
        <v>0</v>
      </c>
      <c r="AN113" s="854">
        <f t="shared" si="74"/>
        <v>3411.5354261296288</v>
      </c>
      <c r="AO113" s="854">
        <f t="shared" si="75"/>
        <v>171.1928859626872</v>
      </c>
      <c r="AP113" s="856">
        <f t="shared" si="76"/>
        <v>114.12859064179146</v>
      </c>
      <c r="AQ113" s="4"/>
      <c r="AR113" s="850">
        <f>'Recycling - Case 3'!G123</f>
        <v>824.40626714262089</v>
      </c>
      <c r="AS113" s="846">
        <v>1</v>
      </c>
      <c r="AT113" s="846">
        <f t="shared" si="77"/>
        <v>0.05</v>
      </c>
      <c r="AU113" s="832">
        <f t="shared" si="78"/>
        <v>20.610156678565524</v>
      </c>
      <c r="AV113" s="832">
        <f t="shared" si="79"/>
        <v>20.610156678565524</v>
      </c>
      <c r="AW113" s="835">
        <f t="shared" si="80"/>
        <v>0</v>
      </c>
      <c r="AX113" s="832">
        <f t="shared" si="44"/>
        <v>284.15163342930276</v>
      </c>
      <c r="AY113" s="832">
        <f t="shared" si="49"/>
        <v>16.296494793729771</v>
      </c>
      <c r="AZ113" s="930">
        <f t="shared" si="47"/>
        <v>10.864329862486514</v>
      </c>
      <c r="BA113" s="4"/>
      <c r="BB113" s="1055">
        <f t="shared" si="81"/>
        <v>211.89735503833424</v>
      </c>
      <c r="BC113" s="1056">
        <f t="shared" si="82"/>
        <v>114.12859064179146</v>
      </c>
      <c r="BD113" s="1082">
        <f t="shared" si="90"/>
        <v>10.864329862486514</v>
      </c>
      <c r="BE113" s="1056">
        <f t="shared" si="54"/>
        <v>336.89027554261219</v>
      </c>
      <c r="BF113" s="167">
        <v>0</v>
      </c>
      <c r="BG113" s="1075">
        <f t="shared" si="83"/>
        <v>336.89027554261219</v>
      </c>
      <c r="BI113" s="1055">
        <f t="shared" si="84"/>
        <v>211.89735503833424</v>
      </c>
      <c r="BJ113" s="1056">
        <f t="shared" si="85"/>
        <v>114.12859064179146</v>
      </c>
      <c r="BK113" s="1082">
        <f t="shared" si="86"/>
        <v>10.864329862486514</v>
      </c>
      <c r="BL113" s="1056">
        <f t="shared" si="55"/>
        <v>336.89027554261219</v>
      </c>
      <c r="BM113" s="167">
        <v>0</v>
      </c>
      <c r="BN113" s="1075">
        <f t="shared" si="87"/>
        <v>336.89027554261219</v>
      </c>
    </row>
    <row r="114" spans="1:66">
      <c r="A114" s="927">
        <f>'Input data'!A144</f>
        <v>2044</v>
      </c>
      <c r="B114" s="824">
        <f>'Input data'!B144</f>
        <v>73.228597899236789</v>
      </c>
      <c r="C114" s="824">
        <f>'Recycling - Case 3'!AK124/B114</f>
        <v>269.73034557009674</v>
      </c>
      <c r="D114" s="825">
        <f>'Recycling - Case 3'!AM124</f>
        <v>0.11283966765230959</v>
      </c>
      <c r="E114" s="826">
        <f>'Recycling - Case 3'!BE124</f>
        <v>0.21932705725760815</v>
      </c>
      <c r="F114" s="826">
        <f>'Recycling - Case 3'!BF124</f>
        <v>0.27816604460211014</v>
      </c>
      <c r="G114" s="826">
        <f>'Recycling - Case 3'!BG124</f>
        <v>5.3509381948579564E-2</v>
      </c>
      <c r="H114" s="826">
        <f>'Recycling - Case 3'!BH124</f>
        <v>0</v>
      </c>
      <c r="I114" s="826">
        <f>'Recycling - Case 3'!BI124</f>
        <v>0</v>
      </c>
      <c r="J114" s="826">
        <f>'Recycling - Case 3'!BJ124</f>
        <v>0</v>
      </c>
      <c r="K114" s="826">
        <f>'Recycling - Case 3'!BK124</f>
        <v>0.44899751619170203</v>
      </c>
      <c r="L114" s="827">
        <f t="shared" si="89"/>
        <v>0.99999999999999989</v>
      </c>
      <c r="M114" s="4"/>
      <c r="N114" s="838">
        <f t="shared" si="56"/>
        <v>2228.8062963921584</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0.10993602028849508</v>
      </c>
      <c r="Q114" s="832">
        <f t="shared" si="57"/>
        <v>122.51304710964696</v>
      </c>
      <c r="R114" s="832">
        <f t="shared" si="58"/>
        <v>122.51304710964696</v>
      </c>
      <c r="S114" s="835">
        <f t="shared" si="59"/>
        <v>0</v>
      </c>
      <c r="T114" s="832">
        <f t="shared" si="60"/>
        <v>6135.8948026461094</v>
      </c>
      <c r="U114" s="832">
        <f t="shared" si="61"/>
        <v>308.31267553393451</v>
      </c>
      <c r="V114" s="839">
        <f t="shared" si="62"/>
        <v>205.54178368928967</v>
      </c>
      <c r="W114" s="4"/>
      <c r="X114" s="852">
        <f>'Recycling - Case 3'!AM164</f>
        <v>541.67612385493453</v>
      </c>
      <c r="Y114" s="853">
        <f>Parameters!S284</f>
        <v>0.71500000000000008</v>
      </c>
      <c r="Z114" s="853">
        <f t="shared" si="63"/>
        <v>0.4</v>
      </c>
      <c r="AA114" s="854">
        <f t="shared" si="64"/>
        <v>77.459685711255645</v>
      </c>
      <c r="AB114" s="854">
        <f t="shared" si="65"/>
        <v>77.459685711255645</v>
      </c>
      <c r="AC114" s="855">
        <f t="shared" si="66"/>
        <v>0</v>
      </c>
      <c r="AD114" s="854">
        <f t="shared" si="67"/>
        <v>3322.6125657723405</v>
      </c>
      <c r="AE114" s="854">
        <f t="shared" si="68"/>
        <v>166.38254606854383</v>
      </c>
      <c r="AF114" s="856">
        <f t="shared" si="69"/>
        <v>110.92169737902923</v>
      </c>
      <c r="AG114" s="4"/>
      <c r="AH114" s="852">
        <f>'Recycling - Case 3'!AM204</f>
        <v>541.67612385493453</v>
      </c>
      <c r="AI114" s="853">
        <f>Parameters!S284</f>
        <v>0.71500000000000008</v>
      </c>
      <c r="AJ114" s="853">
        <f t="shared" si="70"/>
        <v>0.4</v>
      </c>
      <c r="AK114" s="854">
        <f t="shared" si="71"/>
        <v>77.459685711255645</v>
      </c>
      <c r="AL114" s="854">
        <f t="shared" si="72"/>
        <v>77.459685711255645</v>
      </c>
      <c r="AM114" s="855">
        <f t="shared" si="73"/>
        <v>0</v>
      </c>
      <c r="AN114" s="854">
        <f t="shared" si="74"/>
        <v>3322.6125657723405</v>
      </c>
      <c r="AO114" s="854">
        <f t="shared" si="75"/>
        <v>166.38254606854383</v>
      </c>
      <c r="AP114" s="856">
        <f t="shared" si="76"/>
        <v>110.92169737902923</v>
      </c>
      <c r="AQ114" s="4"/>
      <c r="AR114" s="850">
        <f>'Recycling - Case 3'!G124</f>
        <v>829.28629798231168</v>
      </c>
      <c r="AS114" s="846">
        <v>1</v>
      </c>
      <c r="AT114" s="846">
        <f t="shared" si="77"/>
        <v>0.05</v>
      </c>
      <c r="AU114" s="832">
        <f t="shared" si="78"/>
        <v>20.732157449557793</v>
      </c>
      <c r="AV114" s="832">
        <f t="shared" si="79"/>
        <v>20.732157449557793</v>
      </c>
      <c r="AW114" s="835">
        <f t="shared" si="80"/>
        <v>0</v>
      </c>
      <c r="AX114" s="832">
        <f t="shared" ref="AX114:AX120" si="91">AV114+(AX113*$E$8)</f>
        <v>288.33608797330754</v>
      </c>
      <c r="AY114" s="832">
        <f t="shared" si="49"/>
        <v>16.547702905553031</v>
      </c>
      <c r="AZ114" s="930">
        <f t="shared" si="47"/>
        <v>11.031801937035354</v>
      </c>
      <c r="BA114" s="4"/>
      <c r="BB114" s="1055">
        <f t="shared" si="81"/>
        <v>205.54178368928967</v>
      </c>
      <c r="BC114" s="1056">
        <f t="shared" si="82"/>
        <v>110.92169737902923</v>
      </c>
      <c r="BD114" s="1082">
        <f t="shared" si="90"/>
        <v>11.031801937035354</v>
      </c>
      <c r="BE114" s="1056">
        <f t="shared" si="54"/>
        <v>327.49528300535428</v>
      </c>
      <c r="BF114" s="167">
        <v>0</v>
      </c>
      <c r="BG114" s="1075">
        <f t="shared" si="83"/>
        <v>327.49528300535428</v>
      </c>
      <c r="BI114" s="1055">
        <f t="shared" si="84"/>
        <v>205.54178368928967</v>
      </c>
      <c r="BJ114" s="1056">
        <f t="shared" si="85"/>
        <v>110.92169737902923</v>
      </c>
      <c r="BK114" s="1082">
        <f t="shared" si="86"/>
        <v>11.031801937035354</v>
      </c>
      <c r="BL114" s="1056">
        <f t="shared" si="55"/>
        <v>327.49528300535428</v>
      </c>
      <c r="BM114" s="167">
        <v>0</v>
      </c>
      <c r="BN114" s="1075">
        <f t="shared" si="87"/>
        <v>327.49528300535428</v>
      </c>
    </row>
    <row r="115" spans="1:66">
      <c r="A115" s="927">
        <f>'Input data'!A145</f>
        <v>2045</v>
      </c>
      <c r="B115" s="824">
        <f>'Input data'!B145</f>
        <v>73.645872502840064</v>
      </c>
      <c r="C115" s="824">
        <f>'Recycling - Case 3'!AK125/B115</f>
        <v>268.97189557068083</v>
      </c>
      <c r="D115" s="825">
        <f>'Recycling - Case 3'!AM125</f>
        <v>0.11251670629518457</v>
      </c>
      <c r="E115" s="826">
        <f>'Recycling - Case 3'!BE125</f>
        <v>0.21971882284355668</v>
      </c>
      <c r="F115" s="826">
        <f>'Recycling - Case 3'!BF125</f>
        <v>0.27866290935202809</v>
      </c>
      <c r="G115" s="826">
        <f>'Recycling - Case 3'!BG125</f>
        <v>5.3414756262387113E-2</v>
      </c>
      <c r="H115" s="826">
        <f>'Recycling - Case 3'!BH125</f>
        <v>0</v>
      </c>
      <c r="I115" s="826">
        <f>'Recycling - Case 3'!BI125</f>
        <v>0</v>
      </c>
      <c r="J115" s="826">
        <f>'Recycling - Case 3'!BJ125</f>
        <v>0</v>
      </c>
      <c r="K115" s="826">
        <f>'Recycling - Case 3'!BK125</f>
        <v>0.44820351154202809</v>
      </c>
      <c r="L115" s="827">
        <f t="shared" si="89"/>
        <v>1</v>
      </c>
      <c r="M115" s="4"/>
      <c r="N115" s="838">
        <f t="shared" si="56"/>
        <v>2228.8062963921584</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0.11005630780189396</v>
      </c>
      <c r="Q115" s="832">
        <f t="shared" si="57"/>
        <v>122.64709589326735</v>
      </c>
      <c r="R115" s="832">
        <f t="shared" si="58"/>
        <v>122.64709589326735</v>
      </c>
      <c r="S115" s="835">
        <f t="shared" si="59"/>
        <v>0</v>
      </c>
      <c r="T115" s="832">
        <f t="shared" si="60"/>
        <v>5959.2907778112485</v>
      </c>
      <c r="U115" s="832">
        <f t="shared" si="61"/>
        <v>299.25112072812857</v>
      </c>
      <c r="V115" s="839">
        <f t="shared" si="62"/>
        <v>199.50074715208572</v>
      </c>
      <c r="W115" s="4"/>
      <c r="X115" s="852">
        <f>'Recycling - Case 3'!AM165</f>
        <v>576.49183407102225</v>
      </c>
      <c r="Y115" s="853">
        <f>Parameters!S285</f>
        <v>0.71500000000000008</v>
      </c>
      <c r="Z115" s="853">
        <f t="shared" si="63"/>
        <v>0.4</v>
      </c>
      <c r="AA115" s="854">
        <f t="shared" si="64"/>
        <v>82.438332272156202</v>
      </c>
      <c r="AB115" s="854">
        <f t="shared" si="65"/>
        <v>82.438332272156202</v>
      </c>
      <c r="AC115" s="855">
        <f t="shared" si="66"/>
        <v>0</v>
      </c>
      <c r="AD115" s="854">
        <f t="shared" si="67"/>
        <v>3243.0051710506204</v>
      </c>
      <c r="AE115" s="854">
        <f t="shared" si="68"/>
        <v>162.04572699387626</v>
      </c>
      <c r="AF115" s="856">
        <f t="shared" si="69"/>
        <v>108.03048466258417</v>
      </c>
      <c r="AG115" s="4"/>
      <c r="AH115" s="852">
        <f>'Recycling - Case 3'!AM205</f>
        <v>576.49183407102225</v>
      </c>
      <c r="AI115" s="853">
        <f>Parameters!S285</f>
        <v>0.71500000000000008</v>
      </c>
      <c r="AJ115" s="853">
        <f t="shared" si="70"/>
        <v>0.4</v>
      </c>
      <c r="AK115" s="854">
        <f t="shared" si="71"/>
        <v>82.438332272156202</v>
      </c>
      <c r="AL115" s="854">
        <f t="shared" si="72"/>
        <v>82.438332272156202</v>
      </c>
      <c r="AM115" s="855">
        <f t="shared" si="73"/>
        <v>0</v>
      </c>
      <c r="AN115" s="854">
        <f t="shared" si="74"/>
        <v>3243.0051710506204</v>
      </c>
      <c r="AO115" s="854">
        <f t="shared" si="75"/>
        <v>162.04572699387626</v>
      </c>
      <c r="AP115" s="856">
        <f t="shared" si="76"/>
        <v>108.03048466258417</v>
      </c>
      <c r="AQ115" s="4"/>
      <c r="AR115" s="850">
        <f>'Recycling - Case 3'!G125</f>
        <v>834.01177574907638</v>
      </c>
      <c r="AS115" s="846">
        <v>1</v>
      </c>
      <c r="AT115" s="846">
        <f t="shared" si="77"/>
        <v>0.05</v>
      </c>
      <c r="AU115" s="832">
        <f t="shared" si="78"/>
        <v>20.850294393726912</v>
      </c>
      <c r="AV115" s="832">
        <f t="shared" si="79"/>
        <v>20.850294393726912</v>
      </c>
      <c r="AW115" s="835">
        <f t="shared" si="80"/>
        <v>0</v>
      </c>
      <c r="AX115" s="832">
        <f t="shared" si="91"/>
        <v>292.39499579941582</v>
      </c>
      <c r="AY115" s="832">
        <f t="shared" si="49"/>
        <v>16.791386567618659</v>
      </c>
      <c r="AZ115" s="930">
        <f t="shared" si="47"/>
        <v>11.194257711745772</v>
      </c>
      <c r="BA115" s="4"/>
      <c r="BB115" s="1055">
        <f t="shared" si="81"/>
        <v>199.50074715208572</v>
      </c>
      <c r="BC115" s="1056">
        <f t="shared" si="82"/>
        <v>108.03048466258417</v>
      </c>
      <c r="BD115" s="1082">
        <f t="shared" si="90"/>
        <v>11.194257711745772</v>
      </c>
      <c r="BE115" s="1056">
        <f t="shared" si="54"/>
        <v>318.72548952641569</v>
      </c>
      <c r="BF115" s="167">
        <v>0</v>
      </c>
      <c r="BG115" s="1075">
        <f t="shared" si="83"/>
        <v>318.72548952641569</v>
      </c>
      <c r="BI115" s="1055">
        <f t="shared" si="84"/>
        <v>199.50074715208572</v>
      </c>
      <c r="BJ115" s="1056">
        <f t="shared" si="85"/>
        <v>108.03048466258417</v>
      </c>
      <c r="BK115" s="1082">
        <f t="shared" si="86"/>
        <v>11.194257711745772</v>
      </c>
      <c r="BL115" s="1056">
        <f t="shared" si="55"/>
        <v>318.72548952641569</v>
      </c>
      <c r="BM115" s="167">
        <v>0</v>
      </c>
      <c r="BN115" s="1075">
        <f t="shared" si="87"/>
        <v>318.72548952641569</v>
      </c>
    </row>
    <row r="116" spans="1:66">
      <c r="A116" s="927">
        <f>'Input data'!A146</f>
        <v>2046</v>
      </c>
      <c r="B116" s="824">
        <f>'Input data'!B146</f>
        <v>74.049234192071822</v>
      </c>
      <c r="C116" s="824">
        <f>'Recycling - Case 3'!AK126/B116</f>
        <v>268.2471493259718</v>
      </c>
      <c r="D116" s="825">
        <f>'Recycling - Case 3'!AM126</f>
        <v>0.11220614429780751</v>
      </c>
      <c r="E116" s="826">
        <f>'Recycling - Case 3'!BE126</f>
        <v>0.2200920359538853</v>
      </c>
      <c r="F116" s="826">
        <f>'Recycling - Case 3'!BF126</f>
        <v>0.27913624454373598</v>
      </c>
      <c r="G116" s="826">
        <f>'Recycling - Case 3'!BG126</f>
        <v>5.3324611676115276E-2</v>
      </c>
      <c r="H116" s="826">
        <f>'Recycling - Case 3'!BH126</f>
        <v>0</v>
      </c>
      <c r="I116" s="826">
        <f>'Recycling - Case 3'!BI126</f>
        <v>0</v>
      </c>
      <c r="J116" s="826">
        <f>'Recycling - Case 3'!BJ126</f>
        <v>0</v>
      </c>
      <c r="K116" s="826">
        <f>'Recycling - Case 3'!BK126</f>
        <v>0.44744710782626346</v>
      </c>
      <c r="L116" s="827">
        <f t="shared" si="89"/>
        <v>1</v>
      </c>
      <c r="M116" s="4"/>
      <c r="N116" s="838">
        <f t="shared" si="56"/>
        <v>2228.8062963921584</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0.11017089897227611</v>
      </c>
      <c r="Q116" s="832">
        <f t="shared" si="57"/>
        <v>122.77479665429668</v>
      </c>
      <c r="R116" s="832">
        <f t="shared" si="58"/>
        <v>122.77479665429668</v>
      </c>
      <c r="S116" s="835">
        <f t="shared" si="59"/>
        <v>0</v>
      </c>
      <c r="T116" s="832">
        <f>R116+(T115*$C$8)</f>
        <v>5791.4275336641031</v>
      </c>
      <c r="U116" s="832">
        <f t="shared" si="61"/>
        <v>290.63804080144217</v>
      </c>
      <c r="V116" s="839">
        <f t="shared" si="62"/>
        <v>193.75869386762812</v>
      </c>
      <c r="W116" s="4"/>
      <c r="X116" s="852">
        <f>'Recycling - Case 3'!AM166</f>
        <v>602.78015943273238</v>
      </c>
      <c r="Y116" s="853">
        <f>Parameters!S286</f>
        <v>0.71500000000000008</v>
      </c>
      <c r="Z116" s="853">
        <f t="shared" si="63"/>
        <v>0.4</v>
      </c>
      <c r="AA116" s="854">
        <f t="shared" si="64"/>
        <v>86.197562798880739</v>
      </c>
      <c r="AB116" s="854">
        <f t="shared" si="65"/>
        <v>86.197562798880739</v>
      </c>
      <c r="AC116" s="855">
        <f t="shared" si="66"/>
        <v>0</v>
      </c>
      <c r="AD116" s="854">
        <f t="shared" si="67"/>
        <v>3171.039505310202</v>
      </c>
      <c r="AE116" s="854">
        <f t="shared" si="68"/>
        <v>158.16322853929915</v>
      </c>
      <c r="AF116" s="856">
        <f t="shared" si="69"/>
        <v>105.44215235953277</v>
      </c>
      <c r="AG116" s="4"/>
      <c r="AH116" s="852">
        <f>'Recycling - Case 3'!AM206</f>
        <v>602.78015943273238</v>
      </c>
      <c r="AI116" s="853">
        <f>Parameters!S286</f>
        <v>0.71500000000000008</v>
      </c>
      <c r="AJ116" s="853">
        <f t="shared" si="70"/>
        <v>0.4</v>
      </c>
      <c r="AK116" s="854">
        <f t="shared" si="71"/>
        <v>86.197562798880739</v>
      </c>
      <c r="AL116" s="854">
        <f t="shared" si="72"/>
        <v>86.197562798880739</v>
      </c>
      <c r="AM116" s="855">
        <f t="shared" si="73"/>
        <v>0</v>
      </c>
      <c r="AN116" s="854">
        <f t="shared" si="74"/>
        <v>3171.039505310202</v>
      </c>
      <c r="AO116" s="854">
        <f t="shared" si="75"/>
        <v>158.16322853929915</v>
      </c>
      <c r="AP116" s="856">
        <f t="shared" si="76"/>
        <v>105.44215235953277</v>
      </c>
      <c r="AQ116" s="4"/>
      <c r="AR116" s="850">
        <f>'Recycling - Case 3'!G126</f>
        <v>838.57969499930118</v>
      </c>
      <c r="AS116" s="846">
        <v>1</v>
      </c>
      <c r="AT116" s="846">
        <f t="shared" si="77"/>
        <v>0.05</v>
      </c>
      <c r="AU116" s="832">
        <f t="shared" si="78"/>
        <v>20.96449237498253</v>
      </c>
      <c r="AV116" s="832">
        <f t="shared" si="79"/>
        <v>20.96449237498253</v>
      </c>
      <c r="AW116" s="835">
        <f t="shared" si="80"/>
        <v>0</v>
      </c>
      <c r="AX116" s="832">
        <f t="shared" si="91"/>
        <v>296.33172921638771</v>
      </c>
      <c r="AY116" s="832">
        <f t="shared" si="49"/>
        <v>17.027758958010615</v>
      </c>
      <c r="AZ116" s="930">
        <f t="shared" si="47"/>
        <v>11.351839305340411</v>
      </c>
      <c r="BA116" s="4"/>
      <c r="BB116" s="1055">
        <f t="shared" si="81"/>
        <v>193.75869386762812</v>
      </c>
      <c r="BC116" s="1056">
        <f t="shared" si="82"/>
        <v>105.44215235953277</v>
      </c>
      <c r="BD116" s="1082">
        <f t="shared" si="90"/>
        <v>11.351839305340411</v>
      </c>
      <c r="BE116" s="1056">
        <f t="shared" si="54"/>
        <v>310.55268553250136</v>
      </c>
      <c r="BF116" s="167">
        <v>0</v>
      </c>
      <c r="BG116" s="1075">
        <f t="shared" si="83"/>
        <v>310.55268553250136</v>
      </c>
      <c r="BI116" s="1055">
        <f t="shared" si="84"/>
        <v>193.75869386762812</v>
      </c>
      <c r="BJ116" s="1056">
        <f t="shared" si="85"/>
        <v>105.44215235953277</v>
      </c>
      <c r="BK116" s="1082">
        <f t="shared" si="86"/>
        <v>11.351839305340411</v>
      </c>
      <c r="BL116" s="1056">
        <f t="shared" si="55"/>
        <v>310.55268553250136</v>
      </c>
      <c r="BM116" s="167">
        <v>0</v>
      </c>
      <c r="BN116" s="1075">
        <f t="shared" si="87"/>
        <v>310.55268553250136</v>
      </c>
    </row>
    <row r="117" spans="1:66">
      <c r="A117" s="927">
        <f>'Input data'!A147</f>
        <v>2047</v>
      </c>
      <c r="B117" s="824">
        <f>'Input data'!B147</f>
        <v>74.438425238522782</v>
      </c>
      <c r="C117" s="824">
        <f>'Recycling - Case 3'!AK127/B117</f>
        <v>267.55557298656447</v>
      </c>
      <c r="D117" s="825">
        <f>'Recycling - Case 3'!AM127</f>
        <v>0.11190800345070817</v>
      </c>
      <c r="E117" s="826">
        <f>'Recycling - Case 3'!BE127</f>
        <v>0.22044713023744239</v>
      </c>
      <c r="F117" s="826">
        <f>'Recycling - Case 3'!BF127</f>
        <v>0.27958660016129155</v>
      </c>
      <c r="G117" s="826">
        <f>'Recycling - Case 3'!BG127</f>
        <v>5.3238843447741518E-2</v>
      </c>
      <c r="H117" s="826">
        <f>'Recycling - Case 3'!BH127</f>
        <v>0</v>
      </c>
      <c r="I117" s="826">
        <f>'Recycling - Case 3'!BI127</f>
        <v>0</v>
      </c>
      <c r="J117" s="826">
        <f>'Recycling - Case 3'!BJ127</f>
        <v>0</v>
      </c>
      <c r="K117" s="826">
        <f>'Recycling - Case 3'!BK127</f>
        <v>0.44672742615352451</v>
      </c>
      <c r="L117" s="827">
        <f t="shared" si="89"/>
        <v>1</v>
      </c>
      <c r="M117" s="4"/>
      <c r="N117" s="838">
        <f t="shared" si="56"/>
        <v>2228.8062963921584</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0.11027992694697127</v>
      </c>
      <c r="Q117" s="832">
        <f t="shared" si="57"/>
        <v>122.8962977725384</v>
      </c>
      <c r="R117" s="832">
        <f t="shared" si="58"/>
        <v>122.8962977725384</v>
      </c>
      <c r="S117" s="835">
        <f t="shared" si="59"/>
        <v>0</v>
      </c>
      <c r="T117" s="832">
        <f t="shared" ref="T117:T120" si="92">R117+(T116*$C$8)</f>
        <v>5631.8725776574329</v>
      </c>
      <c r="U117" s="832">
        <f t="shared" si="61"/>
        <v>282.45125377920874</v>
      </c>
      <c r="V117" s="839">
        <f t="shared" si="62"/>
        <v>188.30083585280582</v>
      </c>
      <c r="W117" s="4"/>
      <c r="X117" s="852">
        <f>'Recycling - Case 3'!AM167</f>
        <v>626.80817174164554</v>
      </c>
      <c r="Y117" s="853">
        <f>Parameters!S287</f>
        <v>0.71500000000000008</v>
      </c>
      <c r="Z117" s="853">
        <f t="shared" si="63"/>
        <v>0.4</v>
      </c>
      <c r="AA117" s="854">
        <f t="shared" si="64"/>
        <v>89.633568559055334</v>
      </c>
      <c r="AB117" s="854">
        <f t="shared" si="65"/>
        <v>89.633568559055334</v>
      </c>
      <c r="AC117" s="855">
        <f t="shared" si="66"/>
        <v>0</v>
      </c>
      <c r="AD117" s="854">
        <f t="shared" si="67"/>
        <v>3106.0196522643078</v>
      </c>
      <c r="AE117" s="854">
        <f t="shared" si="68"/>
        <v>154.6534216049497</v>
      </c>
      <c r="AF117" s="856">
        <f t="shared" si="69"/>
        <v>103.10228106996647</v>
      </c>
      <c r="AG117" s="4"/>
      <c r="AH117" s="852">
        <f>'Recycling - Case 3'!AM207</f>
        <v>626.80817174164554</v>
      </c>
      <c r="AI117" s="853">
        <f>Parameters!S287</f>
        <v>0.71500000000000008</v>
      </c>
      <c r="AJ117" s="853">
        <f t="shared" si="70"/>
        <v>0.4</v>
      </c>
      <c r="AK117" s="854">
        <f t="shared" si="71"/>
        <v>89.633568559055334</v>
      </c>
      <c r="AL117" s="854">
        <f t="shared" si="72"/>
        <v>89.633568559055334</v>
      </c>
      <c r="AM117" s="855">
        <f t="shared" si="73"/>
        <v>0</v>
      </c>
      <c r="AN117" s="854">
        <f t="shared" si="74"/>
        <v>3106.0196522643078</v>
      </c>
      <c r="AO117" s="854">
        <f t="shared" si="75"/>
        <v>154.6534216049497</v>
      </c>
      <c r="AP117" s="856">
        <f t="shared" si="76"/>
        <v>103.10228106996647</v>
      </c>
      <c r="AQ117" s="4"/>
      <c r="AR117" s="850">
        <f>'Recycling - Case 3'!G127</f>
        <v>842.98713705579519</v>
      </c>
      <c r="AS117" s="846">
        <v>1</v>
      </c>
      <c r="AT117" s="846">
        <f t="shared" si="77"/>
        <v>0.05</v>
      </c>
      <c r="AU117" s="832">
        <f t="shared" si="78"/>
        <v>21.074678426394883</v>
      </c>
      <c r="AV117" s="832">
        <f t="shared" si="79"/>
        <v>21.074678426394883</v>
      </c>
      <c r="AW117" s="835">
        <f t="shared" si="80"/>
        <v>0</v>
      </c>
      <c r="AX117" s="832">
        <f t="shared" si="91"/>
        <v>300.14939117808012</v>
      </c>
      <c r="AY117" s="832">
        <f t="shared" si="49"/>
        <v>17.257016464702449</v>
      </c>
      <c r="AZ117" s="930">
        <f t="shared" si="47"/>
        <v>11.504677643134967</v>
      </c>
      <c r="BA117" s="4"/>
      <c r="BB117" s="1055">
        <f t="shared" si="81"/>
        <v>188.30083585280582</v>
      </c>
      <c r="BC117" s="1056">
        <f t="shared" si="82"/>
        <v>103.10228106996647</v>
      </c>
      <c r="BD117" s="1082">
        <f t="shared" si="90"/>
        <v>11.504677643134967</v>
      </c>
      <c r="BE117" s="1056">
        <f t="shared" si="54"/>
        <v>302.90779456590724</v>
      </c>
      <c r="BF117" s="167">
        <v>0</v>
      </c>
      <c r="BG117" s="1075">
        <f t="shared" si="83"/>
        <v>302.90779456590724</v>
      </c>
      <c r="BI117" s="1055">
        <f t="shared" si="84"/>
        <v>188.30083585280582</v>
      </c>
      <c r="BJ117" s="1056">
        <f t="shared" si="85"/>
        <v>103.10228106996647</v>
      </c>
      <c r="BK117" s="1082">
        <f t="shared" si="86"/>
        <v>11.504677643134967</v>
      </c>
      <c r="BL117" s="1056">
        <f t="shared" si="55"/>
        <v>302.90779456590724</v>
      </c>
      <c r="BM117" s="167">
        <v>0</v>
      </c>
      <c r="BN117" s="1075">
        <f t="shared" si="87"/>
        <v>302.90779456590724</v>
      </c>
    </row>
    <row r="118" spans="1:66">
      <c r="A118" s="927">
        <f>'Input data'!A148</f>
        <v>2048</v>
      </c>
      <c r="B118" s="824">
        <f>'Input data'!B148</f>
        <v>74.813195848926668</v>
      </c>
      <c r="C118" s="824">
        <f>'Recycling - Case 3'!AK128/B118</f>
        <v>266.89665975869104</v>
      </c>
      <c r="D118" s="825">
        <f>'Recycling - Case 3'!AM128</f>
        <v>0.11162230338799653</v>
      </c>
      <c r="E118" s="826">
        <f>'Recycling - Case 3'!BE128</f>
        <v>0.22078451415397732</v>
      </c>
      <c r="F118" s="826">
        <f>'Recycling - Case 3'!BF128</f>
        <v>0.28001449424216029</v>
      </c>
      <c r="G118" s="826">
        <f>'Recycling - Case 3'!BG128</f>
        <v>5.3157352919329978E-2</v>
      </c>
      <c r="H118" s="826">
        <f>'Recycling - Case 3'!BH128</f>
        <v>0</v>
      </c>
      <c r="I118" s="826">
        <f>'Recycling - Case 3'!BI128</f>
        <v>0</v>
      </c>
      <c r="J118" s="826">
        <f>'Recycling - Case 3'!BJ128</f>
        <v>0</v>
      </c>
      <c r="K118" s="826">
        <f>'Recycling - Case 3'!BK128</f>
        <v>0.44604363868453278</v>
      </c>
      <c r="L118" s="827">
        <f t="shared" si="89"/>
        <v>1.0000000000000004</v>
      </c>
      <c r="M118" s="4"/>
      <c r="N118" s="838">
        <f t="shared" si="56"/>
        <v>2228.8062963921584</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0.11038351713926065</v>
      </c>
      <c r="Q118" s="832">
        <f t="shared" si="57"/>
        <v>123.01173900894793</v>
      </c>
      <c r="R118" s="832">
        <f t="shared" si="58"/>
        <v>123.01173900894793</v>
      </c>
      <c r="S118" s="835">
        <f t="shared" si="59"/>
        <v>0</v>
      </c>
      <c r="T118" s="832">
        <f t="shared" si="92"/>
        <v>5480.2146499153805</v>
      </c>
      <c r="U118" s="832">
        <f t="shared" si="61"/>
        <v>274.66966675100019</v>
      </c>
      <c r="V118" s="839">
        <f t="shared" si="62"/>
        <v>183.11311116733347</v>
      </c>
      <c r="W118" s="4"/>
      <c r="X118" s="852">
        <f>'Recycling - Case 3'!AM168</f>
        <v>650.60422528870004</v>
      </c>
      <c r="Y118" s="853">
        <f>Parameters!S288</f>
        <v>0.71500000000000008</v>
      </c>
      <c r="Z118" s="853">
        <f t="shared" si="63"/>
        <v>0.4</v>
      </c>
      <c r="AA118" s="854">
        <f t="shared" si="64"/>
        <v>93.036404216284126</v>
      </c>
      <c r="AB118" s="854">
        <f t="shared" si="65"/>
        <v>93.036404216284126</v>
      </c>
      <c r="AC118" s="855">
        <f t="shared" si="66"/>
        <v>0</v>
      </c>
      <c r="AD118" s="854">
        <f t="shared" si="67"/>
        <v>3047.5736905275694</v>
      </c>
      <c r="AE118" s="854">
        <f t="shared" si="68"/>
        <v>151.48236595302242</v>
      </c>
      <c r="AF118" s="856">
        <f t="shared" si="69"/>
        <v>100.98824396868162</v>
      </c>
      <c r="AG118" s="4"/>
      <c r="AH118" s="852">
        <f>'Recycling - Case 3'!AM208</f>
        <v>650.60422528870004</v>
      </c>
      <c r="AI118" s="853">
        <f>Parameters!S288</f>
        <v>0.71500000000000008</v>
      </c>
      <c r="AJ118" s="853">
        <f t="shared" si="70"/>
        <v>0.4</v>
      </c>
      <c r="AK118" s="854">
        <f t="shared" si="71"/>
        <v>93.036404216284126</v>
      </c>
      <c r="AL118" s="854">
        <f t="shared" si="72"/>
        <v>93.036404216284126</v>
      </c>
      <c r="AM118" s="855">
        <f t="shared" si="73"/>
        <v>0</v>
      </c>
      <c r="AN118" s="854">
        <f t="shared" si="74"/>
        <v>3047.5736905275694</v>
      </c>
      <c r="AO118" s="854">
        <f t="shared" si="75"/>
        <v>151.48236595302242</v>
      </c>
      <c r="AP118" s="856">
        <f t="shared" si="76"/>
        <v>100.98824396868162</v>
      </c>
      <c r="AQ118" s="4"/>
      <c r="AR118" s="850">
        <f>'Recycling - Case 3'!G128</f>
        <v>847.23127310387383</v>
      </c>
      <c r="AS118" s="846">
        <v>1</v>
      </c>
      <c r="AT118" s="846">
        <f t="shared" si="77"/>
        <v>0.05</v>
      </c>
      <c r="AU118" s="832">
        <f t="shared" si="78"/>
        <v>21.180781827596846</v>
      </c>
      <c r="AV118" s="832">
        <f t="shared" si="79"/>
        <v>21.180781827596846</v>
      </c>
      <c r="AW118" s="835">
        <f t="shared" si="80"/>
        <v>0</v>
      </c>
      <c r="AX118" s="832">
        <f t="shared" si="91"/>
        <v>303.85083321601769</v>
      </c>
      <c r="AY118" s="832">
        <f t="shared" si="49"/>
        <v>17.479339789659278</v>
      </c>
      <c r="AZ118" s="930">
        <f t="shared" si="47"/>
        <v>11.652893193106186</v>
      </c>
      <c r="BA118" s="4"/>
      <c r="BB118" s="1055">
        <f t="shared" si="81"/>
        <v>183.11311116733347</v>
      </c>
      <c r="BC118" s="1056">
        <f t="shared" si="82"/>
        <v>100.98824396868162</v>
      </c>
      <c r="BD118" s="1082">
        <f t="shared" si="90"/>
        <v>11.652893193106186</v>
      </c>
      <c r="BE118" s="1056">
        <f t="shared" si="54"/>
        <v>295.75424832912125</v>
      </c>
      <c r="BF118" s="167">
        <v>0</v>
      </c>
      <c r="BG118" s="1075">
        <f t="shared" si="83"/>
        <v>295.75424832912125</v>
      </c>
      <c r="BI118" s="1055">
        <f t="shared" si="84"/>
        <v>183.11311116733347</v>
      </c>
      <c r="BJ118" s="1056">
        <f t="shared" si="85"/>
        <v>100.98824396868162</v>
      </c>
      <c r="BK118" s="1082">
        <f t="shared" si="86"/>
        <v>11.652893193106186</v>
      </c>
      <c r="BL118" s="1056">
        <f t="shared" si="55"/>
        <v>295.75424832912125</v>
      </c>
      <c r="BM118" s="167">
        <v>0</v>
      </c>
      <c r="BN118" s="1075">
        <f t="shared" si="87"/>
        <v>295.75424832912125</v>
      </c>
    </row>
    <row r="119" spans="1:66">
      <c r="A119" s="927">
        <f>'Input data'!A149</f>
        <v>2049</v>
      </c>
      <c r="B119" s="824">
        <f>'Input data'!B149</f>
        <v>75.173102421925719</v>
      </c>
      <c r="C119" s="824">
        <f>'Recycling - Case 3'!AK129/B119</f>
        <v>266.27027902920838</v>
      </c>
      <c r="D119" s="825">
        <f>'Recycling - Case 3'!AM129</f>
        <v>0.11134921469690319</v>
      </c>
      <c r="E119" s="826">
        <f>'Recycling - Case 3'!BE129</f>
        <v>0.2211043936267808</v>
      </c>
      <c r="F119" s="826">
        <f>'Recycling - Case 3'!BF129</f>
        <v>0.28042018795278467</v>
      </c>
      <c r="G119" s="826">
        <f>'Recycling - Case 3'!BG129</f>
        <v>5.3080090352890782E-2</v>
      </c>
      <c r="H119" s="826">
        <f>'Recycling - Case 3'!BH129</f>
        <v>0</v>
      </c>
      <c r="I119" s="826">
        <f>'Recycling - Case 3'!BI129</f>
        <v>0</v>
      </c>
      <c r="J119" s="826">
        <f>'Recycling - Case 3'!BJ129</f>
        <v>0</v>
      </c>
      <c r="K119" s="826">
        <f>'Recycling - Case 3'!BK129</f>
        <v>0.44539532806754367</v>
      </c>
      <c r="L119" s="827">
        <f t="shared" si="89"/>
        <v>0.99999999999999989</v>
      </c>
      <c r="M119" s="4"/>
      <c r="N119" s="838">
        <f t="shared" si="56"/>
        <v>2228.8062963921589</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0.11048173277573037</v>
      </c>
      <c r="Q119" s="832">
        <f t="shared" si="57"/>
        <v>123.12119082343189</v>
      </c>
      <c r="R119" s="832">
        <f t="shared" si="58"/>
        <v>123.12119082343189</v>
      </c>
      <c r="S119" s="835">
        <f t="shared" si="59"/>
        <v>0</v>
      </c>
      <c r="T119" s="832">
        <f t="shared" si="92"/>
        <v>5336.0626184028215</v>
      </c>
      <c r="U119" s="832">
        <f t="shared" si="61"/>
        <v>267.27322233599119</v>
      </c>
      <c r="V119" s="839">
        <f t="shared" si="62"/>
        <v>178.18214822399412</v>
      </c>
      <c r="W119" s="4"/>
      <c r="X119" s="852">
        <f>'Recycling - Case 3'!AM169</f>
        <v>674.73413090886982</v>
      </c>
      <c r="Y119" s="853">
        <f>Parameters!S289</f>
        <v>0.71500000000000008</v>
      </c>
      <c r="Z119" s="853">
        <f t="shared" si="63"/>
        <v>0.4</v>
      </c>
      <c r="AA119" s="854">
        <f t="shared" si="64"/>
        <v>96.486980719968386</v>
      </c>
      <c r="AB119" s="854">
        <f t="shared" si="65"/>
        <v>96.486980719968386</v>
      </c>
      <c r="AC119" s="855">
        <f t="shared" si="66"/>
        <v>0</v>
      </c>
      <c r="AD119" s="854">
        <f t="shared" si="67"/>
        <v>2995.4287484840252</v>
      </c>
      <c r="AE119" s="854">
        <f t="shared" si="68"/>
        <v>148.63192276351245</v>
      </c>
      <c r="AF119" s="856">
        <f t="shared" si="69"/>
        <v>99.087948509008299</v>
      </c>
      <c r="AG119" s="4"/>
      <c r="AH119" s="852">
        <f>'Recycling - Case 3'!AM209</f>
        <v>674.73413090886982</v>
      </c>
      <c r="AI119" s="853">
        <f>Parameters!S289</f>
        <v>0.71500000000000008</v>
      </c>
      <c r="AJ119" s="853">
        <f t="shared" si="70"/>
        <v>0.4</v>
      </c>
      <c r="AK119" s="854">
        <f t="shared" si="71"/>
        <v>96.486980719968386</v>
      </c>
      <c r="AL119" s="854">
        <f t="shared" si="72"/>
        <v>96.486980719968386</v>
      </c>
      <c r="AM119" s="855">
        <f t="shared" si="73"/>
        <v>0</v>
      </c>
      <c r="AN119" s="854">
        <f t="shared" si="74"/>
        <v>2995.4287484840252</v>
      </c>
      <c r="AO119" s="854">
        <f t="shared" si="75"/>
        <v>148.63192276351245</v>
      </c>
      <c r="AP119" s="856">
        <f t="shared" si="76"/>
        <v>99.087948509008299</v>
      </c>
      <c r="AQ119" s="4"/>
      <c r="AR119" s="850">
        <f>'Recycling - Case 3'!G129</f>
        <v>851.30707952519265</v>
      </c>
      <c r="AS119" s="846">
        <v>1</v>
      </c>
      <c r="AT119" s="846">
        <f t="shared" si="77"/>
        <v>0.05</v>
      </c>
      <c r="AU119" s="832">
        <f t="shared" si="78"/>
        <v>21.282676988129818</v>
      </c>
      <c r="AV119" s="832">
        <f t="shared" si="79"/>
        <v>21.282676988129818</v>
      </c>
      <c r="AW119" s="835">
        <f t="shared" si="80"/>
        <v>0</v>
      </c>
      <c r="AX119" s="832">
        <f t="shared" si="91"/>
        <v>307.43861521099808</v>
      </c>
      <c r="AY119" s="832">
        <f t="shared" si="49"/>
        <v>17.694894993149443</v>
      </c>
      <c r="AZ119" s="930">
        <f t="shared" si="47"/>
        <v>11.796596662099629</v>
      </c>
      <c r="BA119" s="4"/>
      <c r="BB119" s="1055">
        <f t="shared" si="81"/>
        <v>178.18214822399412</v>
      </c>
      <c r="BC119" s="1056">
        <f t="shared" si="82"/>
        <v>99.087948509008299</v>
      </c>
      <c r="BD119" s="1082">
        <f t="shared" si="90"/>
        <v>11.796596662099629</v>
      </c>
      <c r="BE119" s="1056">
        <f t="shared" si="54"/>
        <v>289.06669339510205</v>
      </c>
      <c r="BF119" s="167">
        <v>0</v>
      </c>
      <c r="BG119" s="1075">
        <f t="shared" si="83"/>
        <v>289.06669339510205</v>
      </c>
      <c r="BI119" s="1055">
        <f t="shared" si="84"/>
        <v>178.18214822399412</v>
      </c>
      <c r="BJ119" s="1056">
        <f t="shared" si="85"/>
        <v>99.087948509008299</v>
      </c>
      <c r="BK119" s="1082">
        <f t="shared" si="86"/>
        <v>11.796596662099629</v>
      </c>
      <c r="BL119" s="1056">
        <f t="shared" si="55"/>
        <v>289.06669339510205</v>
      </c>
      <c r="BM119" s="167">
        <v>0</v>
      </c>
      <c r="BN119" s="1075">
        <f t="shared" si="87"/>
        <v>289.06669339510205</v>
      </c>
    </row>
    <row r="120" spans="1:66" ht="15.75" thickBot="1">
      <c r="A120" s="928">
        <f>'Input data'!A150</f>
        <v>2050</v>
      </c>
      <c r="B120" s="828">
        <f>'Input data'!B150</f>
        <v>75.517908954390194</v>
      </c>
      <c r="C120" s="828">
        <f>'Recycling - Case 3'!AK130/B120</f>
        <v>265.67597106004104</v>
      </c>
      <c r="D120" s="829">
        <f>'Recycling - Case 3'!AM130</f>
        <v>0.11108875338663823</v>
      </c>
      <c r="E120" s="830">
        <f>'Recycling - Case 3'!BE130</f>
        <v>0.22140713372189641</v>
      </c>
      <c r="F120" s="830">
        <f>'Recycling - Case 3'!BF130</f>
        <v>0.28080414429567152</v>
      </c>
      <c r="G120" s="830">
        <f>'Recycling - Case 3'!BG130</f>
        <v>5.3006967571651797E-2</v>
      </c>
      <c r="H120" s="830">
        <f>'Recycling - Case 3'!BH130</f>
        <v>0</v>
      </c>
      <c r="I120" s="830">
        <f>'Recycling - Case 3'!BI130</f>
        <v>0</v>
      </c>
      <c r="J120" s="830">
        <f>'Recycling - Case 3'!BJ130</f>
        <v>0</v>
      </c>
      <c r="K120" s="830">
        <f>'Recycling - Case 3'!BK130</f>
        <v>0.44478175441078022</v>
      </c>
      <c r="L120" s="831">
        <f t="shared" si="89"/>
        <v>1</v>
      </c>
      <c r="M120" s="4"/>
      <c r="N120" s="840">
        <f t="shared" si="56"/>
        <v>2228.8062963921579</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0.1105746859460795</v>
      </c>
      <c r="Q120" s="843">
        <f t="shared" si="57"/>
        <v>123.22477812910373</v>
      </c>
      <c r="R120" s="843">
        <f t="shared" si="58"/>
        <v>123.22477812910373</v>
      </c>
      <c r="S120" s="844">
        <f t="shared" si="59"/>
        <v>0</v>
      </c>
      <c r="T120" s="843">
        <f t="shared" si="92"/>
        <v>5199.0445517321923</v>
      </c>
      <c r="U120" s="843">
        <f t="shared" si="61"/>
        <v>260.24284479973244</v>
      </c>
      <c r="V120" s="845">
        <f t="shared" si="62"/>
        <v>173.4952298664883</v>
      </c>
      <c r="W120" s="4"/>
      <c r="X120" s="857">
        <f>'Recycling - Case 3'!AM170</f>
        <v>698.7264857066707</v>
      </c>
      <c r="Y120" s="858">
        <f>Parameters!S290</f>
        <v>0.71500000000000008</v>
      </c>
      <c r="Z120" s="858">
        <f t="shared" si="63"/>
        <v>0.4</v>
      </c>
      <c r="AA120" s="859">
        <f>X120*Z120*Y120*$D$4</f>
        <v>99.917887456053919</v>
      </c>
      <c r="AB120" s="859">
        <f t="shared" si="65"/>
        <v>99.917887456053919</v>
      </c>
      <c r="AC120" s="860">
        <f t="shared" si="66"/>
        <v>0</v>
      </c>
      <c r="AD120" s="859">
        <f t="shared" si="67"/>
        <v>2949.2578520094071</v>
      </c>
      <c r="AE120" s="859">
        <f t="shared" si="68"/>
        <v>146.08878393067187</v>
      </c>
      <c r="AF120" s="861">
        <f t="shared" si="69"/>
        <v>97.392522620447906</v>
      </c>
      <c r="AG120" s="4"/>
      <c r="AH120" s="857">
        <f>'Recycling - Case 3'!AM210</f>
        <v>698.7264857066707</v>
      </c>
      <c r="AI120" s="858">
        <f>Parameters!S290</f>
        <v>0.71500000000000008</v>
      </c>
      <c r="AJ120" s="858">
        <f t="shared" si="70"/>
        <v>0.4</v>
      </c>
      <c r="AK120" s="859">
        <f t="shared" si="71"/>
        <v>99.917887456053919</v>
      </c>
      <c r="AL120" s="859">
        <f t="shared" si="72"/>
        <v>99.917887456053919</v>
      </c>
      <c r="AM120" s="860">
        <f t="shared" si="73"/>
        <v>0</v>
      </c>
      <c r="AN120" s="859">
        <f t="shared" si="74"/>
        <v>2949.2578520094071</v>
      </c>
      <c r="AO120" s="859">
        <f t="shared" si="75"/>
        <v>146.08878393067187</v>
      </c>
      <c r="AP120" s="861">
        <f t="shared" si="76"/>
        <v>97.392522620447906</v>
      </c>
      <c r="AQ120" s="4"/>
      <c r="AR120" s="851">
        <f>'Recycling - Case 3'!G130</f>
        <v>855.21188367317097</v>
      </c>
      <c r="AS120" s="848">
        <f>Parameters!R221</f>
        <v>1</v>
      </c>
      <c r="AT120" s="848">
        <f t="shared" si="77"/>
        <v>0.05</v>
      </c>
      <c r="AU120" s="843">
        <f t="shared" si="78"/>
        <v>21.380297091829277</v>
      </c>
      <c r="AV120" s="843">
        <f t="shared" si="79"/>
        <v>21.380297091829277</v>
      </c>
      <c r="AW120" s="844">
        <f t="shared" si="80"/>
        <v>0</v>
      </c>
      <c r="AX120" s="843">
        <f t="shared" si="91"/>
        <v>310.91508115180221</v>
      </c>
      <c r="AY120" s="843">
        <f t="shared" si="49"/>
        <v>17.903831151025159</v>
      </c>
      <c r="AZ120" s="931">
        <f t="shared" si="47"/>
        <v>11.935887434016772</v>
      </c>
      <c r="BA120" s="4"/>
      <c r="BB120" s="1057">
        <f t="shared" si="81"/>
        <v>173.4952298664883</v>
      </c>
      <c r="BC120" s="1058">
        <f t="shared" si="82"/>
        <v>97.392522620447906</v>
      </c>
      <c r="BD120" s="1083">
        <f t="shared" si="90"/>
        <v>11.935887434016772</v>
      </c>
      <c r="BE120" s="1058">
        <f t="shared" si="54"/>
        <v>282.82363992095298</v>
      </c>
      <c r="BF120" s="1059">
        <v>0</v>
      </c>
      <c r="BG120" s="1076">
        <f t="shared" si="83"/>
        <v>282.82363992095298</v>
      </c>
      <c r="BI120" s="1057">
        <f t="shared" si="84"/>
        <v>173.4952298664883</v>
      </c>
      <c r="BJ120" s="1058">
        <f t="shared" si="85"/>
        <v>97.392522620447906</v>
      </c>
      <c r="BK120" s="1083">
        <f t="shared" si="86"/>
        <v>11.935887434016772</v>
      </c>
      <c r="BL120" s="1058">
        <f t="shared" si="55"/>
        <v>282.82363992095298</v>
      </c>
      <c r="BM120" s="1059">
        <v>0</v>
      </c>
      <c r="BN120" s="1076">
        <f t="shared" si="87"/>
        <v>282.82363992095298</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188" t="s">
        <v>736</v>
      </c>
      <c r="B1" s="1189"/>
      <c r="C1" s="115"/>
      <c r="D1" s="115"/>
      <c r="E1" s="115"/>
      <c r="F1" s="116"/>
    </row>
    <row r="2" spans="1:23">
      <c r="A2" s="127"/>
      <c r="F2" s="130"/>
    </row>
    <row r="3" spans="1:23" ht="30">
      <c r="A3" s="157" t="s">
        <v>175</v>
      </c>
      <c r="C3" s="1190" t="s">
        <v>177</v>
      </c>
      <c r="D3" s="1190" t="s">
        <v>178</v>
      </c>
      <c r="E3" s="1191"/>
      <c r="F3" s="1108" t="s">
        <v>185</v>
      </c>
    </row>
    <row r="4" spans="1:23">
      <c r="A4" s="127" t="s">
        <v>176</v>
      </c>
      <c r="B4" t="s">
        <v>179</v>
      </c>
      <c r="C4">
        <v>10</v>
      </c>
      <c r="D4">
        <v>4</v>
      </c>
      <c r="F4" s="1990" t="s">
        <v>184</v>
      </c>
    </row>
    <row r="5" spans="1:23">
      <c r="A5" s="127" t="s">
        <v>180</v>
      </c>
      <c r="B5" t="s">
        <v>179</v>
      </c>
      <c r="C5">
        <v>2</v>
      </c>
      <c r="D5">
        <v>0.8</v>
      </c>
      <c r="F5" s="1990"/>
    </row>
    <row r="6" spans="1:23">
      <c r="A6" s="157" t="s">
        <v>181</v>
      </c>
      <c r="F6" s="1990"/>
    </row>
    <row r="7" spans="1:23">
      <c r="A7" s="127" t="s">
        <v>176</v>
      </c>
      <c r="B7" t="s">
        <v>183</v>
      </c>
      <c r="C7">
        <v>0.6</v>
      </c>
      <c r="D7">
        <v>0.24</v>
      </c>
      <c r="F7" s="1990"/>
    </row>
    <row r="8" spans="1:23" ht="15.75" thickBot="1">
      <c r="A8" s="172" t="s">
        <v>180</v>
      </c>
      <c r="B8" s="163" t="s">
        <v>183</v>
      </c>
      <c r="C8" s="1107" t="s">
        <v>182</v>
      </c>
      <c r="D8" s="1107" t="s">
        <v>182</v>
      </c>
      <c r="E8" s="163"/>
      <c r="F8" s="1991"/>
    </row>
    <row r="9" spans="1:23" ht="15.75" thickBot="1">
      <c r="C9" s="395"/>
      <c r="D9" s="395"/>
      <c r="F9" s="1191"/>
    </row>
    <row r="10" spans="1:23" ht="15.75" thickBot="1">
      <c r="B10" s="1975" t="s">
        <v>510</v>
      </c>
      <c r="C10" s="1976"/>
      <c r="D10" s="1976"/>
      <c r="E10" s="1976"/>
      <c r="F10" s="1976"/>
      <c r="G10" s="1976"/>
      <c r="H10" s="1976"/>
      <c r="I10" s="1976"/>
      <c r="J10" s="1977"/>
      <c r="K10" s="1972" t="s">
        <v>509</v>
      </c>
      <c r="L10" s="1973"/>
      <c r="M10" s="1973"/>
      <c r="N10" s="1973"/>
      <c r="O10" s="1973"/>
      <c r="P10" s="1973"/>
      <c r="Q10" s="1973"/>
      <c r="R10" s="1973"/>
      <c r="S10" s="1974"/>
      <c r="T10" s="1978" t="s">
        <v>511</v>
      </c>
      <c r="U10" s="1979"/>
      <c r="V10" s="1979"/>
      <c r="W10" s="1980"/>
    </row>
    <row r="11" spans="1:23" ht="28.9" customHeight="1">
      <c r="A11" s="1988" t="s">
        <v>217</v>
      </c>
      <c r="B11" s="774" t="s">
        <v>619</v>
      </c>
      <c r="C11" s="1986" t="s">
        <v>495</v>
      </c>
      <c r="D11" s="1987"/>
      <c r="E11" s="1986" t="s">
        <v>289</v>
      </c>
      <c r="F11" s="1987"/>
      <c r="G11" s="1986" t="s">
        <v>290</v>
      </c>
      <c r="H11" s="1994"/>
      <c r="I11" s="1992" t="s">
        <v>287</v>
      </c>
      <c r="J11" s="1993"/>
      <c r="K11" s="474" t="s">
        <v>507</v>
      </c>
      <c r="L11" s="1981" t="s">
        <v>495</v>
      </c>
      <c r="M11" s="1982"/>
      <c r="N11" s="1981" t="s">
        <v>289</v>
      </c>
      <c r="O11" s="1982"/>
      <c r="P11" s="1981" t="s">
        <v>290</v>
      </c>
      <c r="Q11" s="1983"/>
      <c r="R11" s="1984" t="s">
        <v>287</v>
      </c>
      <c r="S11" s="1985"/>
      <c r="T11" s="1970" t="s">
        <v>508</v>
      </c>
      <c r="U11" s="1971"/>
      <c r="V11" s="1970" t="s">
        <v>783</v>
      </c>
      <c r="W11" s="1971"/>
    </row>
    <row r="12" spans="1:23" ht="29.45" customHeight="1" thickBot="1">
      <c r="A12" s="1989"/>
      <c r="B12" s="473" t="s">
        <v>228</v>
      </c>
      <c r="C12" s="1621" t="s">
        <v>234</v>
      </c>
      <c r="D12" s="1622" t="s">
        <v>176</v>
      </c>
      <c r="E12" s="1621" t="s">
        <v>234</v>
      </c>
      <c r="F12" s="1622" t="s">
        <v>176</v>
      </c>
      <c r="G12" s="1621" t="s">
        <v>234</v>
      </c>
      <c r="H12" s="1623" t="s">
        <v>176</v>
      </c>
      <c r="I12" s="1624" t="s">
        <v>234</v>
      </c>
      <c r="J12" s="1625" t="s">
        <v>176</v>
      </c>
      <c r="K12" s="475" t="s">
        <v>228</v>
      </c>
      <c r="L12" s="475" t="s">
        <v>234</v>
      </c>
      <c r="M12" s="1615" t="s">
        <v>176</v>
      </c>
      <c r="N12" s="475" t="s">
        <v>234</v>
      </c>
      <c r="O12" s="1615" t="s">
        <v>176</v>
      </c>
      <c r="P12" s="475" t="s">
        <v>234</v>
      </c>
      <c r="Q12" s="1616" t="s">
        <v>176</v>
      </c>
      <c r="R12" s="1617" t="s">
        <v>234</v>
      </c>
      <c r="S12" s="1618" t="s">
        <v>176</v>
      </c>
      <c r="T12" s="1619" t="s">
        <v>234</v>
      </c>
      <c r="U12" s="1620" t="s">
        <v>176</v>
      </c>
      <c r="V12" s="1619" t="s">
        <v>234</v>
      </c>
      <c r="W12" s="1620" t="s">
        <v>176</v>
      </c>
    </row>
    <row r="13" spans="1:23" ht="14.45" hidden="1" customHeight="1">
      <c r="A13" s="123">
        <f>'Input data'!A50</f>
        <v>1950</v>
      </c>
      <c r="B13" s="1192"/>
      <c r="C13">
        <v>0</v>
      </c>
      <c r="D13">
        <v>0</v>
      </c>
      <c r="E13">
        <v>0</v>
      </c>
      <c r="F13">
        <v>0</v>
      </c>
      <c r="G13" s="178">
        <f>C13*$D$5*'Input data'!K50/1000-E13</f>
        <v>0</v>
      </c>
      <c r="H13" s="178">
        <f>D13*$D$4*'Input data'!K50/1000-F13</f>
        <v>0</v>
      </c>
      <c r="I13" s="178">
        <v>0</v>
      </c>
      <c r="J13" s="178">
        <f>D13*$D$7*'Input data'!K50/1000</f>
        <v>0</v>
      </c>
      <c r="K13" s="1192"/>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192"/>
      <c r="C14" t="e">
        <f>'Input data'!#REF!</f>
        <v>#REF!</v>
      </c>
      <c r="D14" t="e">
        <f>'Input data'!#REF!</f>
        <v>#REF!</v>
      </c>
      <c r="E14">
        <v>0</v>
      </c>
      <c r="F14">
        <v>0</v>
      </c>
      <c r="G14" s="178" t="e">
        <f>C14*$D$5*'Input data'!K51/1000-E14</f>
        <v>#REF!</v>
      </c>
      <c r="H14" s="178" t="e">
        <f>D14*$D$4*'Input data'!K51/1000-F14</f>
        <v>#REF!</v>
      </c>
      <c r="J14" s="178" t="e">
        <f>D14*$D$7*'Input data'!K51/1000</f>
        <v>#REF!</v>
      </c>
      <c r="K14" s="1192"/>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192"/>
      <c r="C15" t="e">
        <f>'Input data'!#REF!</f>
        <v>#REF!</v>
      </c>
      <c r="D15" t="e">
        <f>'Input data'!#REF!</f>
        <v>#REF!</v>
      </c>
      <c r="E15">
        <v>0</v>
      </c>
      <c r="F15">
        <v>0</v>
      </c>
      <c r="G15" s="178" t="e">
        <f>C15*$D$5*'Input data'!K52/1000-E15</f>
        <v>#REF!</v>
      </c>
      <c r="H15" s="178" t="e">
        <f>D15*$D$4*'Input data'!K52/1000-F15</f>
        <v>#REF!</v>
      </c>
      <c r="J15" s="178" t="e">
        <f>D15*$D$7*'Input data'!K52/1000</f>
        <v>#REF!</v>
      </c>
      <c r="K15" s="1192"/>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192"/>
      <c r="C16" t="e">
        <f>'Input data'!#REF!</f>
        <v>#REF!</v>
      </c>
      <c r="D16" t="e">
        <f>'Input data'!#REF!</f>
        <v>#REF!</v>
      </c>
      <c r="E16">
        <v>0</v>
      </c>
      <c r="F16">
        <v>0</v>
      </c>
      <c r="G16" s="178" t="e">
        <f>C16*$D$5*'Input data'!K53/1000-E16</f>
        <v>#REF!</v>
      </c>
      <c r="H16" s="178" t="e">
        <f>D16*$D$4*'Input data'!K53/1000-F16</f>
        <v>#REF!</v>
      </c>
      <c r="J16" s="178" t="e">
        <f>D16*$D$7*'Input data'!K53/1000</f>
        <v>#REF!</v>
      </c>
      <c r="K16" s="1192"/>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192"/>
      <c r="C17" t="e">
        <f>'Input data'!#REF!</f>
        <v>#REF!</v>
      </c>
      <c r="D17" t="e">
        <f>'Input data'!#REF!</f>
        <v>#REF!</v>
      </c>
      <c r="E17">
        <v>0</v>
      </c>
      <c r="F17">
        <v>0</v>
      </c>
      <c r="G17" s="178" t="e">
        <f>C17*$D$5*'Input data'!K54/1000-E17</f>
        <v>#REF!</v>
      </c>
      <c r="H17" s="178" t="e">
        <f>D17*$D$4*'Input data'!K54/1000-F17</f>
        <v>#REF!</v>
      </c>
      <c r="J17" s="178" t="e">
        <f>D17*$D$7*'Input data'!K54/1000</f>
        <v>#REF!</v>
      </c>
      <c r="K17" s="1192"/>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192"/>
      <c r="C18" t="e">
        <f>'Input data'!#REF!</f>
        <v>#REF!</v>
      </c>
      <c r="D18" t="e">
        <f>'Input data'!#REF!</f>
        <v>#REF!</v>
      </c>
      <c r="E18">
        <v>0</v>
      </c>
      <c r="F18">
        <v>0</v>
      </c>
      <c r="G18" s="178" t="e">
        <f>C18*$D$5*'Input data'!K55/1000-E18</f>
        <v>#REF!</v>
      </c>
      <c r="H18" s="178" t="e">
        <f>D18*$D$4*'Input data'!K55/1000-F18</f>
        <v>#REF!</v>
      </c>
      <c r="J18" s="178" t="e">
        <f>D18*$D$7*'Input data'!K55/1000</f>
        <v>#REF!</v>
      </c>
      <c r="K18" s="1192"/>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192"/>
      <c r="C19" t="e">
        <f>'Input data'!#REF!</f>
        <v>#REF!</v>
      </c>
      <c r="D19" t="e">
        <f>'Input data'!#REF!</f>
        <v>#REF!</v>
      </c>
      <c r="E19">
        <v>0</v>
      </c>
      <c r="F19">
        <v>0</v>
      </c>
      <c r="G19" s="178" t="e">
        <f>C19*$D$5*'Input data'!K56/1000-E19</f>
        <v>#REF!</v>
      </c>
      <c r="H19" s="178" t="e">
        <f>D19*$D$4*'Input data'!K56/1000-F19</f>
        <v>#REF!</v>
      </c>
      <c r="J19" s="178" t="e">
        <f>D19*$D$7*'Input data'!K56/1000</f>
        <v>#REF!</v>
      </c>
      <c r="K19" s="1192"/>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192"/>
      <c r="C20" t="e">
        <f>'Input data'!#REF!</f>
        <v>#REF!</v>
      </c>
      <c r="D20" t="e">
        <f>'Input data'!#REF!</f>
        <v>#REF!</v>
      </c>
      <c r="E20">
        <v>0</v>
      </c>
      <c r="F20">
        <v>0</v>
      </c>
      <c r="G20" s="178" t="e">
        <f>C20*$D$5*'Input data'!K57/1000-E20</f>
        <v>#REF!</v>
      </c>
      <c r="H20" s="178" t="e">
        <f>D20*$D$4*'Input data'!K57/1000-F20</f>
        <v>#REF!</v>
      </c>
      <c r="J20" s="178" t="e">
        <f>D20*$D$7*'Input data'!K57/1000</f>
        <v>#REF!</v>
      </c>
      <c r="K20" s="1192"/>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192"/>
      <c r="C21" t="e">
        <f>'Input data'!#REF!</f>
        <v>#REF!</v>
      </c>
      <c r="D21" t="e">
        <f>'Input data'!#REF!</f>
        <v>#REF!</v>
      </c>
      <c r="E21">
        <v>0</v>
      </c>
      <c r="F21">
        <v>0</v>
      </c>
      <c r="G21" s="178" t="e">
        <f>C21*$D$5*'Input data'!K58/1000-E21</f>
        <v>#REF!</v>
      </c>
      <c r="H21" s="178" t="e">
        <f>D21*$D$4*'Input data'!K58/1000-F21</f>
        <v>#REF!</v>
      </c>
      <c r="J21" s="178" t="e">
        <f>D21*$D$7*'Input data'!K58/1000</f>
        <v>#REF!</v>
      </c>
      <c r="K21" s="1192"/>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192"/>
      <c r="C22" t="e">
        <f>'Input data'!#REF!</f>
        <v>#REF!</v>
      </c>
      <c r="D22" t="e">
        <f>'Input data'!#REF!</f>
        <v>#REF!</v>
      </c>
      <c r="E22">
        <v>0</v>
      </c>
      <c r="F22">
        <v>0</v>
      </c>
      <c r="G22" s="178" t="e">
        <f>C22*$D$5*'Input data'!K59/1000-E22</f>
        <v>#REF!</v>
      </c>
      <c r="H22" s="178" t="e">
        <f>D22*$D$4*'Input data'!K59/1000-F22</f>
        <v>#REF!</v>
      </c>
      <c r="J22" s="178" t="e">
        <f>D22*$D$7*'Input data'!K59/1000</f>
        <v>#REF!</v>
      </c>
      <c r="K22" s="1192"/>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192"/>
      <c r="C23" t="e">
        <f>'Input data'!#REF!</f>
        <v>#REF!</v>
      </c>
      <c r="D23" t="e">
        <f>'Input data'!#REF!</f>
        <v>#REF!</v>
      </c>
      <c r="E23">
        <v>0</v>
      </c>
      <c r="F23">
        <v>0</v>
      </c>
      <c r="G23" s="178" t="e">
        <f>C23*$D$5*'Input data'!K60/1000-E23</f>
        <v>#REF!</v>
      </c>
      <c r="H23" s="178" t="e">
        <f>D23*$D$4*'Input data'!K60/1000-F23</f>
        <v>#REF!</v>
      </c>
      <c r="J23" s="178" t="e">
        <f>D23*$D$7*'Input data'!K60/1000</f>
        <v>#REF!</v>
      </c>
      <c r="K23" s="1192"/>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192"/>
      <c r="C24" t="e">
        <f>'Input data'!#REF!</f>
        <v>#REF!</v>
      </c>
      <c r="D24" t="e">
        <f>'Input data'!#REF!</f>
        <v>#REF!</v>
      </c>
      <c r="E24">
        <v>0</v>
      </c>
      <c r="F24">
        <v>0</v>
      </c>
      <c r="G24" s="178" t="e">
        <f>C24*$D$5*'Input data'!K61/1000-E24</f>
        <v>#REF!</v>
      </c>
      <c r="H24" s="178" t="e">
        <f>D24*$D$4*'Input data'!K61/1000-F24</f>
        <v>#REF!</v>
      </c>
      <c r="J24" s="178" t="e">
        <f>D24*$D$7*'Input data'!K61/1000</f>
        <v>#REF!</v>
      </c>
      <c r="K24" s="1192"/>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192"/>
      <c r="C25" t="e">
        <f>'Input data'!#REF!</f>
        <v>#REF!</v>
      </c>
      <c r="D25" t="e">
        <f>'Input data'!#REF!</f>
        <v>#REF!</v>
      </c>
      <c r="E25">
        <v>0</v>
      </c>
      <c r="F25">
        <v>0</v>
      </c>
      <c r="G25" s="178" t="e">
        <f>C25*$D$5*'Input data'!K62/1000-E25</f>
        <v>#REF!</v>
      </c>
      <c r="H25" s="178" t="e">
        <f>D25*$D$4*'Input data'!K62/1000-F25</f>
        <v>#REF!</v>
      </c>
      <c r="J25" s="178" t="e">
        <f>D25*$D$7*'Input data'!K62/1000</f>
        <v>#REF!</v>
      </c>
      <c r="K25" s="1192"/>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192"/>
      <c r="C26" t="e">
        <f>'Input data'!#REF!</f>
        <v>#REF!</v>
      </c>
      <c r="D26" t="e">
        <f>'Input data'!#REF!</f>
        <v>#REF!</v>
      </c>
      <c r="E26">
        <v>0</v>
      </c>
      <c r="F26">
        <v>0</v>
      </c>
      <c r="G26" s="178" t="e">
        <f>C26*$D$5*'Input data'!K63/1000-E26</f>
        <v>#REF!</v>
      </c>
      <c r="H26" s="178" t="e">
        <f>D26*$D$4*'Input data'!K63/1000-F26</f>
        <v>#REF!</v>
      </c>
      <c r="J26" s="178" t="e">
        <f>D26*$D$7*'Input data'!K63/1000</f>
        <v>#REF!</v>
      </c>
      <c r="K26" s="1192"/>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192"/>
      <c r="C27" t="e">
        <f>'Input data'!#REF!</f>
        <v>#REF!</v>
      </c>
      <c r="D27" t="e">
        <f>'Input data'!#REF!</f>
        <v>#REF!</v>
      </c>
      <c r="E27">
        <v>0</v>
      </c>
      <c r="F27">
        <v>0</v>
      </c>
      <c r="G27" s="178" t="e">
        <f>C27*$D$5*'Input data'!K64/1000-E27</f>
        <v>#REF!</v>
      </c>
      <c r="H27" s="178" t="e">
        <f>D27*$D$4*'Input data'!K64/1000-F27</f>
        <v>#REF!</v>
      </c>
      <c r="J27" s="178" t="e">
        <f>D27*$D$7*'Input data'!K64/1000</f>
        <v>#REF!</v>
      </c>
      <c r="K27" s="1192"/>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192"/>
      <c r="C28" t="e">
        <f>'Input data'!#REF!</f>
        <v>#REF!</v>
      </c>
      <c r="D28" t="e">
        <f>'Input data'!#REF!</f>
        <v>#REF!</v>
      </c>
      <c r="E28">
        <v>0</v>
      </c>
      <c r="F28">
        <v>0</v>
      </c>
      <c r="G28" s="178" t="e">
        <f>C28*$D$5*'Input data'!K65/1000-E28</f>
        <v>#REF!</v>
      </c>
      <c r="H28" s="178" t="e">
        <f>D28*$D$4*'Input data'!K65/1000-F28</f>
        <v>#REF!</v>
      </c>
      <c r="J28" s="178" t="e">
        <f>D28*$D$7*'Input data'!K65/1000</f>
        <v>#REF!</v>
      </c>
      <c r="K28" s="1192"/>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192"/>
      <c r="C29" t="e">
        <f>'Input data'!#REF!</f>
        <v>#REF!</v>
      </c>
      <c r="D29" t="e">
        <f>'Input data'!#REF!</f>
        <v>#REF!</v>
      </c>
      <c r="E29">
        <v>0</v>
      </c>
      <c r="F29">
        <v>0</v>
      </c>
      <c r="G29" s="178" t="e">
        <f>C29*$D$5*'Input data'!K66/1000-E29</f>
        <v>#REF!</v>
      </c>
      <c r="H29" s="178" t="e">
        <f>D29*$D$4*'Input data'!K66/1000-F29</f>
        <v>#REF!</v>
      </c>
      <c r="J29" s="178" t="e">
        <f>D29*$D$7*'Input data'!K66/1000</f>
        <v>#REF!</v>
      </c>
      <c r="K29" s="1192"/>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192"/>
      <c r="C30" t="e">
        <f>'Input data'!#REF!</f>
        <v>#REF!</v>
      </c>
      <c r="D30" t="e">
        <f>'Input data'!#REF!</f>
        <v>#REF!</v>
      </c>
      <c r="E30">
        <v>0</v>
      </c>
      <c r="F30">
        <v>0</v>
      </c>
      <c r="G30" s="178" t="e">
        <f>C30*$D$5*'Input data'!K67/1000-E30</f>
        <v>#REF!</v>
      </c>
      <c r="H30" s="178" t="e">
        <f>D30*$D$4*'Input data'!K67/1000-F30</f>
        <v>#REF!</v>
      </c>
      <c r="J30" s="178" t="e">
        <f>D30*$D$7*'Input data'!K67/1000</f>
        <v>#REF!</v>
      </c>
      <c r="K30" s="1192"/>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192"/>
      <c r="C31" t="e">
        <f>'Input data'!#REF!</f>
        <v>#REF!</v>
      </c>
      <c r="D31" t="e">
        <f>'Input data'!#REF!</f>
        <v>#REF!</v>
      </c>
      <c r="E31">
        <v>0</v>
      </c>
      <c r="F31">
        <v>0</v>
      </c>
      <c r="G31" s="178" t="e">
        <f>C31*$D$5*'Input data'!K68/1000-E31</f>
        <v>#REF!</v>
      </c>
      <c r="H31" s="178" t="e">
        <f>D31*$D$4*'Input data'!K68/1000-F31</f>
        <v>#REF!</v>
      </c>
      <c r="J31" s="178" t="e">
        <f>D31*$D$7*'Input data'!K68/1000</f>
        <v>#REF!</v>
      </c>
      <c r="K31" s="1192"/>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192"/>
      <c r="C32" t="e">
        <f>'Input data'!#REF!</f>
        <v>#REF!</v>
      </c>
      <c r="D32" t="e">
        <f>'Input data'!#REF!</f>
        <v>#REF!</v>
      </c>
      <c r="E32">
        <v>0</v>
      </c>
      <c r="F32">
        <v>0</v>
      </c>
      <c r="G32" s="178" t="e">
        <f>C32*$D$5*'Input data'!K69/1000-E32</f>
        <v>#REF!</v>
      </c>
      <c r="H32" s="178" t="e">
        <f>D32*$D$4*'Input data'!K69/1000-F32</f>
        <v>#REF!</v>
      </c>
      <c r="J32" s="178" t="e">
        <f>D32*$D$7*'Input data'!K69/1000</f>
        <v>#REF!</v>
      </c>
      <c r="K32" s="1192"/>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192"/>
      <c r="C33" t="e">
        <f>'Input data'!#REF!</f>
        <v>#REF!</v>
      </c>
      <c r="D33" t="e">
        <f>'Input data'!#REF!</f>
        <v>#REF!</v>
      </c>
      <c r="E33">
        <v>0</v>
      </c>
      <c r="F33">
        <v>0</v>
      </c>
      <c r="G33" s="178" t="e">
        <f>C33*$D$5*'Input data'!K70/1000-E33</f>
        <v>#REF!</v>
      </c>
      <c r="H33" s="178" t="e">
        <f>D33*$D$4*'Input data'!K70/1000-F33</f>
        <v>#REF!</v>
      </c>
      <c r="J33" s="178" t="e">
        <f>D33*$D$7*'Input data'!K70/1000</f>
        <v>#REF!</v>
      </c>
      <c r="K33" s="1192"/>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192"/>
      <c r="C34" t="e">
        <f>'Input data'!#REF!</f>
        <v>#REF!</v>
      </c>
      <c r="D34" t="e">
        <f>'Input data'!#REF!</f>
        <v>#REF!</v>
      </c>
      <c r="E34">
        <v>0</v>
      </c>
      <c r="F34">
        <v>0</v>
      </c>
      <c r="G34" s="178" t="e">
        <f>C34*$D$5*'Input data'!K71/1000-E34</f>
        <v>#REF!</v>
      </c>
      <c r="H34" s="178" t="e">
        <f>D34*$D$4*'Input data'!K71/1000-F34</f>
        <v>#REF!</v>
      </c>
      <c r="J34" s="178" t="e">
        <f>D34*$D$7*'Input data'!K71/1000</f>
        <v>#REF!</v>
      </c>
      <c r="K34" s="1192"/>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192"/>
      <c r="C35" t="e">
        <f>'Input data'!#REF!</f>
        <v>#REF!</v>
      </c>
      <c r="D35" t="e">
        <f>'Input data'!#REF!</f>
        <v>#REF!</v>
      </c>
      <c r="E35">
        <v>0</v>
      </c>
      <c r="F35">
        <v>0</v>
      </c>
      <c r="G35" s="178" t="e">
        <f>C35*$D$5*'Input data'!K72/1000-E35</f>
        <v>#REF!</v>
      </c>
      <c r="H35" s="178" t="e">
        <f>D35*$D$4*'Input data'!K72/1000-F35</f>
        <v>#REF!</v>
      </c>
      <c r="J35" s="178" t="e">
        <f>D35*$D$7*'Input data'!K72/1000</f>
        <v>#REF!</v>
      </c>
      <c r="K35" s="1192"/>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192"/>
      <c r="C36" t="e">
        <f>'Input data'!#REF!</f>
        <v>#REF!</v>
      </c>
      <c r="D36" t="e">
        <f>'Input data'!#REF!</f>
        <v>#REF!</v>
      </c>
      <c r="E36">
        <v>0</v>
      </c>
      <c r="F36">
        <v>0</v>
      </c>
      <c r="G36" s="178" t="e">
        <f>C36*$D$5*'Input data'!K73/1000-E36</f>
        <v>#REF!</v>
      </c>
      <c r="H36" s="178" t="e">
        <f>D36*$D$4*'Input data'!K73/1000-F36</f>
        <v>#REF!</v>
      </c>
      <c r="J36" s="178" t="e">
        <f>D36*$D$7*'Input data'!K73/1000</f>
        <v>#REF!</v>
      </c>
      <c r="K36" s="1192"/>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192"/>
      <c r="C37" t="e">
        <f>'Input data'!#REF!</f>
        <v>#REF!</v>
      </c>
      <c r="D37" t="e">
        <f>'Input data'!#REF!</f>
        <v>#REF!</v>
      </c>
      <c r="E37">
        <v>0</v>
      </c>
      <c r="F37">
        <v>0</v>
      </c>
      <c r="G37" s="178" t="e">
        <f>C37*$D$5*'Input data'!K74/1000-E37</f>
        <v>#REF!</v>
      </c>
      <c r="H37" s="178" t="e">
        <f>D37*$D$4*'Input data'!K74/1000-F37</f>
        <v>#REF!</v>
      </c>
      <c r="J37" s="178" t="e">
        <f>D37*$D$7*'Input data'!K74/1000</f>
        <v>#REF!</v>
      </c>
      <c r="K37" s="1192"/>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192"/>
      <c r="C38" t="e">
        <f>'Input data'!#REF!</f>
        <v>#REF!</v>
      </c>
      <c r="D38" t="e">
        <f>'Input data'!#REF!</f>
        <v>#REF!</v>
      </c>
      <c r="E38">
        <v>0</v>
      </c>
      <c r="F38">
        <v>0</v>
      </c>
      <c r="G38" s="178" t="e">
        <f>C38*$D$5*'Input data'!K75/1000-E38</f>
        <v>#REF!</v>
      </c>
      <c r="H38" s="178" t="e">
        <f>D38*$D$4*'Input data'!K75/1000-F38</f>
        <v>#REF!</v>
      </c>
      <c r="J38" s="178" t="e">
        <f>D38*$D$7*'Input data'!K75/1000</f>
        <v>#REF!</v>
      </c>
      <c r="K38" s="1192"/>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192"/>
      <c r="C39" t="e">
        <f>'Input data'!#REF!</f>
        <v>#REF!</v>
      </c>
      <c r="D39" t="e">
        <f>'Input data'!#REF!</f>
        <v>#REF!</v>
      </c>
      <c r="E39">
        <v>0</v>
      </c>
      <c r="F39">
        <v>0</v>
      </c>
      <c r="G39" s="178" t="e">
        <f>C39*$D$5*'Input data'!K76/1000-E39</f>
        <v>#REF!</v>
      </c>
      <c r="H39" s="178" t="e">
        <f>D39*$D$4*'Input data'!K76/1000-F39</f>
        <v>#REF!</v>
      </c>
      <c r="J39" s="178" t="e">
        <f>D39*$D$7*'Input data'!K76/1000</f>
        <v>#REF!</v>
      </c>
      <c r="K39" s="1192"/>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192"/>
      <c r="C40" t="e">
        <f>'Input data'!#REF!</f>
        <v>#REF!</v>
      </c>
      <c r="D40" t="e">
        <f>'Input data'!#REF!</f>
        <v>#REF!</v>
      </c>
      <c r="E40">
        <v>0</v>
      </c>
      <c r="F40">
        <v>0</v>
      </c>
      <c r="G40" s="178" t="e">
        <f>C40*$D$5*'Input data'!K77/1000-E40</f>
        <v>#REF!</v>
      </c>
      <c r="H40" s="178" t="e">
        <f>D40*$D$4*'Input data'!K77/1000-F40</f>
        <v>#REF!</v>
      </c>
      <c r="J40" s="178" t="e">
        <f>D40*$D$7*'Input data'!K77/1000</f>
        <v>#REF!</v>
      </c>
      <c r="K40" s="1192"/>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192"/>
      <c r="C41" t="e">
        <f>'Input data'!#REF!</f>
        <v>#REF!</v>
      </c>
      <c r="D41" t="e">
        <f>'Input data'!#REF!</f>
        <v>#REF!</v>
      </c>
      <c r="E41">
        <v>0</v>
      </c>
      <c r="F41">
        <v>0</v>
      </c>
      <c r="G41" s="178" t="e">
        <f>C41*$D$5*'Input data'!K78/1000-E41</f>
        <v>#REF!</v>
      </c>
      <c r="H41" s="178" t="e">
        <f>D41*$D$4*'Input data'!K78/1000-F41</f>
        <v>#REF!</v>
      </c>
      <c r="J41" s="178" t="e">
        <f>D41*$D$7*'Input data'!K78/1000</f>
        <v>#REF!</v>
      </c>
      <c r="K41" s="1192"/>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192"/>
      <c r="C42" t="e">
        <f>'Input data'!#REF!</f>
        <v>#REF!</v>
      </c>
      <c r="D42" t="e">
        <f>'Input data'!#REF!</f>
        <v>#REF!</v>
      </c>
      <c r="E42">
        <v>0</v>
      </c>
      <c r="F42">
        <v>0</v>
      </c>
      <c r="G42" s="178" t="e">
        <f>C42*$D$5*'Input data'!K79/1000-E42</f>
        <v>#REF!</v>
      </c>
      <c r="H42" s="178" t="e">
        <f>D42*$D$4*'Input data'!K79/1000-F42</f>
        <v>#REF!</v>
      </c>
      <c r="J42" s="178" t="e">
        <f>D42*$D$7*'Input data'!K79/1000</f>
        <v>#REF!</v>
      </c>
      <c r="K42" s="1192"/>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192"/>
      <c r="C43" t="e">
        <f>'Input data'!#REF!</f>
        <v>#REF!</v>
      </c>
      <c r="D43" t="e">
        <f>'Input data'!#REF!</f>
        <v>#REF!</v>
      </c>
      <c r="E43">
        <v>0</v>
      </c>
      <c r="F43">
        <v>0</v>
      </c>
      <c r="G43" s="178" t="e">
        <f>C43*$D$5*'Input data'!K80/1000-E43</f>
        <v>#REF!</v>
      </c>
      <c r="H43" s="178" t="e">
        <f>D43*$D$4*'Input data'!K80/1000-F43</f>
        <v>#REF!</v>
      </c>
      <c r="J43" s="178" t="e">
        <f>D43*$D$7*'Input data'!K80/1000</f>
        <v>#REF!</v>
      </c>
      <c r="K43" s="1192"/>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192"/>
      <c r="C44" t="e">
        <f>'Input data'!#REF!</f>
        <v>#REF!</v>
      </c>
      <c r="D44" t="e">
        <f>'Input data'!#REF!</f>
        <v>#REF!</v>
      </c>
      <c r="E44">
        <v>0</v>
      </c>
      <c r="F44">
        <v>0</v>
      </c>
      <c r="G44" s="178" t="e">
        <f>C44*$D$5*'Input data'!K81/1000-E44</f>
        <v>#REF!</v>
      </c>
      <c r="H44" s="178" t="e">
        <f>D44*$D$4*'Input data'!K81/1000-F44</f>
        <v>#REF!</v>
      </c>
      <c r="J44" s="178" t="e">
        <f>D44*$D$7*'Input data'!K81/1000</f>
        <v>#REF!</v>
      </c>
      <c r="K44" s="1192"/>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192"/>
      <c r="C45" t="e">
        <f>'Input data'!#REF!</f>
        <v>#REF!</v>
      </c>
      <c r="D45" t="e">
        <f>'Input data'!#REF!</f>
        <v>#REF!</v>
      </c>
      <c r="E45">
        <v>0</v>
      </c>
      <c r="F45">
        <v>0</v>
      </c>
      <c r="G45" s="178" t="e">
        <f>C45*$D$5*'Input data'!K82/1000-E45</f>
        <v>#REF!</v>
      </c>
      <c r="H45" s="178" t="e">
        <f>D45*$D$4*'Input data'!K82/1000-F45</f>
        <v>#REF!</v>
      </c>
      <c r="J45" s="178" t="e">
        <f>D45*$D$7*'Input data'!K82/1000</f>
        <v>#REF!</v>
      </c>
      <c r="K45" s="1192"/>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192"/>
      <c r="C46" t="e">
        <f>'Input data'!#REF!</f>
        <v>#REF!</v>
      </c>
      <c r="D46" t="e">
        <f>'Input data'!#REF!</f>
        <v>#REF!</v>
      </c>
      <c r="E46">
        <v>0</v>
      </c>
      <c r="F46">
        <v>0</v>
      </c>
      <c r="G46" s="178" t="e">
        <f>C46*$D$5*'Input data'!K83/1000-E46</f>
        <v>#REF!</v>
      </c>
      <c r="H46" s="178" t="e">
        <f>D46*$D$4*'Input data'!K83/1000-F46</f>
        <v>#REF!</v>
      </c>
      <c r="J46" s="178" t="e">
        <f>D46*$D$7*'Input data'!K83/1000</f>
        <v>#REF!</v>
      </c>
      <c r="K46" s="1192"/>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192"/>
      <c r="C47" t="e">
        <f>'Input data'!#REF!</f>
        <v>#REF!</v>
      </c>
      <c r="D47" t="e">
        <f>'Input data'!#REF!</f>
        <v>#REF!</v>
      </c>
      <c r="E47">
        <v>0</v>
      </c>
      <c r="F47">
        <v>0</v>
      </c>
      <c r="G47" s="178" t="e">
        <f>C47*$D$5*'Input data'!K84/1000-E47</f>
        <v>#REF!</v>
      </c>
      <c r="H47" s="178" t="e">
        <f>D47*$D$4*'Input data'!K84/1000-F47</f>
        <v>#REF!</v>
      </c>
      <c r="J47" s="178" t="e">
        <f>D47*$D$7*'Input data'!K84/1000</f>
        <v>#REF!</v>
      </c>
      <c r="K47" s="1192"/>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192"/>
      <c r="C48" t="e">
        <f>'Input data'!#REF!</f>
        <v>#REF!</v>
      </c>
      <c r="D48" t="e">
        <f>'Input data'!#REF!</f>
        <v>#REF!</v>
      </c>
      <c r="E48">
        <v>0</v>
      </c>
      <c r="F48">
        <v>0</v>
      </c>
      <c r="G48" s="178" t="e">
        <f>C48*$D$5*'Input data'!K85/1000-E48</f>
        <v>#REF!</v>
      </c>
      <c r="H48" s="178" t="e">
        <f>D48*$D$4*'Input data'!K85/1000-F48</f>
        <v>#REF!</v>
      </c>
      <c r="J48" s="178" t="e">
        <f>D48*$D$7*'Input data'!K85/1000</f>
        <v>#REF!</v>
      </c>
      <c r="K48" s="1192"/>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192"/>
      <c r="C49" t="e">
        <f>'Input data'!#REF!</f>
        <v>#REF!</v>
      </c>
      <c r="D49" t="e">
        <f>'Input data'!#REF!</f>
        <v>#REF!</v>
      </c>
      <c r="E49">
        <v>0</v>
      </c>
      <c r="F49">
        <v>0</v>
      </c>
      <c r="G49" s="178" t="e">
        <f>C49*$D$5*'Input data'!K86/1000-E49</f>
        <v>#REF!</v>
      </c>
      <c r="H49" s="178" t="e">
        <f>D49*$D$4*'Input data'!K86/1000-F49</f>
        <v>#REF!</v>
      </c>
      <c r="J49" s="178" t="e">
        <f>D49*$D$7*'Input data'!K86/1000</f>
        <v>#REF!</v>
      </c>
      <c r="K49" s="1192"/>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192"/>
      <c r="C50" t="e">
        <f>'Input data'!#REF!</f>
        <v>#REF!</v>
      </c>
      <c r="D50" t="e">
        <f>'Input data'!#REF!</f>
        <v>#REF!</v>
      </c>
      <c r="E50">
        <v>0</v>
      </c>
      <c r="F50">
        <v>0</v>
      </c>
      <c r="G50" s="178" t="e">
        <f>C50*$D$5*'Input data'!K87/1000-E50</f>
        <v>#REF!</v>
      </c>
      <c r="H50" s="178" t="e">
        <f>D50*$D$4*'Input data'!K87/1000-F50</f>
        <v>#REF!</v>
      </c>
      <c r="J50" s="178" t="e">
        <f>D50*$D$7*'Input data'!K87/1000</f>
        <v>#REF!</v>
      </c>
      <c r="K50" s="1192"/>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192"/>
      <c r="C51" t="e">
        <f>'Input data'!#REF!</f>
        <v>#REF!</v>
      </c>
      <c r="D51" t="e">
        <f>'Input data'!#REF!</f>
        <v>#REF!</v>
      </c>
      <c r="E51">
        <v>0</v>
      </c>
      <c r="F51">
        <v>0</v>
      </c>
      <c r="G51" s="178" t="e">
        <f>C51*$D$5*'Input data'!K88/1000-E51</f>
        <v>#REF!</v>
      </c>
      <c r="H51" s="178" t="e">
        <f>D51*$D$4*'Input data'!K88/1000-F51</f>
        <v>#REF!</v>
      </c>
      <c r="J51" s="178" t="e">
        <f>D51*$D$7*'Input data'!K88/1000</f>
        <v>#REF!</v>
      </c>
      <c r="K51" s="1192"/>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192"/>
      <c r="C52" t="e">
        <f>'Input data'!#REF!</f>
        <v>#REF!</v>
      </c>
      <c r="D52" t="e">
        <f>'Input data'!#REF!</f>
        <v>#REF!</v>
      </c>
      <c r="E52">
        <v>0</v>
      </c>
      <c r="F52">
        <v>0</v>
      </c>
      <c r="G52" s="178" t="e">
        <f>C52*$D$5*'Input data'!K89/1000-E52</f>
        <v>#REF!</v>
      </c>
      <c r="H52" s="178" t="e">
        <f>D52*$D$4*'Input data'!K89/1000-F52</f>
        <v>#REF!</v>
      </c>
      <c r="J52" s="178" t="e">
        <f>D52*$D$7*'Input data'!K89/1000</f>
        <v>#REF!</v>
      </c>
      <c r="K52" s="1192"/>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192"/>
      <c r="C53" t="e">
        <f>'Input data'!#REF!</f>
        <v>#REF!</v>
      </c>
      <c r="D53" t="e">
        <f>'Input data'!#REF!</f>
        <v>#REF!</v>
      </c>
      <c r="E53">
        <v>0</v>
      </c>
      <c r="F53">
        <v>0</v>
      </c>
      <c r="G53" s="178" t="e">
        <f>C53*$D$5*'Input data'!K90/1000-E53</f>
        <v>#REF!</v>
      </c>
      <c r="H53" s="178" t="e">
        <f>D53*$D$4*'Input data'!K90/1000-F53</f>
        <v>#REF!</v>
      </c>
      <c r="J53" s="178" t="e">
        <f>D53*$D$7*'Input data'!K90/1000</f>
        <v>#REF!</v>
      </c>
      <c r="K53" s="1192"/>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192"/>
      <c r="C54" t="e">
        <f>'Input data'!#REF!</f>
        <v>#REF!</v>
      </c>
      <c r="D54" t="e">
        <f>'Input data'!#REF!</f>
        <v>#REF!</v>
      </c>
      <c r="E54">
        <v>0</v>
      </c>
      <c r="F54">
        <v>0</v>
      </c>
      <c r="G54" s="178" t="e">
        <f>C54*$D$5*'Input data'!K91/1000-E54</f>
        <v>#REF!</v>
      </c>
      <c r="H54" s="178" t="e">
        <f>D54*$D$4*'Input data'!K91/1000-F54</f>
        <v>#REF!</v>
      </c>
      <c r="J54" s="178" t="e">
        <f>D54*$D$7*'Input data'!K91/1000</f>
        <v>#REF!</v>
      </c>
      <c r="K54" s="1192"/>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192"/>
      <c r="C55" t="e">
        <f>'Input data'!#REF!</f>
        <v>#REF!</v>
      </c>
      <c r="D55" t="e">
        <f>'Input data'!#REF!</f>
        <v>#REF!</v>
      </c>
      <c r="E55">
        <v>0</v>
      </c>
      <c r="F55">
        <v>0</v>
      </c>
      <c r="G55" s="178" t="e">
        <f>C55*$D$5*'Input data'!K92/1000-E55</f>
        <v>#REF!</v>
      </c>
      <c r="H55" s="178" t="e">
        <f>D55*$D$4*'Input data'!K92/1000-F55</f>
        <v>#REF!</v>
      </c>
      <c r="J55" s="178" t="e">
        <f>D55*$D$7*'Input data'!K92/1000</f>
        <v>#REF!</v>
      </c>
      <c r="K55" s="1192"/>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192"/>
      <c r="C56" t="e">
        <f>'Input data'!#REF!</f>
        <v>#REF!</v>
      </c>
      <c r="D56" t="e">
        <f>'Input data'!#REF!</f>
        <v>#REF!</v>
      </c>
      <c r="E56">
        <v>0</v>
      </c>
      <c r="F56">
        <v>0</v>
      </c>
      <c r="G56" s="178" t="e">
        <f>C56*$D$5*'Input data'!K93/1000-E56</f>
        <v>#REF!</v>
      </c>
      <c r="H56" s="178" t="e">
        <f>D56*$D$4*'Input data'!K93/1000-F56</f>
        <v>#REF!</v>
      </c>
      <c r="J56" s="178" t="e">
        <f>D56*$D$7*'Input data'!K93/1000</f>
        <v>#REF!</v>
      </c>
      <c r="K56" s="1192"/>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192"/>
      <c r="C57" t="e">
        <f>'Input data'!#REF!</f>
        <v>#REF!</v>
      </c>
      <c r="D57" t="e">
        <f>'Input data'!#REF!</f>
        <v>#REF!</v>
      </c>
      <c r="E57">
        <v>0</v>
      </c>
      <c r="F57">
        <v>0</v>
      </c>
      <c r="G57" s="178" t="e">
        <f>C57*$D$5*'Input data'!K94/1000-E57</f>
        <v>#REF!</v>
      </c>
      <c r="H57" s="178" t="e">
        <f>D57*$D$4*'Input data'!K94/1000-F57</f>
        <v>#REF!</v>
      </c>
      <c r="J57" s="178" t="e">
        <f>D57*$D$7*'Input data'!K94/1000</f>
        <v>#REF!</v>
      </c>
      <c r="K57" s="1192"/>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192"/>
      <c r="C58" t="e">
        <f>'Input data'!#REF!</f>
        <v>#REF!</v>
      </c>
      <c r="D58" t="e">
        <f>'Input data'!#REF!</f>
        <v>#REF!</v>
      </c>
      <c r="E58">
        <v>0</v>
      </c>
      <c r="F58">
        <v>0</v>
      </c>
      <c r="G58" s="178" t="e">
        <f>C58*$D$5*'Input data'!K95/1000-E58</f>
        <v>#REF!</v>
      </c>
      <c r="H58" s="178" t="e">
        <f>D58*$D$4*'Input data'!K95/1000-F58</f>
        <v>#REF!</v>
      </c>
      <c r="J58" s="178" t="e">
        <f>D58*$D$7*'Input data'!K95/1000</f>
        <v>#REF!</v>
      </c>
      <c r="K58" s="1192"/>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192"/>
      <c r="C59" t="e">
        <f>'Input data'!#REF!</f>
        <v>#REF!</v>
      </c>
      <c r="D59" t="e">
        <f>'Input data'!#REF!</f>
        <v>#REF!</v>
      </c>
      <c r="E59">
        <v>0</v>
      </c>
      <c r="F59">
        <v>0</v>
      </c>
      <c r="G59" s="178" t="e">
        <f>C59*$D$5*'Input data'!K96/1000-E59</f>
        <v>#REF!</v>
      </c>
      <c r="H59" s="178" t="e">
        <f>D59*$D$4*'Input data'!K96/1000-F59</f>
        <v>#REF!</v>
      </c>
      <c r="J59" s="178" t="e">
        <f>D59*$D$7*'Input data'!K96/1000</f>
        <v>#REF!</v>
      </c>
      <c r="K59" s="1192"/>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192"/>
      <c r="C60" t="e">
        <f>'Input data'!#REF!</f>
        <v>#REF!</v>
      </c>
      <c r="D60" t="e">
        <f>'Input data'!#REF!</f>
        <v>#REF!</v>
      </c>
      <c r="E60">
        <v>0</v>
      </c>
      <c r="F60">
        <v>0</v>
      </c>
      <c r="G60" s="178" t="e">
        <f>C60*$D$5*'Input data'!K97/1000-E60</f>
        <v>#REF!</v>
      </c>
      <c r="H60" s="178" t="e">
        <f>D60*$D$4*'Input data'!K97/1000-F60</f>
        <v>#REF!</v>
      </c>
      <c r="J60" s="178" t="e">
        <f>D60*$D$7*'Input data'!K97/1000</f>
        <v>#REF!</v>
      </c>
      <c r="K60" s="1192"/>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192"/>
      <c r="C61" t="e">
        <f>'Input data'!#REF!</f>
        <v>#REF!</v>
      </c>
      <c r="D61" t="e">
        <f>'Input data'!#REF!</f>
        <v>#REF!</v>
      </c>
      <c r="E61">
        <v>0</v>
      </c>
      <c r="F61">
        <v>0</v>
      </c>
      <c r="G61" s="178" t="e">
        <f>C61*$D$5*'Input data'!K98/1000-E61</f>
        <v>#REF!</v>
      </c>
      <c r="H61" s="178" t="e">
        <f>D61*$D$4*'Input data'!K98/1000-F61</f>
        <v>#REF!</v>
      </c>
      <c r="J61" s="178" t="e">
        <f>D61*$D$7*'Input data'!K98/1000</f>
        <v>#REF!</v>
      </c>
      <c r="K61" s="1192"/>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192"/>
      <c r="C62" t="e">
        <f>'Input data'!#REF!</f>
        <v>#REF!</v>
      </c>
      <c r="D62" t="e">
        <f>'Input data'!#REF!</f>
        <v>#REF!</v>
      </c>
      <c r="E62">
        <v>0</v>
      </c>
      <c r="F62">
        <v>0</v>
      </c>
      <c r="G62" s="178" t="e">
        <f>C62*$D$5*'Input data'!K99/1000-E62</f>
        <v>#REF!</v>
      </c>
      <c r="H62" s="178" t="e">
        <f>D62*$D$4*'Input data'!K99/1000-F62</f>
        <v>#REF!</v>
      </c>
      <c r="J62" s="178" t="e">
        <f>D62*$D$7*'Input data'!K99/1000</f>
        <v>#REF!</v>
      </c>
      <c r="K62" s="1192"/>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1060.0114248667383</v>
      </c>
      <c r="L63" s="647">
        <v>0</v>
      </c>
      <c r="M63" s="647">
        <f>1-L63</f>
        <v>1</v>
      </c>
      <c r="N63" s="115">
        <v>0</v>
      </c>
      <c r="O63" s="115">
        <v>0</v>
      </c>
      <c r="P63" s="737">
        <f>L63*$D$5*'Input data'!U100/1000-N63</f>
        <v>0</v>
      </c>
      <c r="Q63" s="738">
        <f>M63*$D$4*K63/1000-O63</f>
        <v>4.2400456994669531</v>
      </c>
      <c r="R63" s="115"/>
      <c r="S63" s="1193">
        <f>M63*$D$7*K63/1000</f>
        <v>0.25440274196801715</v>
      </c>
      <c r="T63" s="1194">
        <f>G63+P63</f>
        <v>0</v>
      </c>
      <c r="U63" s="1195">
        <f>H63+Q63</f>
        <v>8.0224619830130912</v>
      </c>
      <c r="V63" s="1195">
        <f>I63+R63</f>
        <v>0</v>
      </c>
      <c r="W63" s="1196">
        <f>J63+S63</f>
        <v>0.48134771898078543</v>
      </c>
      <c r="Z63" s="1397"/>
      <c r="AA63" s="1399"/>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1088.6316757477196</v>
      </c>
      <c r="L64" s="114">
        <v>0</v>
      </c>
      <c r="M64" s="114">
        <f t="shared" ref="M64:M80" si="4">1-L64</f>
        <v>1</v>
      </c>
      <c r="N64">
        <v>0</v>
      </c>
      <c r="O64">
        <v>0</v>
      </c>
      <c r="P64" s="178">
        <f>L64*$D$5*'Input data'!U101/1000-N64</f>
        <v>0</v>
      </c>
      <c r="Q64" s="419">
        <f t="shared" ref="Q64:Q114" si="5">M64*$D$4*K64/1000-O64</f>
        <v>4.3545267029908779</v>
      </c>
      <c r="S64" s="1197">
        <f t="shared" ref="S64:S114" si="6">M64*$D$7*K64/1000</f>
        <v>0.26127160217945267</v>
      </c>
      <c r="T64" s="1198">
        <f t="shared" ref="T64:W80" si="7">G64+P64</f>
        <v>0</v>
      </c>
      <c r="U64" s="1199">
        <f t="shared" si="7"/>
        <v>8.215170232401265</v>
      </c>
      <c r="V64" s="1199">
        <f t="shared" si="7"/>
        <v>0</v>
      </c>
      <c r="W64" s="1200">
        <f t="shared" si="7"/>
        <v>0.49291021394407586</v>
      </c>
      <c r="Z64" s="1397"/>
      <c r="AA64" s="1399"/>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1128.91521015537</v>
      </c>
      <c r="L65" s="114">
        <v>0</v>
      </c>
      <c r="M65" s="114">
        <f t="shared" si="4"/>
        <v>1</v>
      </c>
      <c r="N65">
        <v>0</v>
      </c>
      <c r="O65">
        <v>0</v>
      </c>
      <c r="P65" s="178">
        <f>L65*$D$5*'Input data'!U102/1000-N65</f>
        <v>0</v>
      </c>
      <c r="Q65" s="419">
        <f>M65*$D$4*K65/1000-O65</f>
        <v>4.5156608406214804</v>
      </c>
      <c r="S65" s="1197">
        <f t="shared" si="6"/>
        <v>0.27093965043728879</v>
      </c>
      <c r="T65" s="1198">
        <f t="shared" si="7"/>
        <v>0</v>
      </c>
      <c r="U65" s="1199">
        <f t="shared" si="7"/>
        <v>8.4298599460466228</v>
      </c>
      <c r="V65" s="1199">
        <f t="shared" si="7"/>
        <v>0</v>
      </c>
      <c r="W65" s="1200">
        <f t="shared" si="7"/>
        <v>0.50579159676279739</v>
      </c>
      <c r="Z65" s="1397"/>
      <c r="AA65" s="1399"/>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1162.2078130924817</v>
      </c>
      <c r="L66" s="114">
        <v>0</v>
      </c>
      <c r="M66" s="114">
        <f t="shared" si="4"/>
        <v>1</v>
      </c>
      <c r="N66">
        <v>0</v>
      </c>
      <c r="O66">
        <v>0</v>
      </c>
      <c r="P66" s="178">
        <f>L66*$D$5*'Input data'!U103/1000-N66</f>
        <v>0</v>
      </c>
      <c r="Q66" s="419">
        <f t="shared" si="5"/>
        <v>4.6488312523699271</v>
      </c>
      <c r="S66" s="1197">
        <f t="shared" si="6"/>
        <v>0.27892987514219564</v>
      </c>
      <c r="T66" s="1198">
        <f t="shared" si="7"/>
        <v>0</v>
      </c>
      <c r="U66" s="1199">
        <f t="shared" si="7"/>
        <v>8.6131473735520565</v>
      </c>
      <c r="V66" s="1199">
        <f t="shared" si="7"/>
        <v>0</v>
      </c>
      <c r="W66" s="1200">
        <f t="shared" si="7"/>
        <v>0.51678884241312339</v>
      </c>
      <c r="Z66" s="1397"/>
      <c r="AA66" s="1399"/>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1215.14118094629</v>
      </c>
      <c r="L67" s="114">
        <v>0</v>
      </c>
      <c r="M67" s="114">
        <f t="shared" si="4"/>
        <v>1</v>
      </c>
      <c r="N67">
        <v>0</v>
      </c>
      <c r="O67">
        <v>0</v>
      </c>
      <c r="P67" s="178">
        <f>L67*$D$5*'Input data'!U104/1000-N67</f>
        <v>0</v>
      </c>
      <c r="Q67" s="419">
        <f t="shared" si="5"/>
        <v>4.8605647237851599</v>
      </c>
      <c r="S67" s="1197">
        <f t="shared" si="6"/>
        <v>0.29163388342710961</v>
      </c>
      <c r="T67" s="1198">
        <f t="shared" si="7"/>
        <v>0</v>
      </c>
      <c r="U67" s="1199">
        <f t="shared" si="7"/>
        <v>8.8720750845051715</v>
      </c>
      <c r="V67" s="1199">
        <f t="shared" si="7"/>
        <v>0</v>
      </c>
      <c r="W67" s="1200">
        <f t="shared" si="7"/>
        <v>0.53232450507031026</v>
      </c>
      <c r="Z67" s="1397"/>
      <c r="AA67" s="1399"/>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1279.2648653351275</v>
      </c>
      <c r="L68" s="114">
        <v>0</v>
      </c>
      <c r="M68" s="114">
        <f t="shared" si="4"/>
        <v>1</v>
      </c>
      <c r="N68">
        <v>0</v>
      </c>
      <c r="O68">
        <v>0</v>
      </c>
      <c r="P68" s="178">
        <f>L68*$D$5*'Input data'!U105/1000-N68</f>
        <v>0</v>
      </c>
      <c r="Q68" s="419">
        <f t="shared" si="5"/>
        <v>5.11705946134051</v>
      </c>
      <c r="S68" s="1197">
        <f t="shared" si="6"/>
        <v>0.3070235676804306</v>
      </c>
      <c r="T68" s="1198">
        <f t="shared" si="7"/>
        <v>0</v>
      </c>
      <c r="U68" s="1199">
        <f t="shared" si="7"/>
        <v>9.1743886374952961</v>
      </c>
      <c r="V68" s="1199">
        <f t="shared" si="7"/>
        <v>0</v>
      </c>
      <c r="W68" s="1200">
        <f t="shared" si="7"/>
        <v>0.55046331824971773</v>
      </c>
      <c r="Z68" s="1397"/>
      <c r="AA68" s="1399"/>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1350.9522798856019</v>
      </c>
      <c r="L69" s="114">
        <v>0</v>
      </c>
      <c r="M69" s="114">
        <f t="shared" si="4"/>
        <v>1</v>
      </c>
      <c r="N69">
        <v>0</v>
      </c>
      <c r="O69">
        <v>0</v>
      </c>
      <c r="P69" s="178">
        <f>L69*$D$5*'Input data'!U106/1000-N69</f>
        <v>0</v>
      </c>
      <c r="Q69" s="419">
        <f t="shared" si="5"/>
        <v>5.4038091195424078</v>
      </c>
      <c r="S69" s="1197">
        <f t="shared" si="6"/>
        <v>0.32422854717254446</v>
      </c>
      <c r="T69" s="1198">
        <f t="shared" si="7"/>
        <v>0</v>
      </c>
      <c r="U69" s="1199">
        <f t="shared" si="7"/>
        <v>9.5069571111319693</v>
      </c>
      <c r="V69" s="1199">
        <f t="shared" si="7"/>
        <v>0</v>
      </c>
      <c r="W69" s="1200">
        <f t="shared" si="7"/>
        <v>0.57041742666791817</v>
      </c>
      <c r="Z69" s="1397"/>
      <c r="AA69" s="1399"/>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1423.3697511477842</v>
      </c>
      <c r="L70" s="114">
        <v>0</v>
      </c>
      <c r="M70" s="114">
        <f t="shared" si="4"/>
        <v>1</v>
      </c>
      <c r="N70">
        <v>0</v>
      </c>
      <c r="O70">
        <v>0</v>
      </c>
      <c r="P70" s="178">
        <f>L70*$D$5*'Input data'!U107/1000-N70</f>
        <v>0</v>
      </c>
      <c r="Q70" s="419">
        <f t="shared" si="5"/>
        <v>5.6934790045911372</v>
      </c>
      <c r="S70" s="1197">
        <f t="shared" si="6"/>
        <v>0.34160874027546823</v>
      </c>
      <c r="T70" s="1198">
        <f t="shared" si="7"/>
        <v>0</v>
      </c>
      <c r="U70" s="1199">
        <f t="shared" si="7"/>
        <v>9.8418440635703632</v>
      </c>
      <c r="V70" s="1199">
        <f t="shared" si="7"/>
        <v>0</v>
      </c>
      <c r="W70" s="1200">
        <f t="shared" si="7"/>
        <v>0.5905106438142218</v>
      </c>
      <c r="Z70" s="1397"/>
      <c r="AA70" s="1399"/>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1468.7901452041654</v>
      </c>
      <c r="L71" s="114">
        <v>0</v>
      </c>
      <c r="M71" s="114">
        <f t="shared" si="4"/>
        <v>1</v>
      </c>
      <c r="N71">
        <v>0</v>
      </c>
      <c r="O71">
        <v>0</v>
      </c>
      <c r="P71" s="178">
        <f>L71*$D$5*'Input data'!U108/1000-N71</f>
        <v>0</v>
      </c>
      <c r="Q71" s="419">
        <f t="shared" si="5"/>
        <v>5.8751605808166616</v>
      </c>
      <c r="S71" s="1197">
        <f t="shared" si="6"/>
        <v>0.35250963484899966</v>
      </c>
      <c r="T71" s="1198">
        <f t="shared" si="7"/>
        <v>0</v>
      </c>
      <c r="U71" s="1199">
        <f t="shared" si="7"/>
        <v>10.069602347249996</v>
      </c>
      <c r="V71" s="1199">
        <f t="shared" si="7"/>
        <v>0</v>
      </c>
      <c r="W71" s="1200">
        <f t="shared" si="7"/>
        <v>0.60417614083499971</v>
      </c>
      <c r="Z71" s="1397"/>
      <c r="AA71" s="1399"/>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1446.1988406419368</v>
      </c>
      <c r="L72" s="114">
        <v>0</v>
      </c>
      <c r="M72" s="114">
        <f t="shared" si="4"/>
        <v>1</v>
      </c>
      <c r="N72">
        <v>0</v>
      </c>
      <c r="O72">
        <v>0</v>
      </c>
      <c r="P72" s="178">
        <f>L72*$D$5*'Input data'!U109/1000-N72</f>
        <v>0</v>
      </c>
      <c r="Q72" s="419">
        <f t="shared" si="5"/>
        <v>5.7847953625677473</v>
      </c>
      <c r="S72" s="1197">
        <f t="shared" si="6"/>
        <v>0.34708772175406483</v>
      </c>
      <c r="T72" s="1198">
        <f t="shared" si="7"/>
        <v>0</v>
      </c>
      <c r="U72" s="1199">
        <f t="shared" si="7"/>
        <v>10.024540160397191</v>
      </c>
      <c r="V72" s="1199">
        <f t="shared" si="7"/>
        <v>0</v>
      </c>
      <c r="W72" s="1200">
        <f t="shared" si="7"/>
        <v>0.60147240962383142</v>
      </c>
      <c r="Z72" s="1397"/>
      <c r="AA72" s="1399"/>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1490.1593924326405</v>
      </c>
      <c r="L73" s="114">
        <v>0</v>
      </c>
      <c r="M73" s="114">
        <f t="shared" si="4"/>
        <v>1</v>
      </c>
      <c r="N73">
        <v>0</v>
      </c>
      <c r="O73">
        <v>0</v>
      </c>
      <c r="P73" s="178">
        <f>L73*$D$5*'Input data'!U110/1000-N73</f>
        <v>0</v>
      </c>
      <c r="Q73" s="419">
        <f t="shared" si="5"/>
        <v>5.9606375697305625</v>
      </c>
      <c r="S73" s="1197">
        <f t="shared" si="6"/>
        <v>0.35763825418383371</v>
      </c>
      <c r="T73" s="1198">
        <f t="shared" si="7"/>
        <v>0</v>
      </c>
      <c r="U73" s="1199">
        <f t="shared" si="7"/>
        <v>11.535315942073929</v>
      </c>
      <c r="V73" s="1199">
        <f t="shared" si="7"/>
        <v>0</v>
      </c>
      <c r="W73" s="1200">
        <f t="shared" si="7"/>
        <v>0.69211895652443567</v>
      </c>
      <c r="Z73" s="1397"/>
      <c r="AA73" s="1399"/>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1539.0987324639343</v>
      </c>
      <c r="L74" s="114">
        <v>0.1</v>
      </c>
      <c r="M74" s="114">
        <f t="shared" si="4"/>
        <v>0.9</v>
      </c>
      <c r="N74">
        <v>0</v>
      </c>
      <c r="O74">
        <v>0</v>
      </c>
      <c r="P74" s="178">
        <f>L74*$D$5*K74/1000-N74</f>
        <v>0.12312789859711476</v>
      </c>
      <c r="Q74" s="419">
        <f t="shared" si="5"/>
        <v>5.5407554368701639</v>
      </c>
      <c r="S74" s="1197">
        <f t="shared" si="6"/>
        <v>0.33244532621220979</v>
      </c>
      <c r="T74" s="1198">
        <f t="shared" si="7"/>
        <v>0.19334183325252791</v>
      </c>
      <c r="U74" s="1199">
        <f t="shared" si="7"/>
        <v>12.211079229134413</v>
      </c>
      <c r="V74" s="1199">
        <f t="shared" si="7"/>
        <v>0</v>
      </c>
      <c r="W74" s="1200">
        <f t="shared" si="7"/>
        <v>0.73266475374806461</v>
      </c>
      <c r="Z74" s="1397"/>
      <c r="AA74" s="1399"/>
    </row>
    <row r="75" spans="1:27">
      <c r="A75" s="123">
        <f>'Input data'!A112</f>
        <v>2012</v>
      </c>
      <c r="B75" s="419">
        <f>'Baseline data (from input)'!C68*'Baseline data (from input)'!U68*'Baseline data (from input)'!Z68</f>
        <v>2060.099151127069</v>
      </c>
      <c r="C75" s="114">
        <v>0.05</v>
      </c>
      <c r="D75" s="114">
        <f t="shared" si="0"/>
        <v>0.95</v>
      </c>
      <c r="E75">
        <v>0</v>
      </c>
      <c r="F75">
        <v>0</v>
      </c>
      <c r="G75" s="472">
        <f t="shared" si="1"/>
        <v>8.240396604508278E-2</v>
      </c>
      <c r="H75" s="419">
        <f t="shared" si="2"/>
        <v>7.8283767742828623</v>
      </c>
      <c r="I75" s="395"/>
      <c r="J75" s="178">
        <f t="shared" si="3"/>
        <v>0.46970260645697171</v>
      </c>
      <c r="K75" s="235">
        <f>'Baseline data (from input)'!AI68*'Baseline data (from input)'!AD68*'Baseline data (from input)'!AB68</f>
        <v>1573.1644482588224</v>
      </c>
      <c r="L75" s="114">
        <v>0.1</v>
      </c>
      <c r="M75" s="114">
        <f t="shared" si="4"/>
        <v>0.9</v>
      </c>
      <c r="N75">
        <v>0</v>
      </c>
      <c r="O75">
        <v>0</v>
      </c>
      <c r="P75" s="178">
        <f t="shared" ref="P75:P114" si="8">L75*$D$5*K75/1000-N75</f>
        <v>0.12585315586070581</v>
      </c>
      <c r="Q75" s="419">
        <f t="shared" si="5"/>
        <v>5.6633920137317606</v>
      </c>
      <c r="S75" s="1197">
        <f t="shared" si="6"/>
        <v>0.33980352082390564</v>
      </c>
      <c r="T75" s="1198">
        <f t="shared" si="7"/>
        <v>0.2082571219057886</v>
      </c>
      <c r="U75" s="1199">
        <f t="shared" si="7"/>
        <v>13.491768788014623</v>
      </c>
      <c r="V75" s="1199">
        <f t="shared" si="7"/>
        <v>0</v>
      </c>
      <c r="W75" s="1200">
        <f t="shared" si="7"/>
        <v>0.80950612728087734</v>
      </c>
      <c r="Z75" s="1397"/>
      <c r="AA75" s="1399"/>
    </row>
    <row r="76" spans="1:27">
      <c r="A76" s="123">
        <f>'Input data'!A113</f>
        <v>2013</v>
      </c>
      <c r="B76" s="419">
        <f>'Baseline data (from input)'!C69*'Baseline data (from input)'!U69*'Baseline data (from input)'!Z69</f>
        <v>2354.6851090602163</v>
      </c>
      <c r="C76" s="114">
        <v>0.05</v>
      </c>
      <c r="D76" s="114">
        <f t="shared" si="0"/>
        <v>0.95</v>
      </c>
      <c r="E76">
        <v>0</v>
      </c>
      <c r="F76">
        <v>0</v>
      </c>
      <c r="G76" s="472">
        <f t="shared" si="1"/>
        <v>9.4187404362408675E-2</v>
      </c>
      <c r="H76" s="419">
        <f t="shared" si="2"/>
        <v>8.9478034144288205</v>
      </c>
      <c r="I76" s="395"/>
      <c r="J76" s="178">
        <f t="shared" si="3"/>
        <v>0.53686820486572928</v>
      </c>
      <c r="K76" s="235">
        <f>'Baseline data (from input)'!AI69*'Baseline data (from input)'!AD69*'Baseline data (from input)'!AB69</f>
        <v>1614.2834417545885</v>
      </c>
      <c r="L76" s="114">
        <v>0.1</v>
      </c>
      <c r="M76" s="114">
        <f t="shared" si="4"/>
        <v>0.9</v>
      </c>
      <c r="N76">
        <v>0</v>
      </c>
      <c r="O76">
        <v>0</v>
      </c>
      <c r="P76" s="178">
        <f t="shared" si="8"/>
        <v>0.12914267534036711</v>
      </c>
      <c r="Q76" s="419">
        <f t="shared" si="5"/>
        <v>5.8114203903165187</v>
      </c>
      <c r="S76" s="1197">
        <f t="shared" si="6"/>
        <v>0.34868522341899111</v>
      </c>
      <c r="T76" s="1198">
        <f t="shared" si="7"/>
        <v>0.2233300797027758</v>
      </c>
      <c r="U76" s="1199">
        <f t="shared" si="7"/>
        <v>14.759223804745339</v>
      </c>
      <c r="V76" s="1199">
        <f t="shared" si="7"/>
        <v>0</v>
      </c>
      <c r="W76" s="1200">
        <f t="shared" si="7"/>
        <v>0.88555342828472039</v>
      </c>
      <c r="Z76" s="1397"/>
      <c r="AA76" s="1399"/>
    </row>
    <row r="77" spans="1:27">
      <c r="A77" s="123">
        <f>'Input data'!A114</f>
        <v>2014</v>
      </c>
      <c r="B77" s="419">
        <f>'Baseline data (from input)'!C70*'Baseline data (from input)'!U70*'Baseline data (from input)'!Z70</f>
        <v>2631.7535913560341</v>
      </c>
      <c r="C77" s="114">
        <v>0.05</v>
      </c>
      <c r="D77" s="114">
        <f t="shared" si="0"/>
        <v>0.95</v>
      </c>
      <c r="E77">
        <v>0</v>
      </c>
      <c r="F77">
        <v>0</v>
      </c>
      <c r="G77" s="472">
        <f t="shared" si="1"/>
        <v>0.10527014365424138</v>
      </c>
      <c r="H77" s="419">
        <f t="shared" si="2"/>
        <v>10.00066364715293</v>
      </c>
      <c r="I77" s="395"/>
      <c r="J77" s="178">
        <f t="shared" si="3"/>
        <v>0.60003981882917568</v>
      </c>
      <c r="K77" s="235">
        <f>'Baseline data (from input)'!AI70*'Baseline data (from input)'!AD70*'Baseline data (from input)'!AB70</f>
        <v>1643.1097662379286</v>
      </c>
      <c r="L77" s="114">
        <v>0.1</v>
      </c>
      <c r="M77" s="114">
        <f t="shared" si="4"/>
        <v>0.9</v>
      </c>
      <c r="N77">
        <v>0</v>
      </c>
      <c r="O77">
        <v>0</v>
      </c>
      <c r="P77" s="178">
        <f t="shared" si="8"/>
        <v>0.13144878129903431</v>
      </c>
      <c r="Q77" s="419">
        <f t="shared" si="5"/>
        <v>5.9151951584565428</v>
      </c>
      <c r="S77" s="1197">
        <f t="shared" si="6"/>
        <v>0.35491170950739259</v>
      </c>
      <c r="T77" s="1198">
        <f t="shared" si="7"/>
        <v>0.23671892495327568</v>
      </c>
      <c r="U77" s="1199">
        <f t="shared" si="7"/>
        <v>15.915858805609473</v>
      </c>
      <c r="V77" s="1199">
        <f t="shared" si="7"/>
        <v>0</v>
      </c>
      <c r="W77" s="1200">
        <f t="shared" si="7"/>
        <v>0.95495152833656827</v>
      </c>
      <c r="Z77" s="1397"/>
      <c r="AA77" s="1399"/>
    </row>
    <row r="78" spans="1:27">
      <c r="A78" s="123">
        <f>'Input data'!A115</f>
        <v>2015</v>
      </c>
      <c r="B78" s="419">
        <f>'Baseline data (from input)'!C71*'Baseline data (from input)'!U71*'Baseline data (from input)'!Z71</f>
        <v>2890.5533627257801</v>
      </c>
      <c r="C78" s="114">
        <v>0.05</v>
      </c>
      <c r="D78" s="114">
        <f t="shared" si="0"/>
        <v>0.95</v>
      </c>
      <c r="E78">
        <v>0</v>
      </c>
      <c r="F78">
        <v>0</v>
      </c>
      <c r="G78" s="472">
        <f t="shared" si="1"/>
        <v>0.11562213450903122</v>
      </c>
      <c r="H78" s="419">
        <f t="shared" si="2"/>
        <v>10.984102778357963</v>
      </c>
      <c r="I78" s="395"/>
      <c r="J78" s="178">
        <f t="shared" si="3"/>
        <v>0.65904616670147775</v>
      </c>
      <c r="K78" s="235">
        <f>'Baseline data (from input)'!AI71*'Baseline data (from input)'!AD71*'Baseline data (from input)'!AB71</f>
        <v>1663.7772506159363</v>
      </c>
      <c r="L78" s="114">
        <v>0.1</v>
      </c>
      <c r="M78" s="114">
        <f t="shared" si="4"/>
        <v>0.9</v>
      </c>
      <c r="N78">
        <v>0</v>
      </c>
      <c r="O78">
        <v>0</v>
      </c>
      <c r="P78" s="178">
        <f>L78*$D$5*K78/1000-N78</f>
        <v>0.13310218004927493</v>
      </c>
      <c r="Q78" s="419">
        <f t="shared" si="5"/>
        <v>5.9895981022173705</v>
      </c>
      <c r="S78" s="1197">
        <f t="shared" si="6"/>
        <v>0.35937588613304222</v>
      </c>
      <c r="T78" s="1198">
        <f t="shared" si="7"/>
        <v>0.24872431455830615</v>
      </c>
      <c r="U78" s="1199">
        <f t="shared" si="7"/>
        <v>16.973700880575333</v>
      </c>
      <c r="V78" s="1199">
        <f t="shared" si="7"/>
        <v>0</v>
      </c>
      <c r="W78" s="1200">
        <f t="shared" si="7"/>
        <v>1.01842205283452</v>
      </c>
      <c r="Z78" s="1397"/>
      <c r="AA78" s="1399"/>
    </row>
    <row r="79" spans="1:27">
      <c r="A79" s="123">
        <f>'Input data'!A116</f>
        <v>2016</v>
      </c>
      <c r="B79" s="419">
        <f>'Baseline data (from input)'!C72*'Baseline data (from input)'!U72*'Baseline data (from input)'!Z72</f>
        <v>3130.2657322691025</v>
      </c>
      <c r="C79" s="114">
        <v>0.05</v>
      </c>
      <c r="D79" s="114">
        <f t="shared" si="0"/>
        <v>0.95</v>
      </c>
      <c r="E79">
        <v>0</v>
      </c>
      <c r="F79">
        <v>0</v>
      </c>
      <c r="G79" s="472">
        <f t="shared" si="1"/>
        <v>0.12521062929076412</v>
      </c>
      <c r="H79" s="419">
        <f t="shared" si="2"/>
        <v>11.895009782622589</v>
      </c>
      <c r="I79" s="395"/>
      <c r="J79" s="178">
        <f t="shared" si="3"/>
        <v>0.71370058695735528</v>
      </c>
      <c r="K79" s="235">
        <f>'Baseline data (from input)'!AI72*'Baseline data (from input)'!AD72*'Baseline data (from input)'!AB72</f>
        <v>1676.0829741100024</v>
      </c>
      <c r="L79" s="114">
        <v>0.1</v>
      </c>
      <c r="M79" s="114">
        <f t="shared" si="4"/>
        <v>0.9</v>
      </c>
      <c r="N79">
        <v>0</v>
      </c>
      <c r="O79">
        <v>0</v>
      </c>
      <c r="P79" s="178">
        <f t="shared" si="8"/>
        <v>0.13408663792880024</v>
      </c>
      <c r="Q79" s="419">
        <f t="shared" si="5"/>
        <v>6.033898706796009</v>
      </c>
      <c r="S79" s="1197">
        <f t="shared" si="6"/>
        <v>0.3620339224077605</v>
      </c>
      <c r="T79" s="1198">
        <f t="shared" si="7"/>
        <v>0.25929726721956436</v>
      </c>
      <c r="U79" s="1199">
        <f t="shared" si="7"/>
        <v>17.928908489418596</v>
      </c>
      <c r="V79" s="1199">
        <f t="shared" si="7"/>
        <v>0</v>
      </c>
      <c r="W79" s="1200">
        <f t="shared" si="7"/>
        <v>1.0757345093651158</v>
      </c>
      <c r="Z79" s="1397"/>
      <c r="AA79" s="1399"/>
    </row>
    <row r="80" spans="1:27" ht="15.75" thickBot="1">
      <c r="A80" s="123">
        <f>'Input data'!A117</f>
        <v>2017</v>
      </c>
      <c r="B80" s="419">
        <f>'Baseline data (from input)'!C73*'Baseline data (from input)'!U73*'Baseline data (from input)'!Z73</f>
        <v>3350.0000024684418</v>
      </c>
      <c r="C80" s="414">
        <v>0.05</v>
      </c>
      <c r="D80" s="414">
        <f t="shared" si="0"/>
        <v>0.95</v>
      </c>
      <c r="E80" s="413">
        <v>0</v>
      </c>
      <c r="F80" s="413">
        <v>0</v>
      </c>
      <c r="G80" s="472">
        <f>C80*$D$5*B80/1000-E80</f>
        <v>0.13400000009873769</v>
      </c>
      <c r="H80" s="471">
        <f>D80*$D$4*B80/1000-F80</f>
        <v>12.730000009380079</v>
      </c>
      <c r="I80" s="395"/>
      <c r="J80" s="472">
        <f t="shared" si="3"/>
        <v>0.76380000056280473</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1">
        <f t="shared" si="6"/>
        <v>0.366102504</v>
      </c>
      <c r="T80" s="1198">
        <f t="shared" si="7"/>
        <v>0.26959352009873772</v>
      </c>
      <c r="U80" s="1199">
        <f t="shared" si="7"/>
        <v>18.831708409380081</v>
      </c>
      <c r="V80" s="1199">
        <f t="shared" si="7"/>
        <v>0</v>
      </c>
      <c r="W80" s="1200">
        <f t="shared" si="7"/>
        <v>1.1299025045628048</v>
      </c>
      <c r="Z80" s="1397"/>
      <c r="AA80" s="1399"/>
    </row>
    <row r="81" spans="1:23">
      <c r="A81" s="1202" t="s">
        <v>643</v>
      </c>
      <c r="B81" s="1203"/>
      <c r="C81" s="1204"/>
      <c r="D81" s="1204"/>
      <c r="E81" s="501"/>
      <c r="F81" s="501"/>
      <c r="G81" s="1205"/>
      <c r="H81" s="1203"/>
      <c r="I81" s="1206"/>
      <c r="J81" s="1205"/>
      <c r="K81" s="1207"/>
      <c r="L81" s="1204"/>
      <c r="M81" s="1204"/>
      <c r="N81" s="501"/>
      <c r="O81" s="501"/>
      <c r="P81" s="737">
        <f>L81*$D$5*'Input data'!U118/1000-N81</f>
        <v>0</v>
      </c>
      <c r="Q81" s="738">
        <f t="shared" si="5"/>
        <v>0</v>
      </c>
      <c r="R81" s="115"/>
      <c r="S81" s="1193">
        <f t="shared" si="6"/>
        <v>0</v>
      </c>
      <c r="T81" s="1194">
        <f t="shared" ref="T81:W114" si="9">G81+P81</f>
        <v>0</v>
      </c>
      <c r="U81" s="1195">
        <f t="shared" si="9"/>
        <v>0</v>
      </c>
      <c r="V81" s="1195">
        <f t="shared" si="9"/>
        <v>0</v>
      </c>
      <c r="W81" s="1196">
        <f t="shared" si="9"/>
        <v>0</v>
      </c>
    </row>
    <row r="82" spans="1:23">
      <c r="A82" s="123">
        <f>'Input data'!A118</f>
        <v>2018</v>
      </c>
      <c r="B82" s="1208">
        <f>'Recycling - Case 1'!AI98</f>
        <v>3707.5235423427162</v>
      </c>
      <c r="C82" s="114">
        <f>($C$86-$C$80)/($A$86-$A$80)+C80</f>
        <v>6.0000000000000005E-2</v>
      </c>
      <c r="D82" s="114">
        <f>1-C82</f>
        <v>0.94</v>
      </c>
      <c r="E82">
        <v>0</v>
      </c>
      <c r="F82">
        <v>0</v>
      </c>
      <c r="G82" s="776">
        <f>C82*$D$5*B82/1000-E82</f>
        <v>0.1779611300324504</v>
      </c>
      <c r="H82" s="519">
        <f>D82*$D$4*B82/1000-F82</f>
        <v>13.940288519208613</v>
      </c>
      <c r="J82" s="178">
        <f>D82*$D$7*B82/1000</f>
        <v>0.83641731115251661</v>
      </c>
      <c r="K82" s="527">
        <f>'Recycling - Case 1'!Z138</f>
        <v>1789.9687605419947</v>
      </c>
      <c r="L82" s="114">
        <v>0.1</v>
      </c>
      <c r="M82" s="114">
        <f>1-L82</f>
        <v>0.9</v>
      </c>
      <c r="N82">
        <f>N80</f>
        <v>0</v>
      </c>
      <c r="O82">
        <f>O80</f>
        <v>0</v>
      </c>
      <c r="P82" s="178">
        <f>L82*$D$5*K82/1000-N82</f>
        <v>0.14319750084335958</v>
      </c>
      <c r="Q82" s="419">
        <f t="shared" si="5"/>
        <v>6.4438875379511806</v>
      </c>
      <c r="S82" s="1197">
        <f t="shared" si="6"/>
        <v>0.38663325227707085</v>
      </c>
      <c r="T82" s="1198">
        <f>G82+P82</f>
        <v>0.32115863087580998</v>
      </c>
      <c r="U82" s="1199">
        <f>H82+Q82</f>
        <v>20.384176057159792</v>
      </c>
      <c r="V82" s="1199">
        <f t="shared" si="9"/>
        <v>0</v>
      </c>
      <c r="W82" s="1200">
        <f t="shared" si="9"/>
        <v>1.2230505634295874</v>
      </c>
    </row>
    <row r="83" spans="1:23">
      <c r="A83" s="123">
        <f>'Input data'!A119</f>
        <v>2019</v>
      </c>
      <c r="B83" s="1208">
        <f>'Recycling - Case 1'!AI99</f>
        <v>4010.8720893729233</v>
      </c>
      <c r="C83" s="1209">
        <f>($C$86-$C$80)/($A$86-$A$80)+C82</f>
        <v>7.0000000000000007E-2</v>
      </c>
      <c r="D83" s="1209">
        <f t="shared" ref="D83:D114" si="10">1-C83</f>
        <v>0.92999999999999994</v>
      </c>
      <c r="E83" s="53">
        <v>0</v>
      </c>
      <c r="F83" s="53">
        <v>0</v>
      </c>
      <c r="G83" s="776">
        <f t="shared" ref="G83:G114" si="11">C83*$D$5*B83/1000-E83</f>
        <v>0.22460883700488374</v>
      </c>
      <c r="H83" s="519">
        <f t="shared" ref="H83:H114" si="12">D83*$D$4*B83/1000-F83</f>
        <v>14.920444172467274</v>
      </c>
      <c r="I83" s="53"/>
      <c r="J83" s="776">
        <f t="shared" ref="J83:J114" si="13">D83*$D$7*B83/1000</f>
        <v>0.89522665034803639</v>
      </c>
      <c r="K83" s="527">
        <f>'Recycling - Case 1'!Z139</f>
        <v>1870.6618877196547</v>
      </c>
      <c r="L83" s="114">
        <v>0.1</v>
      </c>
      <c r="M83" s="1209">
        <f t="shared" ref="M83:M114" si="14">1-L83</f>
        <v>0.9</v>
      </c>
      <c r="N83" s="53">
        <f t="shared" ref="N83:O98" si="15">N81</f>
        <v>0</v>
      </c>
      <c r="O83" s="53">
        <f t="shared" si="15"/>
        <v>0</v>
      </c>
      <c r="P83" s="178">
        <f t="shared" ref="P83:P112" si="16">L83*$D$5*K83/1000-N83</f>
        <v>0.14965295101757239</v>
      </c>
      <c r="Q83" s="519">
        <f t="shared" si="5"/>
        <v>6.7343827957907569</v>
      </c>
      <c r="R83" s="53"/>
      <c r="S83" s="1211">
        <f t="shared" si="6"/>
        <v>0.40406296774744543</v>
      </c>
      <c r="T83" s="1198">
        <f t="shared" si="9"/>
        <v>0.37426178802245613</v>
      </c>
      <c r="U83" s="1199">
        <f t="shared" si="9"/>
        <v>21.654826968258032</v>
      </c>
      <c r="V83" s="1199">
        <f t="shared" si="9"/>
        <v>0</v>
      </c>
      <c r="W83" s="1200">
        <f t="shared" si="9"/>
        <v>1.2992896180954818</v>
      </c>
    </row>
    <row r="84" spans="1:23">
      <c r="A84" s="123">
        <f>'Input data'!A120</f>
        <v>2020</v>
      </c>
      <c r="B84" s="1208">
        <f>'Recycling - Case 1'!AI100</f>
        <v>4314.2206364031299</v>
      </c>
      <c r="C84" s="1209">
        <f t="shared" ref="C84:C85" si="17">($C$86-$C$80)/($A$86-$A$80)+C83</f>
        <v>0.08</v>
      </c>
      <c r="D84" s="1209">
        <f t="shared" si="10"/>
        <v>0.92</v>
      </c>
      <c r="E84" s="53">
        <v>0</v>
      </c>
      <c r="F84" s="53">
        <v>0</v>
      </c>
      <c r="G84" s="776">
        <f t="shared" si="11"/>
        <v>0.27611012072980029</v>
      </c>
      <c r="H84" s="519">
        <f t="shared" si="12"/>
        <v>15.876331941963519</v>
      </c>
      <c r="I84" s="53"/>
      <c r="J84" s="776">
        <f t="shared" si="13"/>
        <v>0.95257991651781104</v>
      </c>
      <c r="K84" s="527">
        <f>'Recycling - Case 1'!Z140</f>
        <v>1838.3552196790363</v>
      </c>
      <c r="L84" s="114">
        <v>0.1</v>
      </c>
      <c r="M84" s="1209">
        <f t="shared" si="14"/>
        <v>0.9</v>
      </c>
      <c r="N84" s="53">
        <f t="shared" si="15"/>
        <v>0</v>
      </c>
      <c r="O84" s="53">
        <f t="shared" si="15"/>
        <v>0</v>
      </c>
      <c r="P84" s="178">
        <f t="shared" si="16"/>
        <v>0.14706841757432293</v>
      </c>
      <c r="Q84" s="519">
        <f t="shared" si="5"/>
        <v>6.6180787908445309</v>
      </c>
      <c r="R84" s="53"/>
      <c r="S84" s="1211">
        <f t="shared" si="6"/>
        <v>0.39708472745067186</v>
      </c>
      <c r="T84" s="1198">
        <f t="shared" si="9"/>
        <v>0.42317853830412322</v>
      </c>
      <c r="U84" s="1199">
        <f t="shared" si="9"/>
        <v>22.494410732808049</v>
      </c>
      <c r="V84" s="1199">
        <f t="shared" si="9"/>
        <v>0</v>
      </c>
      <c r="W84" s="1200">
        <f t="shared" si="9"/>
        <v>1.349664643968483</v>
      </c>
    </row>
    <row r="85" spans="1:23">
      <c r="A85" s="123">
        <f>'Input data'!A121</f>
        <v>2021</v>
      </c>
      <c r="B85" s="1208">
        <f>'Recycling - Case 1'!AI101</f>
        <v>4617.5691834333375</v>
      </c>
      <c r="C85" s="1209">
        <f t="shared" si="17"/>
        <v>0.09</v>
      </c>
      <c r="D85" s="1209">
        <f t="shared" si="10"/>
        <v>0.91</v>
      </c>
      <c r="E85" s="53">
        <v>0</v>
      </c>
      <c r="F85" s="53">
        <v>0</v>
      </c>
      <c r="G85" s="776">
        <f t="shared" si="11"/>
        <v>0.33246498120720025</v>
      </c>
      <c r="H85" s="519">
        <f t="shared" si="12"/>
        <v>16.807951827697352</v>
      </c>
      <c r="I85" s="53"/>
      <c r="J85" s="776">
        <f t="shared" si="13"/>
        <v>1.008477109661841</v>
      </c>
      <c r="K85" s="527">
        <f>'Recycling - Case 1'!Z141</f>
        <v>1952.7072718925085</v>
      </c>
      <c r="L85" s="114">
        <v>0.1</v>
      </c>
      <c r="M85" s="1209">
        <f t="shared" si="14"/>
        <v>0.9</v>
      </c>
      <c r="N85" s="53">
        <f t="shared" si="15"/>
        <v>0</v>
      </c>
      <c r="O85" s="53">
        <f t="shared" si="15"/>
        <v>0</v>
      </c>
      <c r="P85" s="178">
        <f t="shared" si="16"/>
        <v>0.15621658175140071</v>
      </c>
      <c r="Q85" s="519">
        <f t="shared" si="5"/>
        <v>7.0297461788130304</v>
      </c>
      <c r="R85" s="53"/>
      <c r="S85" s="1211">
        <f t="shared" si="6"/>
        <v>0.42178477072878184</v>
      </c>
      <c r="T85" s="1198">
        <f t="shared" si="9"/>
        <v>0.48868156295860099</v>
      </c>
      <c r="U85" s="1199">
        <f t="shared" si="9"/>
        <v>23.837698006510383</v>
      </c>
      <c r="V85" s="1199">
        <f t="shared" si="9"/>
        <v>0</v>
      </c>
      <c r="W85" s="1200">
        <f t="shared" si="9"/>
        <v>1.4302618803906229</v>
      </c>
    </row>
    <row r="86" spans="1:23">
      <c r="A86" s="123">
        <f>'Input data'!A122</f>
        <v>2022</v>
      </c>
      <c r="B86" s="1208">
        <f>'Recycling - Case 1'!AI102</f>
        <v>4920.9177304635441</v>
      </c>
      <c r="C86" s="1209">
        <f>'Recycling - Case 1'!C31</f>
        <v>0.1</v>
      </c>
      <c r="D86" s="1209">
        <f t="shared" si="10"/>
        <v>0.9</v>
      </c>
      <c r="E86" s="53">
        <v>0</v>
      </c>
      <c r="F86" s="53">
        <v>0</v>
      </c>
      <c r="G86" s="776">
        <f t="shared" si="11"/>
        <v>0.39367341843708364</v>
      </c>
      <c r="H86" s="519">
        <f t="shared" si="12"/>
        <v>17.715303829668759</v>
      </c>
      <c r="I86" s="53"/>
      <c r="J86" s="776">
        <f t="shared" si="13"/>
        <v>1.0629182297801256</v>
      </c>
      <c r="K86" s="527">
        <f>'Recycling - Case 1'!Z142</f>
        <v>2064.4284088169666</v>
      </c>
      <c r="L86" s="1209">
        <f>'Recycling - Case 1'!C31</f>
        <v>0.1</v>
      </c>
      <c r="M86" s="1209">
        <f t="shared" si="14"/>
        <v>0.9</v>
      </c>
      <c r="N86" s="53">
        <f t="shared" si="15"/>
        <v>0</v>
      </c>
      <c r="O86" s="53">
        <f t="shared" si="15"/>
        <v>0</v>
      </c>
      <c r="P86" s="178">
        <f t="shared" si="16"/>
        <v>0.16515427270535735</v>
      </c>
      <c r="Q86" s="519">
        <f t="shared" si="5"/>
        <v>7.4319422717410797</v>
      </c>
      <c r="R86" s="53"/>
      <c r="S86" s="1211">
        <f t="shared" si="6"/>
        <v>0.44591653630446476</v>
      </c>
      <c r="T86" s="1198">
        <f t="shared" si="9"/>
        <v>0.55882769114244102</v>
      </c>
      <c r="U86" s="1199">
        <f t="shared" si="9"/>
        <v>25.147246101409838</v>
      </c>
      <c r="V86" s="1199">
        <f t="shared" si="9"/>
        <v>0</v>
      </c>
      <c r="W86" s="1200">
        <f t="shared" si="9"/>
        <v>1.5088347660845904</v>
      </c>
    </row>
    <row r="87" spans="1:23">
      <c r="A87" s="123">
        <f>'Input data'!A123</f>
        <v>2023</v>
      </c>
      <c r="B87" s="1208">
        <f>'Recycling - Case 1'!AI103</f>
        <v>5224.2662774937517</v>
      </c>
      <c r="C87" s="1209">
        <f>C86</f>
        <v>0.1</v>
      </c>
      <c r="D87" s="1209">
        <f t="shared" si="10"/>
        <v>0.9</v>
      </c>
      <c r="E87" s="53">
        <v>0</v>
      </c>
      <c r="F87" s="53">
        <v>0</v>
      </c>
      <c r="G87" s="776">
        <f t="shared" si="11"/>
        <v>0.41794130219950021</v>
      </c>
      <c r="H87" s="519">
        <f t="shared" si="12"/>
        <v>18.807358598977505</v>
      </c>
      <c r="I87" s="53"/>
      <c r="J87" s="776">
        <f t="shared" si="13"/>
        <v>1.1284415159386503</v>
      </c>
      <c r="K87" s="527">
        <f>'Recycling - Case 1'!Z143</f>
        <v>2172.5673767241883</v>
      </c>
      <c r="L87" s="1209">
        <f>L86</f>
        <v>0.1</v>
      </c>
      <c r="M87" s="1209">
        <f t="shared" si="14"/>
        <v>0.9</v>
      </c>
      <c r="N87" s="53">
        <f t="shared" si="15"/>
        <v>0</v>
      </c>
      <c r="O87" s="53">
        <f t="shared" si="15"/>
        <v>0</v>
      </c>
      <c r="P87" s="178">
        <f t="shared" si="16"/>
        <v>0.17380539013793508</v>
      </c>
      <c r="Q87" s="519">
        <f t="shared" si="5"/>
        <v>7.8212425562070784</v>
      </c>
      <c r="R87" s="53"/>
      <c r="S87" s="1211">
        <f t="shared" si="6"/>
        <v>0.46927455337242469</v>
      </c>
      <c r="T87" s="1198">
        <f t="shared" si="9"/>
        <v>0.59174669233743526</v>
      </c>
      <c r="U87" s="1199">
        <f t="shared" si="9"/>
        <v>26.628601155184583</v>
      </c>
      <c r="V87" s="1199">
        <f t="shared" si="9"/>
        <v>0</v>
      </c>
      <c r="W87" s="1200">
        <f t="shared" si="9"/>
        <v>1.597716069311075</v>
      </c>
    </row>
    <row r="88" spans="1:23">
      <c r="A88" s="123">
        <f>'Input data'!A124</f>
        <v>2024</v>
      </c>
      <c r="B88" s="1208">
        <f>'Recycling - Case 1'!AI104</f>
        <v>5527.6148245239583</v>
      </c>
      <c r="C88" s="1209">
        <f t="shared" ref="C88:C114" si="18">C87</f>
        <v>0.1</v>
      </c>
      <c r="D88" s="1209">
        <f t="shared" si="10"/>
        <v>0.9</v>
      </c>
      <c r="E88" s="53">
        <v>0</v>
      </c>
      <c r="F88" s="53">
        <v>0</v>
      </c>
      <c r="G88" s="776">
        <f t="shared" si="11"/>
        <v>0.44220918596191677</v>
      </c>
      <c r="H88" s="519">
        <f t="shared" si="12"/>
        <v>19.89941336828625</v>
      </c>
      <c r="I88" s="53"/>
      <c r="J88" s="776">
        <f t="shared" si="13"/>
        <v>1.1939648020971749</v>
      </c>
      <c r="K88" s="527">
        <f>'Recycling - Case 1'!Z144</f>
        <v>2284.9172620654172</v>
      </c>
      <c r="L88" s="1209">
        <f t="shared" ref="L88:L114" si="19">L87</f>
        <v>0.1</v>
      </c>
      <c r="M88" s="1209">
        <f t="shared" si="14"/>
        <v>0.9</v>
      </c>
      <c r="N88" s="53">
        <f t="shared" si="15"/>
        <v>0</v>
      </c>
      <c r="O88" s="53">
        <f t="shared" si="15"/>
        <v>0</v>
      </c>
      <c r="P88" s="178">
        <f t="shared" si="16"/>
        <v>0.1827933809652334</v>
      </c>
      <c r="Q88" s="519">
        <f t="shared" si="5"/>
        <v>8.2257021434355035</v>
      </c>
      <c r="R88" s="53"/>
      <c r="S88" s="1211">
        <f t="shared" si="6"/>
        <v>0.49354212860613011</v>
      </c>
      <c r="T88" s="1198">
        <f t="shared" si="9"/>
        <v>0.62500256692715017</v>
      </c>
      <c r="U88" s="1199">
        <f t="shared" si="9"/>
        <v>28.125115511721752</v>
      </c>
      <c r="V88" s="1199">
        <f t="shared" si="9"/>
        <v>0</v>
      </c>
      <c r="W88" s="1200">
        <f t="shared" si="9"/>
        <v>1.687506930703305</v>
      </c>
    </row>
    <row r="89" spans="1:23">
      <c r="A89" s="123">
        <f>'Input data'!A125</f>
        <v>2025</v>
      </c>
      <c r="B89" s="1208">
        <f>'Recycling - Case 1'!AI105</f>
        <v>5830.9633715541659</v>
      </c>
      <c r="C89" s="1209">
        <f t="shared" si="18"/>
        <v>0.1</v>
      </c>
      <c r="D89" s="1209">
        <f t="shared" si="10"/>
        <v>0.9</v>
      </c>
      <c r="E89" s="53">
        <v>0</v>
      </c>
      <c r="F89" s="53">
        <v>0</v>
      </c>
      <c r="G89" s="776">
        <f t="shared" si="11"/>
        <v>0.46647706972433339</v>
      </c>
      <c r="H89" s="519">
        <f t="shared" si="12"/>
        <v>20.991468137595</v>
      </c>
      <c r="I89" s="53"/>
      <c r="J89" s="776">
        <f t="shared" si="13"/>
        <v>1.2594880882556998</v>
      </c>
      <c r="K89" s="527">
        <f>'Recycling - Case 1'!Z145</f>
        <v>2393.6144590052254</v>
      </c>
      <c r="L89" s="1209">
        <f t="shared" si="19"/>
        <v>0.1</v>
      </c>
      <c r="M89" s="1209">
        <f t="shared" si="14"/>
        <v>0.9</v>
      </c>
      <c r="N89" s="53">
        <f t="shared" si="15"/>
        <v>0</v>
      </c>
      <c r="O89" s="53">
        <f t="shared" si="15"/>
        <v>0</v>
      </c>
      <c r="P89" s="178">
        <f t="shared" si="16"/>
        <v>0.19148915672041805</v>
      </c>
      <c r="Q89" s="519">
        <f t="shared" si="5"/>
        <v>8.6170120524188114</v>
      </c>
      <c r="R89" s="53"/>
      <c r="S89" s="1211">
        <f t="shared" si="6"/>
        <v>0.5170207231451287</v>
      </c>
      <c r="T89" s="1198">
        <f t="shared" si="9"/>
        <v>0.65796622644475145</v>
      </c>
      <c r="U89" s="1199">
        <f t="shared" si="9"/>
        <v>29.608480190013811</v>
      </c>
      <c r="V89" s="1199">
        <f t="shared" si="9"/>
        <v>0</v>
      </c>
      <c r="W89" s="1200">
        <f t="shared" si="9"/>
        <v>1.7765088114008285</v>
      </c>
    </row>
    <row r="90" spans="1:23">
      <c r="A90" s="123">
        <f>'Input data'!A126</f>
        <v>2026</v>
      </c>
      <c r="B90" s="1208">
        <f>'Recycling - Case 1'!AI106</f>
        <v>6134.3119185843725</v>
      </c>
      <c r="C90" s="1209">
        <f t="shared" si="18"/>
        <v>0.1</v>
      </c>
      <c r="D90" s="1209">
        <f t="shared" si="10"/>
        <v>0.9</v>
      </c>
      <c r="E90" s="53">
        <v>0</v>
      </c>
      <c r="F90" s="53">
        <v>0</v>
      </c>
      <c r="G90" s="776">
        <f t="shared" si="11"/>
        <v>0.4907449534867499</v>
      </c>
      <c r="H90" s="519">
        <f t="shared" si="12"/>
        <v>22.083522906903742</v>
      </c>
      <c r="I90" s="53"/>
      <c r="J90" s="776">
        <f t="shared" si="13"/>
        <v>1.3250113744142245</v>
      </c>
      <c r="K90" s="527">
        <f>'Recycling - Case 1'!Z146</f>
        <v>2506.9936446322913</v>
      </c>
      <c r="L90" s="1209">
        <f t="shared" si="19"/>
        <v>0.1</v>
      </c>
      <c r="M90" s="1209">
        <f t="shared" si="14"/>
        <v>0.9</v>
      </c>
      <c r="N90" s="53">
        <f t="shared" si="15"/>
        <v>0</v>
      </c>
      <c r="O90" s="53">
        <f t="shared" si="15"/>
        <v>0</v>
      </c>
      <c r="P90" s="178">
        <f t="shared" si="16"/>
        <v>0.20055949157058334</v>
      </c>
      <c r="Q90" s="519">
        <f t="shared" si="5"/>
        <v>9.0251771206762488</v>
      </c>
      <c r="R90" s="53"/>
      <c r="S90" s="1211">
        <f t="shared" si="6"/>
        <v>0.54151062724057486</v>
      </c>
      <c r="T90" s="1198">
        <f t="shared" si="9"/>
        <v>0.69130444505733324</v>
      </c>
      <c r="U90" s="1199">
        <f t="shared" si="9"/>
        <v>31.108700027579992</v>
      </c>
      <c r="V90" s="1199">
        <f t="shared" si="9"/>
        <v>0</v>
      </c>
      <c r="W90" s="1200">
        <f t="shared" si="9"/>
        <v>1.8665220016547992</v>
      </c>
    </row>
    <row r="91" spans="1:23">
      <c r="A91" s="123">
        <f>'Input data'!A127</f>
        <v>2027</v>
      </c>
      <c r="B91" s="1208">
        <f>'Recycling - Case 1'!AI107</f>
        <v>6437.6604656145792</v>
      </c>
      <c r="C91" s="1209">
        <f t="shared" si="18"/>
        <v>0.1</v>
      </c>
      <c r="D91" s="1209">
        <f t="shared" si="10"/>
        <v>0.9</v>
      </c>
      <c r="E91" s="53">
        <v>0</v>
      </c>
      <c r="F91" s="53">
        <v>0</v>
      </c>
      <c r="G91" s="776">
        <f t="shared" si="11"/>
        <v>0.51501283724916636</v>
      </c>
      <c r="H91" s="519">
        <f t="shared" si="12"/>
        <v>23.175577676212484</v>
      </c>
      <c r="I91" s="53"/>
      <c r="J91" s="776">
        <f t="shared" si="13"/>
        <v>1.3905346605727491</v>
      </c>
      <c r="K91" s="527">
        <f>'Recycling - Case 1'!Z147</f>
        <v>2620.2270434897314</v>
      </c>
      <c r="L91" s="1209">
        <f t="shared" si="19"/>
        <v>0.1</v>
      </c>
      <c r="M91" s="1209">
        <f t="shared" si="14"/>
        <v>0.9</v>
      </c>
      <c r="N91" s="53">
        <f t="shared" si="15"/>
        <v>0</v>
      </c>
      <c r="O91" s="53">
        <f t="shared" si="15"/>
        <v>0</v>
      </c>
      <c r="P91" s="178">
        <f t="shared" si="16"/>
        <v>0.20961816347917855</v>
      </c>
      <c r="Q91" s="519">
        <f t="shared" si="5"/>
        <v>9.4328173565630333</v>
      </c>
      <c r="R91" s="53"/>
      <c r="S91" s="1211">
        <f t="shared" si="6"/>
        <v>0.5659690413937819</v>
      </c>
      <c r="T91" s="1198">
        <f t="shared" si="9"/>
        <v>0.72463100072834497</v>
      </c>
      <c r="U91" s="1199">
        <f t="shared" si="9"/>
        <v>32.608395032775519</v>
      </c>
      <c r="V91" s="1199">
        <f t="shared" si="9"/>
        <v>0</v>
      </c>
      <c r="W91" s="1200">
        <f t="shared" si="9"/>
        <v>1.956503701966531</v>
      </c>
    </row>
    <row r="92" spans="1:23">
      <c r="A92" s="123">
        <f>'Input data'!A128</f>
        <v>2028</v>
      </c>
      <c r="B92" s="1208">
        <f>'Recycling - Case 1'!AI108</f>
        <v>6437.6604656145792</v>
      </c>
      <c r="C92" s="1209">
        <f t="shared" si="18"/>
        <v>0.1</v>
      </c>
      <c r="D92" s="1209">
        <f t="shared" si="10"/>
        <v>0.9</v>
      </c>
      <c r="E92" s="53">
        <v>0</v>
      </c>
      <c r="F92" s="53">
        <v>0</v>
      </c>
      <c r="G92" s="776">
        <f t="shared" si="11"/>
        <v>0.51501283724916636</v>
      </c>
      <c r="H92" s="519">
        <f t="shared" si="12"/>
        <v>23.175577676212484</v>
      </c>
      <c r="I92" s="53"/>
      <c r="J92" s="776">
        <f t="shared" si="13"/>
        <v>1.3905346605727491</v>
      </c>
      <c r="K92" s="527">
        <f>'Recycling - Case 1'!Z148</f>
        <v>2646.7585380287851</v>
      </c>
      <c r="L92" s="1209">
        <f t="shared" si="19"/>
        <v>0.1</v>
      </c>
      <c r="M92" s="1209">
        <f t="shared" si="14"/>
        <v>0.9</v>
      </c>
      <c r="N92" s="53">
        <f t="shared" si="15"/>
        <v>0</v>
      </c>
      <c r="O92" s="53">
        <f t="shared" si="15"/>
        <v>0</v>
      </c>
      <c r="P92" s="178">
        <f t="shared" si="16"/>
        <v>0.21174068304230287</v>
      </c>
      <c r="Q92" s="519">
        <f t="shared" si="5"/>
        <v>9.5283307369036265</v>
      </c>
      <c r="R92" s="53"/>
      <c r="S92" s="1211">
        <f t="shared" si="6"/>
        <v>0.5716998442142176</v>
      </c>
      <c r="T92" s="1198">
        <f t="shared" si="9"/>
        <v>0.72675352029146922</v>
      </c>
      <c r="U92" s="1199">
        <f t="shared" si="9"/>
        <v>32.70390841311611</v>
      </c>
      <c r="V92" s="1199">
        <f t="shared" si="9"/>
        <v>0</v>
      </c>
      <c r="W92" s="1200">
        <f t="shared" si="9"/>
        <v>1.9622345047869667</v>
      </c>
    </row>
    <row r="93" spans="1:23">
      <c r="A93" s="123">
        <f>'Input data'!A129</f>
        <v>2029</v>
      </c>
      <c r="B93" s="1208">
        <f>'Recycling - Case 1'!AI109</f>
        <v>6437.6604656145792</v>
      </c>
      <c r="C93" s="1209">
        <f t="shared" si="18"/>
        <v>0.1</v>
      </c>
      <c r="D93" s="1209">
        <f t="shared" si="10"/>
        <v>0.9</v>
      </c>
      <c r="E93" s="53">
        <v>0</v>
      </c>
      <c r="F93" s="53">
        <v>0</v>
      </c>
      <c r="G93" s="776">
        <f t="shared" si="11"/>
        <v>0.51501283724916636</v>
      </c>
      <c r="H93" s="519">
        <f t="shared" si="12"/>
        <v>23.175577676212484</v>
      </c>
      <c r="I93" s="53"/>
      <c r="J93" s="776">
        <f t="shared" si="13"/>
        <v>1.3905346605727491</v>
      </c>
      <c r="K93" s="527">
        <f>'Recycling - Case 1'!Z149</f>
        <v>2675.3394274160801</v>
      </c>
      <c r="L93" s="1209">
        <f t="shared" si="19"/>
        <v>0.1</v>
      </c>
      <c r="M93" s="1209">
        <f t="shared" si="14"/>
        <v>0.9</v>
      </c>
      <c r="N93" s="53">
        <f t="shared" si="15"/>
        <v>0</v>
      </c>
      <c r="O93" s="53">
        <f t="shared" si="15"/>
        <v>0</v>
      </c>
      <c r="P93" s="178">
        <f t="shared" si="16"/>
        <v>0.21402715419328644</v>
      </c>
      <c r="Q93" s="519">
        <f t="shared" si="5"/>
        <v>9.6312219386978892</v>
      </c>
      <c r="R93" s="53"/>
      <c r="S93" s="1211">
        <f t="shared" si="6"/>
        <v>0.57787331632187333</v>
      </c>
      <c r="T93" s="1198">
        <f t="shared" si="9"/>
        <v>0.72903999144245279</v>
      </c>
      <c r="U93" s="1199">
        <f t="shared" si="9"/>
        <v>32.806799614910375</v>
      </c>
      <c r="V93" s="1199">
        <f t="shared" si="9"/>
        <v>0</v>
      </c>
      <c r="W93" s="1200">
        <f t="shared" si="9"/>
        <v>1.9684079768946225</v>
      </c>
    </row>
    <row r="94" spans="1:23">
      <c r="A94" s="123">
        <f>'Input data'!A130</f>
        <v>2030</v>
      </c>
      <c r="B94" s="1208">
        <f>'Recycling - Case 1'!AI110</f>
        <v>6437.6604656145792</v>
      </c>
      <c r="C94" s="1209">
        <f t="shared" si="18"/>
        <v>0.1</v>
      </c>
      <c r="D94" s="1209">
        <f t="shared" si="10"/>
        <v>0.9</v>
      </c>
      <c r="E94" s="53">
        <v>0</v>
      </c>
      <c r="F94" s="53">
        <v>0</v>
      </c>
      <c r="G94" s="776">
        <f t="shared" si="11"/>
        <v>0.51501283724916636</v>
      </c>
      <c r="H94" s="519">
        <f t="shared" si="12"/>
        <v>23.175577676212484</v>
      </c>
      <c r="I94" s="53"/>
      <c r="J94" s="776">
        <f t="shared" si="13"/>
        <v>1.3905346605727491</v>
      </c>
      <c r="K94" s="527">
        <f>'Recycling - Case 1'!Z150</f>
        <v>2709.795875944686</v>
      </c>
      <c r="L94" s="1209">
        <f t="shared" si="19"/>
        <v>0.1</v>
      </c>
      <c r="M94" s="1209">
        <f t="shared" si="14"/>
        <v>0.9</v>
      </c>
      <c r="N94" s="53">
        <f t="shared" si="15"/>
        <v>0</v>
      </c>
      <c r="O94" s="53">
        <f t="shared" si="15"/>
        <v>0</v>
      </c>
      <c r="P94" s="178">
        <f t="shared" si="16"/>
        <v>0.21678367007557492</v>
      </c>
      <c r="Q94" s="519">
        <f t="shared" si="5"/>
        <v>9.7552651534008685</v>
      </c>
      <c r="R94" s="53"/>
      <c r="S94" s="1211">
        <f t="shared" si="6"/>
        <v>0.58531590920405219</v>
      </c>
      <c r="T94" s="1198">
        <f t="shared" si="9"/>
        <v>0.73179650732474122</v>
      </c>
      <c r="U94" s="1199">
        <f t="shared" si="9"/>
        <v>32.930842829613354</v>
      </c>
      <c r="V94" s="1199">
        <f t="shared" si="9"/>
        <v>0</v>
      </c>
      <c r="W94" s="1200">
        <f t="shared" si="9"/>
        <v>1.9758505697768012</v>
      </c>
    </row>
    <row r="95" spans="1:23">
      <c r="A95" s="123">
        <f>'Input data'!A131</f>
        <v>2031</v>
      </c>
      <c r="B95" s="1208">
        <f>'Recycling - Case 1'!AI111</f>
        <v>6437.6604656145792</v>
      </c>
      <c r="C95" s="1209">
        <f t="shared" si="18"/>
        <v>0.1</v>
      </c>
      <c r="D95" s="1209">
        <f t="shared" si="10"/>
        <v>0.9</v>
      </c>
      <c r="E95" s="53">
        <v>0</v>
      </c>
      <c r="F95" s="53">
        <v>0</v>
      </c>
      <c r="G95" s="776">
        <f t="shared" si="11"/>
        <v>0.51501283724916636</v>
      </c>
      <c r="H95" s="519">
        <f t="shared" si="12"/>
        <v>23.175577676212484</v>
      </c>
      <c r="I95" s="53"/>
      <c r="J95" s="776">
        <f t="shared" si="13"/>
        <v>1.3905346605727491</v>
      </c>
      <c r="K95" s="527">
        <f>'Recycling - Case 1'!Z151</f>
        <v>2757.7445965802553</v>
      </c>
      <c r="L95" s="1209">
        <f t="shared" si="19"/>
        <v>0.1</v>
      </c>
      <c r="M95" s="1209">
        <f t="shared" si="14"/>
        <v>0.9</v>
      </c>
      <c r="N95" s="53">
        <f t="shared" si="15"/>
        <v>0</v>
      </c>
      <c r="O95" s="53">
        <f t="shared" si="15"/>
        <v>0</v>
      </c>
      <c r="P95" s="178">
        <f t="shared" si="16"/>
        <v>0.2206195677264205</v>
      </c>
      <c r="Q95" s="519">
        <f t="shared" si="5"/>
        <v>9.92788054768892</v>
      </c>
      <c r="R95" s="53"/>
      <c r="S95" s="1211">
        <f t="shared" si="6"/>
        <v>0.5956728328613351</v>
      </c>
      <c r="T95" s="1198">
        <f t="shared" si="9"/>
        <v>0.73563240497558691</v>
      </c>
      <c r="U95" s="1199">
        <f t="shared" si="9"/>
        <v>33.103458223901406</v>
      </c>
      <c r="V95" s="1199">
        <f t="shared" si="9"/>
        <v>0</v>
      </c>
      <c r="W95" s="1200">
        <f t="shared" si="9"/>
        <v>1.9862074934340841</v>
      </c>
    </row>
    <row r="96" spans="1:23">
      <c r="A96" s="123">
        <f>'Input data'!A132</f>
        <v>2032</v>
      </c>
      <c r="B96" s="1208">
        <f>'Recycling - Case 1'!AI112</f>
        <v>6437.6604656145792</v>
      </c>
      <c r="C96" s="1209">
        <f t="shared" si="18"/>
        <v>0.1</v>
      </c>
      <c r="D96" s="1209">
        <f t="shared" si="10"/>
        <v>0.9</v>
      </c>
      <c r="E96" s="53">
        <v>0</v>
      </c>
      <c r="F96" s="53">
        <v>0</v>
      </c>
      <c r="G96" s="776">
        <f t="shared" si="11"/>
        <v>0.51501283724916636</v>
      </c>
      <c r="H96" s="519">
        <f t="shared" si="12"/>
        <v>23.175577676212484</v>
      </c>
      <c r="I96" s="53"/>
      <c r="J96" s="776">
        <f t="shared" si="13"/>
        <v>1.3905346605727491</v>
      </c>
      <c r="K96" s="527">
        <f>'Recycling - Case 1'!Z152</f>
        <v>2802.0956343307598</v>
      </c>
      <c r="L96" s="1209">
        <f t="shared" si="19"/>
        <v>0.1</v>
      </c>
      <c r="M96" s="1209">
        <f t="shared" si="14"/>
        <v>0.9</v>
      </c>
      <c r="N96" s="53">
        <f t="shared" si="15"/>
        <v>0</v>
      </c>
      <c r="O96" s="53">
        <f t="shared" si="15"/>
        <v>0</v>
      </c>
      <c r="P96" s="178">
        <f t="shared" si="16"/>
        <v>0.22416765074646083</v>
      </c>
      <c r="Q96" s="519">
        <f t="shared" si="5"/>
        <v>10.087544283590736</v>
      </c>
      <c r="R96" s="53"/>
      <c r="S96" s="1211">
        <f t="shared" si="6"/>
        <v>0.60525265701544417</v>
      </c>
      <c r="T96" s="1198">
        <f t="shared" si="9"/>
        <v>0.73918048799562719</v>
      </c>
      <c r="U96" s="1199">
        <f t="shared" si="9"/>
        <v>33.263121959803222</v>
      </c>
      <c r="V96" s="1199">
        <f t="shared" si="9"/>
        <v>0</v>
      </c>
      <c r="W96" s="1200">
        <f t="shared" si="9"/>
        <v>1.9957873175881933</v>
      </c>
    </row>
    <row r="97" spans="1:23">
      <c r="A97" s="123">
        <f>'Input data'!A133</f>
        <v>2033</v>
      </c>
      <c r="B97" s="1208">
        <f>'Recycling - Case 1'!AI113</f>
        <v>6437.6604656145792</v>
      </c>
      <c r="C97" s="1209">
        <f t="shared" si="18"/>
        <v>0.1</v>
      </c>
      <c r="D97" s="1209">
        <f t="shared" si="10"/>
        <v>0.9</v>
      </c>
      <c r="E97" s="53">
        <v>0</v>
      </c>
      <c r="F97" s="53">
        <v>0</v>
      </c>
      <c r="G97" s="776">
        <f t="shared" si="11"/>
        <v>0.51501283724916636</v>
      </c>
      <c r="H97" s="519">
        <f t="shared" si="12"/>
        <v>23.175577676212484</v>
      </c>
      <c r="I97" s="53"/>
      <c r="J97" s="776">
        <f t="shared" si="13"/>
        <v>1.3905346605727491</v>
      </c>
      <c r="K97" s="527">
        <f>'Recycling - Case 1'!Z153</f>
        <v>2854.5920843191443</v>
      </c>
      <c r="L97" s="1209">
        <f t="shared" si="19"/>
        <v>0.1</v>
      </c>
      <c r="M97" s="1209">
        <f t="shared" si="14"/>
        <v>0.9</v>
      </c>
      <c r="N97" s="53">
        <f t="shared" si="15"/>
        <v>0</v>
      </c>
      <c r="O97" s="53">
        <f t="shared" si="15"/>
        <v>0</v>
      </c>
      <c r="P97" s="178">
        <f t="shared" si="16"/>
        <v>0.2283673667455316</v>
      </c>
      <c r="Q97" s="519">
        <f t="shared" si="5"/>
        <v>10.27653150354892</v>
      </c>
      <c r="R97" s="53"/>
      <c r="S97" s="1211">
        <f t="shared" si="6"/>
        <v>0.61659189021293515</v>
      </c>
      <c r="T97" s="1198">
        <f t="shared" si="9"/>
        <v>0.74338020399469795</v>
      </c>
      <c r="U97" s="1199">
        <f t="shared" si="9"/>
        <v>33.452109179761408</v>
      </c>
      <c r="V97" s="1199">
        <f t="shared" si="9"/>
        <v>0</v>
      </c>
      <c r="W97" s="1200">
        <f t="shared" si="9"/>
        <v>2.0071265507856841</v>
      </c>
    </row>
    <row r="98" spans="1:23">
      <c r="A98" s="123">
        <f>'Input data'!A134</f>
        <v>2034</v>
      </c>
      <c r="B98" s="1208">
        <f>'Recycling - Case 1'!AI114</f>
        <v>6437.6604656145792</v>
      </c>
      <c r="C98" s="1209">
        <f t="shared" si="18"/>
        <v>0.1</v>
      </c>
      <c r="D98" s="1209">
        <f t="shared" si="10"/>
        <v>0.9</v>
      </c>
      <c r="E98" s="53">
        <v>0</v>
      </c>
      <c r="F98" s="53">
        <v>0</v>
      </c>
      <c r="G98" s="776">
        <f t="shared" si="11"/>
        <v>0.51501283724916636</v>
      </c>
      <c r="H98" s="519">
        <f t="shared" si="12"/>
        <v>23.175577676212484</v>
      </c>
      <c r="I98" s="53"/>
      <c r="J98" s="776">
        <f t="shared" si="13"/>
        <v>1.3905346605727491</v>
      </c>
      <c r="K98" s="527">
        <f>'Recycling - Case 1'!Z154</f>
        <v>2920.4880245072482</v>
      </c>
      <c r="L98" s="1209">
        <f t="shared" si="19"/>
        <v>0.1</v>
      </c>
      <c r="M98" s="1209">
        <f t="shared" si="14"/>
        <v>0.9</v>
      </c>
      <c r="N98" s="53">
        <f t="shared" si="15"/>
        <v>0</v>
      </c>
      <c r="O98" s="53">
        <f t="shared" si="15"/>
        <v>0</v>
      </c>
      <c r="P98" s="178">
        <f t="shared" si="16"/>
        <v>0.23363904196057991</v>
      </c>
      <c r="Q98" s="519">
        <f t="shared" si="5"/>
        <v>10.513756888226093</v>
      </c>
      <c r="R98" s="53"/>
      <c r="S98" s="1211">
        <f t="shared" si="6"/>
        <v>0.63082541329356556</v>
      </c>
      <c r="T98" s="1198">
        <f t="shared" si="9"/>
        <v>0.7486518792097463</v>
      </c>
      <c r="U98" s="1199">
        <f t="shared" si="9"/>
        <v>33.689334564438575</v>
      </c>
      <c r="V98" s="1199">
        <f t="shared" si="9"/>
        <v>0</v>
      </c>
      <c r="W98" s="1200">
        <f t="shared" si="9"/>
        <v>2.0213600738663144</v>
      </c>
    </row>
    <row r="99" spans="1:23">
      <c r="A99" s="123">
        <f>'Input data'!A135</f>
        <v>2035</v>
      </c>
      <c r="B99" s="1208">
        <f>'Recycling - Case 1'!AI115</f>
        <v>6437.6604656145792</v>
      </c>
      <c r="C99" s="1209">
        <f t="shared" si="18"/>
        <v>0.1</v>
      </c>
      <c r="D99" s="1209">
        <f t="shared" si="10"/>
        <v>0.9</v>
      </c>
      <c r="E99" s="53">
        <v>0</v>
      </c>
      <c r="F99" s="53">
        <v>0</v>
      </c>
      <c r="G99" s="776">
        <f t="shared" si="11"/>
        <v>0.51501283724916636</v>
      </c>
      <c r="H99" s="519">
        <f t="shared" si="12"/>
        <v>23.175577676212484</v>
      </c>
      <c r="I99" s="53"/>
      <c r="J99" s="776">
        <f t="shared" si="13"/>
        <v>1.3905346605727491</v>
      </c>
      <c r="K99" s="527">
        <f>'Recycling - Case 1'!Z155</f>
        <v>2974.4882959863826</v>
      </c>
      <c r="L99" s="1209">
        <f t="shared" si="19"/>
        <v>0.1</v>
      </c>
      <c r="M99" s="1209">
        <f t="shared" si="14"/>
        <v>0.9</v>
      </c>
      <c r="N99" s="53">
        <f t="shared" ref="N99:O114" si="20">N97</f>
        <v>0</v>
      </c>
      <c r="O99" s="53">
        <f t="shared" si="20"/>
        <v>0</v>
      </c>
      <c r="P99" s="178">
        <f>L99*$D$5*K99/1000-N99</f>
        <v>0.23795906367891068</v>
      </c>
      <c r="Q99" s="519">
        <f t="shared" si="5"/>
        <v>10.708157865550978</v>
      </c>
      <c r="R99" s="53"/>
      <c r="S99" s="1211">
        <f t="shared" si="6"/>
        <v>0.64248947193305872</v>
      </c>
      <c r="T99" s="1198">
        <f t="shared" si="9"/>
        <v>0.75297190092807709</v>
      </c>
      <c r="U99" s="1199">
        <f t="shared" si="9"/>
        <v>33.883735541763464</v>
      </c>
      <c r="V99" s="1199">
        <f t="shared" si="9"/>
        <v>0</v>
      </c>
      <c r="W99" s="1200">
        <f t="shared" si="9"/>
        <v>2.0330241325058078</v>
      </c>
    </row>
    <row r="100" spans="1:23">
      <c r="A100" s="123">
        <f>'Input data'!A136</f>
        <v>2036</v>
      </c>
      <c r="B100" s="1208">
        <f>'Recycling - Case 1'!AI116</f>
        <v>6437.6604656145792</v>
      </c>
      <c r="C100" s="1209">
        <f t="shared" si="18"/>
        <v>0.1</v>
      </c>
      <c r="D100" s="1209">
        <f t="shared" si="10"/>
        <v>0.9</v>
      </c>
      <c r="E100" s="53">
        <v>0</v>
      </c>
      <c r="F100" s="53">
        <v>0</v>
      </c>
      <c r="G100" s="776">
        <f t="shared" si="11"/>
        <v>0.51501283724916636</v>
      </c>
      <c r="H100" s="519">
        <f t="shared" si="12"/>
        <v>23.175577676212484</v>
      </c>
      <c r="I100" s="53"/>
      <c r="J100" s="776">
        <f>D100*$D$7*B100/1000</f>
        <v>1.3905346605727491</v>
      </c>
      <c r="K100" s="527">
        <f>'Recycling - Case 1'!Z156</f>
        <v>3028.9302231111574</v>
      </c>
      <c r="L100" s="1209">
        <f t="shared" si="19"/>
        <v>0.1</v>
      </c>
      <c r="M100" s="1209">
        <f t="shared" si="14"/>
        <v>0.9</v>
      </c>
      <c r="N100" s="53">
        <f t="shared" si="20"/>
        <v>0</v>
      </c>
      <c r="O100" s="53">
        <f t="shared" si="20"/>
        <v>0</v>
      </c>
      <c r="P100" s="178">
        <f t="shared" si="16"/>
        <v>0.24231441784889265</v>
      </c>
      <c r="Q100" s="519">
        <f t="shared" si="5"/>
        <v>10.904148803200167</v>
      </c>
      <c r="R100" s="53"/>
      <c r="S100" s="1211">
        <f t="shared" si="6"/>
        <v>0.65424892819200997</v>
      </c>
      <c r="T100" s="1198">
        <f t="shared" si="9"/>
        <v>0.75732725509805898</v>
      </c>
      <c r="U100" s="1199">
        <f t="shared" si="9"/>
        <v>34.079726479412649</v>
      </c>
      <c r="V100" s="1199">
        <f t="shared" si="9"/>
        <v>0</v>
      </c>
      <c r="W100" s="1200">
        <f t="shared" si="9"/>
        <v>2.044783588764759</v>
      </c>
    </row>
    <row r="101" spans="1:23">
      <c r="A101" s="123">
        <f>'Input data'!A137</f>
        <v>2037</v>
      </c>
      <c r="B101" s="1208">
        <f>'Recycling - Case 1'!AI117</f>
        <v>6437.6604656145792</v>
      </c>
      <c r="C101" s="1209">
        <f t="shared" si="18"/>
        <v>0.1</v>
      </c>
      <c r="D101" s="1209">
        <f t="shared" si="10"/>
        <v>0.9</v>
      </c>
      <c r="E101" s="53">
        <v>0</v>
      </c>
      <c r="F101" s="53">
        <v>0</v>
      </c>
      <c r="G101" s="776">
        <f t="shared" si="11"/>
        <v>0.51501283724916636</v>
      </c>
      <c r="H101" s="519">
        <f t="shared" si="12"/>
        <v>23.175577676212484</v>
      </c>
      <c r="I101" s="53"/>
      <c r="J101" s="776">
        <f t="shared" si="13"/>
        <v>1.3905346605727491</v>
      </c>
      <c r="K101" s="527">
        <f>'Recycling - Case 1'!Z157</f>
        <v>3094.3681649355021</v>
      </c>
      <c r="L101" s="1209">
        <f t="shared" si="19"/>
        <v>0.1</v>
      </c>
      <c r="M101" s="1209">
        <f t="shared" si="14"/>
        <v>0.9</v>
      </c>
      <c r="N101" s="53">
        <f t="shared" si="20"/>
        <v>0</v>
      </c>
      <c r="O101" s="53">
        <f t="shared" si="20"/>
        <v>0</v>
      </c>
      <c r="P101" s="178">
        <f t="shared" si="16"/>
        <v>0.24754945319484023</v>
      </c>
      <c r="Q101" s="519">
        <f t="shared" si="5"/>
        <v>11.139725393767808</v>
      </c>
      <c r="R101" s="53"/>
      <c r="S101" s="1211">
        <f t="shared" si="6"/>
        <v>0.66838352362606845</v>
      </c>
      <c r="T101" s="1198">
        <f t="shared" si="9"/>
        <v>0.76256229044400659</v>
      </c>
      <c r="U101" s="1199">
        <f t="shared" si="9"/>
        <v>34.315303069980288</v>
      </c>
      <c r="V101" s="1199">
        <f t="shared" si="9"/>
        <v>0</v>
      </c>
      <c r="W101" s="1200">
        <f t="shared" si="9"/>
        <v>2.0589181841988173</v>
      </c>
    </row>
    <row r="102" spans="1:23">
      <c r="A102" s="123">
        <f>'Input data'!A138</f>
        <v>2038</v>
      </c>
      <c r="B102" s="1208">
        <f>'Recycling - Case 1'!AI118</f>
        <v>6437.6604656145792</v>
      </c>
      <c r="C102" s="1209">
        <f t="shared" si="18"/>
        <v>0.1</v>
      </c>
      <c r="D102" s="1209">
        <f t="shared" si="10"/>
        <v>0.9</v>
      </c>
      <c r="E102" s="53">
        <v>0</v>
      </c>
      <c r="F102" s="53">
        <v>0</v>
      </c>
      <c r="G102" s="776">
        <f t="shared" si="11"/>
        <v>0.51501283724916636</v>
      </c>
      <c r="H102" s="519">
        <f t="shared" si="12"/>
        <v>23.175577676212484</v>
      </c>
      <c r="I102" s="53"/>
      <c r="J102" s="776">
        <f t="shared" si="13"/>
        <v>1.3905346605727491</v>
      </c>
      <c r="K102" s="527">
        <f>'Recycling - Case 1'!Z158</f>
        <v>3164.033992993629</v>
      </c>
      <c r="L102" s="1209">
        <f t="shared" si="19"/>
        <v>0.1</v>
      </c>
      <c r="M102" s="1209">
        <f t="shared" si="14"/>
        <v>0.9</v>
      </c>
      <c r="N102" s="53">
        <f t="shared" si="20"/>
        <v>0</v>
      </c>
      <c r="O102" s="53">
        <f t="shared" si="20"/>
        <v>0</v>
      </c>
      <c r="P102" s="178">
        <f t="shared" si="16"/>
        <v>0.25312271943949038</v>
      </c>
      <c r="Q102" s="519">
        <f t="shared" si="5"/>
        <v>11.390522374777065</v>
      </c>
      <c r="R102" s="53"/>
      <c r="S102" s="1211">
        <f t="shared" si="6"/>
        <v>0.68343134248662385</v>
      </c>
      <c r="T102" s="1198">
        <f t="shared" si="9"/>
        <v>0.76813555668865674</v>
      </c>
      <c r="U102" s="1199">
        <f t="shared" si="9"/>
        <v>34.566100050989547</v>
      </c>
      <c r="V102" s="1199">
        <f t="shared" si="9"/>
        <v>0</v>
      </c>
      <c r="W102" s="1200">
        <f t="shared" si="9"/>
        <v>2.0739660030593727</v>
      </c>
    </row>
    <row r="103" spans="1:23">
      <c r="A103" s="123">
        <f>'Input data'!A139</f>
        <v>2039</v>
      </c>
      <c r="B103" s="1208">
        <f>'Recycling - Case 1'!AI119</f>
        <v>6437.6604656145792</v>
      </c>
      <c r="C103" s="1209">
        <f t="shared" si="18"/>
        <v>0.1</v>
      </c>
      <c r="D103" s="1209">
        <f t="shared" si="10"/>
        <v>0.9</v>
      </c>
      <c r="E103" s="53">
        <v>0</v>
      </c>
      <c r="F103" s="53">
        <v>0</v>
      </c>
      <c r="G103" s="776">
        <f t="shared" si="11"/>
        <v>0.51501283724916636</v>
      </c>
      <c r="H103" s="519">
        <f t="shared" si="12"/>
        <v>23.175577676212484</v>
      </c>
      <c r="I103" s="53"/>
      <c r="J103" s="776">
        <f t="shared" si="13"/>
        <v>1.3905346605727491</v>
      </c>
      <c r="K103" s="527">
        <f>'Recycling - Case 1'!Z159</f>
        <v>3238.0089949574353</v>
      </c>
      <c r="L103" s="1209">
        <f t="shared" si="19"/>
        <v>0.1</v>
      </c>
      <c r="M103" s="1209">
        <f t="shared" si="14"/>
        <v>0.9</v>
      </c>
      <c r="N103" s="53">
        <f t="shared" si="20"/>
        <v>0</v>
      </c>
      <c r="O103" s="53">
        <f t="shared" si="20"/>
        <v>0</v>
      </c>
      <c r="P103" s="178">
        <f t="shared" si="16"/>
        <v>0.25904071959659491</v>
      </c>
      <c r="Q103" s="519">
        <f t="shared" si="5"/>
        <v>11.656832381846767</v>
      </c>
      <c r="R103" s="53"/>
      <c r="S103" s="1211">
        <f t="shared" si="6"/>
        <v>0.69940994291080605</v>
      </c>
      <c r="T103" s="1198">
        <f t="shared" si="9"/>
        <v>0.77405355684576127</v>
      </c>
      <c r="U103" s="1199">
        <f t="shared" si="9"/>
        <v>34.832410058059253</v>
      </c>
      <c r="V103" s="1199">
        <f t="shared" si="9"/>
        <v>0</v>
      </c>
      <c r="W103" s="1200">
        <f t="shared" si="9"/>
        <v>2.0899446034835552</v>
      </c>
    </row>
    <row r="104" spans="1:23">
      <c r="A104" s="123">
        <f>'Input data'!A140</f>
        <v>2040</v>
      </c>
      <c r="B104" s="1208">
        <f>'Recycling - Case 1'!AI120</f>
        <v>6437.6604656145792</v>
      </c>
      <c r="C104" s="1209">
        <f t="shared" si="18"/>
        <v>0.1</v>
      </c>
      <c r="D104" s="1209">
        <f t="shared" si="10"/>
        <v>0.9</v>
      </c>
      <c r="E104" s="53">
        <v>0</v>
      </c>
      <c r="F104" s="53">
        <v>0</v>
      </c>
      <c r="G104" s="776">
        <f t="shared" si="11"/>
        <v>0.51501283724916636</v>
      </c>
      <c r="H104" s="519">
        <f t="shared" si="12"/>
        <v>23.175577676212484</v>
      </c>
      <c r="I104" s="53"/>
      <c r="J104" s="776">
        <f t="shared" si="13"/>
        <v>1.3905346605727491</v>
      </c>
      <c r="K104" s="527">
        <f>'Recycling - Case 1'!Z160</f>
        <v>3315.2894651604388</v>
      </c>
      <c r="L104" s="1209">
        <f t="shared" si="19"/>
        <v>0.1</v>
      </c>
      <c r="M104" s="1209">
        <f t="shared" si="14"/>
        <v>0.9</v>
      </c>
      <c r="N104" s="53">
        <f t="shared" si="20"/>
        <v>0</v>
      </c>
      <c r="O104" s="53">
        <f t="shared" si="20"/>
        <v>0</v>
      </c>
      <c r="P104" s="178">
        <f t="shared" si="16"/>
        <v>0.26522315721283513</v>
      </c>
      <c r="Q104" s="519">
        <f t="shared" si="5"/>
        <v>11.935042074577579</v>
      </c>
      <c r="R104" s="53"/>
      <c r="S104" s="1211">
        <f t="shared" si="6"/>
        <v>0.71610252447465472</v>
      </c>
      <c r="T104" s="1198">
        <f t="shared" si="9"/>
        <v>0.78023599446200143</v>
      </c>
      <c r="U104" s="1199">
        <f t="shared" si="9"/>
        <v>35.110619750790065</v>
      </c>
      <c r="V104" s="1199">
        <f t="shared" si="9"/>
        <v>0</v>
      </c>
      <c r="W104" s="1200">
        <f t="shared" si="9"/>
        <v>2.1066371850474037</v>
      </c>
    </row>
    <row r="105" spans="1:23">
      <c r="A105" s="123">
        <f>'Input data'!A141</f>
        <v>2041</v>
      </c>
      <c r="B105" s="1208">
        <f>'Recycling - Case 1'!AI121</f>
        <v>6437.6604656145792</v>
      </c>
      <c r="C105" s="1209">
        <f t="shared" si="18"/>
        <v>0.1</v>
      </c>
      <c r="D105" s="1209">
        <f t="shared" si="10"/>
        <v>0.9</v>
      </c>
      <c r="E105" s="53">
        <v>0</v>
      </c>
      <c r="F105" s="53">
        <v>0</v>
      </c>
      <c r="G105" s="776">
        <f t="shared" si="11"/>
        <v>0.51501283724916636</v>
      </c>
      <c r="H105" s="519">
        <f t="shared" si="12"/>
        <v>23.175577676212484</v>
      </c>
      <c r="I105" s="53"/>
      <c r="J105" s="776">
        <f t="shared" si="13"/>
        <v>1.3905346605727491</v>
      </c>
      <c r="K105" s="527">
        <f>'Recycling - Case 1'!Z161</f>
        <v>3395.1557266364357</v>
      </c>
      <c r="L105" s="1209">
        <f t="shared" si="19"/>
        <v>0.1</v>
      </c>
      <c r="M105" s="1209">
        <f t="shared" si="14"/>
        <v>0.9</v>
      </c>
      <c r="N105" s="53">
        <f t="shared" si="20"/>
        <v>0</v>
      </c>
      <c r="O105" s="53">
        <f t="shared" si="20"/>
        <v>0</v>
      </c>
      <c r="P105" s="178">
        <f t="shared" si="16"/>
        <v>0.27161245813091489</v>
      </c>
      <c r="Q105" s="519">
        <f t="shared" si="5"/>
        <v>12.222560615891169</v>
      </c>
      <c r="R105" s="53"/>
      <c r="S105" s="1211">
        <f t="shared" si="6"/>
        <v>0.73335363695347011</v>
      </c>
      <c r="T105" s="1198">
        <f t="shared" si="9"/>
        <v>0.78662529538008119</v>
      </c>
      <c r="U105" s="1199">
        <f t="shared" si="9"/>
        <v>35.398138292103653</v>
      </c>
      <c r="V105" s="1199">
        <f t="shared" si="9"/>
        <v>0</v>
      </c>
      <c r="W105" s="1200">
        <f t="shared" si="9"/>
        <v>2.1238882975262192</v>
      </c>
    </row>
    <row r="106" spans="1:23">
      <c r="A106" s="123">
        <f>'Input data'!A142</f>
        <v>2042</v>
      </c>
      <c r="B106" s="1208">
        <f>'Recycling - Case 1'!AI122</f>
        <v>6437.6604656145792</v>
      </c>
      <c r="C106" s="1209">
        <f t="shared" si="18"/>
        <v>0.1</v>
      </c>
      <c r="D106" s="1209">
        <f t="shared" si="10"/>
        <v>0.9</v>
      </c>
      <c r="E106" s="53">
        <v>0</v>
      </c>
      <c r="F106" s="53">
        <v>0</v>
      </c>
      <c r="G106" s="776">
        <f t="shared" si="11"/>
        <v>0.51501283724916636</v>
      </c>
      <c r="H106" s="519">
        <f t="shared" si="12"/>
        <v>23.175577676212484</v>
      </c>
      <c r="I106" s="53"/>
      <c r="J106" s="776">
        <f t="shared" si="13"/>
        <v>1.3905346605727491</v>
      </c>
      <c r="K106" s="527">
        <f>'Recycling - Case 1'!Z162</f>
        <v>3470.1008403756309</v>
      </c>
      <c r="L106" s="1209">
        <f t="shared" si="19"/>
        <v>0.1</v>
      </c>
      <c r="M106" s="1209">
        <f t="shared" si="14"/>
        <v>0.9</v>
      </c>
      <c r="N106" s="53">
        <f t="shared" si="20"/>
        <v>0</v>
      </c>
      <c r="O106" s="53">
        <f t="shared" si="20"/>
        <v>0</v>
      </c>
      <c r="P106" s="178">
        <f t="shared" si="16"/>
        <v>0.27760806723005055</v>
      </c>
      <c r="Q106" s="519">
        <f t="shared" si="5"/>
        <v>12.492363025352272</v>
      </c>
      <c r="R106" s="53"/>
      <c r="S106" s="1211">
        <f t="shared" si="6"/>
        <v>0.74954178152113626</v>
      </c>
      <c r="T106" s="1198">
        <f t="shared" si="9"/>
        <v>0.79262090447921696</v>
      </c>
      <c r="U106" s="1199">
        <f t="shared" si="9"/>
        <v>35.66794070156476</v>
      </c>
      <c r="V106" s="1199">
        <f t="shared" si="9"/>
        <v>0</v>
      </c>
      <c r="W106" s="1200">
        <f t="shared" si="9"/>
        <v>2.1400764420938856</v>
      </c>
    </row>
    <row r="107" spans="1:23">
      <c r="A107" s="123">
        <f>'Input data'!A143</f>
        <v>2043</v>
      </c>
      <c r="B107" s="1208">
        <f>'Recycling - Case 1'!AI123</f>
        <v>6437.6604656145792</v>
      </c>
      <c r="C107" s="1209">
        <f t="shared" si="18"/>
        <v>0.1</v>
      </c>
      <c r="D107" s="1209">
        <f t="shared" si="10"/>
        <v>0.9</v>
      </c>
      <c r="E107" s="53">
        <v>0</v>
      </c>
      <c r="F107" s="53">
        <v>0</v>
      </c>
      <c r="G107" s="776">
        <f t="shared" si="11"/>
        <v>0.51501283724916636</v>
      </c>
      <c r="H107" s="519">
        <f t="shared" si="12"/>
        <v>23.175577676212484</v>
      </c>
      <c r="I107" s="53"/>
      <c r="J107" s="776">
        <f t="shared" si="13"/>
        <v>1.3905346605727491</v>
      </c>
      <c r="K107" s="527">
        <f>'Recycling - Case 1'!Z163</f>
        <v>3546.6332077594516</v>
      </c>
      <c r="L107" s="1209">
        <f t="shared" si="19"/>
        <v>0.1</v>
      </c>
      <c r="M107" s="1209">
        <f t="shared" si="14"/>
        <v>0.9</v>
      </c>
      <c r="N107" s="53">
        <f t="shared" si="20"/>
        <v>0</v>
      </c>
      <c r="O107" s="53">
        <f t="shared" si="20"/>
        <v>0</v>
      </c>
      <c r="P107" s="178">
        <f t="shared" si="16"/>
        <v>0.28373065662075619</v>
      </c>
      <c r="Q107" s="519">
        <f t="shared" si="5"/>
        <v>12.767879547934026</v>
      </c>
      <c r="R107" s="53"/>
      <c r="S107" s="1211">
        <f t="shared" si="6"/>
        <v>0.76607277287604159</v>
      </c>
      <c r="T107" s="1198">
        <f t="shared" si="9"/>
        <v>0.79874349386992249</v>
      </c>
      <c r="U107" s="1199">
        <f t="shared" si="9"/>
        <v>35.943457224146513</v>
      </c>
      <c r="V107" s="1199">
        <f t="shared" si="9"/>
        <v>0</v>
      </c>
      <c r="W107" s="1200">
        <f t="shared" si="9"/>
        <v>2.1566074334487908</v>
      </c>
    </row>
    <row r="108" spans="1:23">
      <c r="A108" s="123">
        <f>'Input data'!A144</f>
        <v>2044</v>
      </c>
      <c r="B108" s="1208">
        <f>'Recycling - Case 1'!AI124</f>
        <v>6437.6604656145792</v>
      </c>
      <c r="C108" s="1209">
        <f t="shared" si="18"/>
        <v>0.1</v>
      </c>
      <c r="D108" s="1209">
        <f t="shared" si="10"/>
        <v>0.9</v>
      </c>
      <c r="E108" s="53">
        <v>0</v>
      </c>
      <c r="F108" s="53">
        <v>0</v>
      </c>
      <c r="G108" s="776">
        <f t="shared" si="11"/>
        <v>0.51501283724916636</v>
      </c>
      <c r="H108" s="519">
        <f t="shared" si="12"/>
        <v>23.175577676212484</v>
      </c>
      <c r="I108" s="53"/>
      <c r="J108" s="776">
        <f t="shared" si="13"/>
        <v>1.3905346605727491</v>
      </c>
      <c r="K108" s="527">
        <f>'Recycling - Case 1'!Z164</f>
        <v>3624.8360532382567</v>
      </c>
      <c r="L108" s="1209">
        <f t="shared" si="19"/>
        <v>0.1</v>
      </c>
      <c r="M108" s="1209">
        <f t="shared" si="14"/>
        <v>0.9</v>
      </c>
      <c r="N108" s="53">
        <f t="shared" si="20"/>
        <v>0</v>
      </c>
      <c r="O108" s="53">
        <f t="shared" si="20"/>
        <v>0</v>
      </c>
      <c r="P108" s="178">
        <f t="shared" si="16"/>
        <v>0.28998688425906061</v>
      </c>
      <c r="Q108" s="519">
        <f t="shared" si="5"/>
        <v>13.049409791657725</v>
      </c>
      <c r="R108" s="53"/>
      <c r="S108" s="1211">
        <f t="shared" si="6"/>
        <v>0.7829645874994634</v>
      </c>
      <c r="T108" s="1198">
        <f t="shared" si="9"/>
        <v>0.80499972150822696</v>
      </c>
      <c r="U108" s="1199">
        <f t="shared" si="9"/>
        <v>36.224987467870207</v>
      </c>
      <c r="V108" s="1199">
        <f t="shared" si="9"/>
        <v>0</v>
      </c>
      <c r="W108" s="1200">
        <f t="shared" si="9"/>
        <v>2.1734992480722126</v>
      </c>
    </row>
    <row r="109" spans="1:23">
      <c r="A109" s="123">
        <f>'Input data'!A145</f>
        <v>2045</v>
      </c>
      <c r="B109" s="1208">
        <f>'Recycling - Case 1'!AI125</f>
        <v>6437.6604656145792</v>
      </c>
      <c r="C109" s="1209">
        <f t="shared" si="18"/>
        <v>0.1</v>
      </c>
      <c r="D109" s="1209">
        <f t="shared" si="10"/>
        <v>0.9</v>
      </c>
      <c r="E109" s="53">
        <v>0</v>
      </c>
      <c r="F109" s="53">
        <v>0</v>
      </c>
      <c r="G109" s="776">
        <f t="shared" si="11"/>
        <v>0.51501283724916636</v>
      </c>
      <c r="H109" s="519">
        <f t="shared" si="12"/>
        <v>23.175577676212484</v>
      </c>
      <c r="I109" s="53"/>
      <c r="J109" s="776">
        <f t="shared" si="13"/>
        <v>1.3905346605727491</v>
      </c>
      <c r="K109" s="527">
        <f>'Recycling - Case 1'!Z165</f>
        <v>3706.6083970608752</v>
      </c>
      <c r="L109" s="1209">
        <f t="shared" si="19"/>
        <v>0.1</v>
      </c>
      <c r="M109" s="1209">
        <f t="shared" si="14"/>
        <v>0.9</v>
      </c>
      <c r="N109" s="53">
        <f t="shared" si="20"/>
        <v>0</v>
      </c>
      <c r="O109" s="53">
        <f t="shared" si="20"/>
        <v>0</v>
      </c>
      <c r="P109" s="178">
        <f t="shared" si="16"/>
        <v>0.29652867176487008</v>
      </c>
      <c r="Q109" s="519">
        <f t="shared" si="5"/>
        <v>13.343790229419152</v>
      </c>
      <c r="R109" s="53"/>
      <c r="S109" s="1211">
        <f t="shared" si="6"/>
        <v>0.80062741376514912</v>
      </c>
      <c r="T109" s="1198">
        <f t="shared" si="9"/>
        <v>0.81154150901403643</v>
      </c>
      <c r="U109" s="1199">
        <f t="shared" si="9"/>
        <v>36.51936790563164</v>
      </c>
      <c r="V109" s="1199">
        <f t="shared" si="9"/>
        <v>0</v>
      </c>
      <c r="W109" s="1200">
        <f t="shared" si="9"/>
        <v>2.1911620743378983</v>
      </c>
    </row>
    <row r="110" spans="1:23">
      <c r="A110" s="123">
        <f>'Input data'!A146</f>
        <v>2046</v>
      </c>
      <c r="B110" s="1208">
        <f>'Recycling - Case 1'!AI126</f>
        <v>6437.6604656145792</v>
      </c>
      <c r="C110" s="1209">
        <f t="shared" si="18"/>
        <v>0.1</v>
      </c>
      <c r="D110" s="1209">
        <f t="shared" si="10"/>
        <v>0.9</v>
      </c>
      <c r="E110" s="53">
        <v>0</v>
      </c>
      <c r="F110" s="53">
        <v>0</v>
      </c>
      <c r="G110" s="776">
        <f t="shared" si="11"/>
        <v>0.51501283724916636</v>
      </c>
      <c r="H110" s="519">
        <f t="shared" si="12"/>
        <v>23.175577676212484</v>
      </c>
      <c r="I110" s="53"/>
      <c r="J110" s="776">
        <f t="shared" si="13"/>
        <v>1.3905346605727491</v>
      </c>
      <c r="K110" s="527">
        <f>'Recycling - Case 1'!Z166</f>
        <v>3790.5155384385994</v>
      </c>
      <c r="L110" s="1209">
        <f t="shared" si="19"/>
        <v>0.1</v>
      </c>
      <c r="M110" s="1209">
        <f t="shared" si="14"/>
        <v>0.9</v>
      </c>
      <c r="N110" s="53">
        <f t="shared" si="20"/>
        <v>0</v>
      </c>
      <c r="O110" s="53">
        <f t="shared" si="20"/>
        <v>0</v>
      </c>
      <c r="P110" s="178">
        <f t="shared" si="16"/>
        <v>0.30324124307508799</v>
      </c>
      <c r="Q110" s="519">
        <f t="shared" si="5"/>
        <v>13.645855938378958</v>
      </c>
      <c r="R110" s="53"/>
      <c r="S110" s="1211">
        <f t="shared" si="6"/>
        <v>0.81875135630273743</v>
      </c>
      <c r="T110" s="1198">
        <f t="shared" si="9"/>
        <v>0.8182540803242544</v>
      </c>
      <c r="U110" s="1199">
        <f t="shared" si="9"/>
        <v>36.821433614591442</v>
      </c>
      <c r="V110" s="1199">
        <f t="shared" si="9"/>
        <v>0</v>
      </c>
      <c r="W110" s="1200">
        <f t="shared" si="9"/>
        <v>2.2092860168754864</v>
      </c>
    </row>
    <row r="111" spans="1:23">
      <c r="A111" s="123">
        <f>'Input data'!A147</f>
        <v>2047</v>
      </c>
      <c r="B111" s="1208">
        <f>'Recycling - Case 1'!AI127</f>
        <v>6437.6604656145792</v>
      </c>
      <c r="C111" s="1209">
        <f t="shared" si="18"/>
        <v>0.1</v>
      </c>
      <c r="D111" s="1209">
        <f t="shared" si="10"/>
        <v>0.9</v>
      </c>
      <c r="E111" s="53">
        <v>0</v>
      </c>
      <c r="F111" s="53">
        <v>0</v>
      </c>
      <c r="G111" s="776">
        <f t="shared" si="11"/>
        <v>0.51501283724916636</v>
      </c>
      <c r="H111" s="519">
        <f t="shared" si="12"/>
        <v>23.175577676212484</v>
      </c>
      <c r="I111" s="53"/>
      <c r="J111" s="776">
        <f t="shared" si="13"/>
        <v>1.3905346605727491</v>
      </c>
      <c r="K111" s="527">
        <f>'Recycling - Case 1'!Z167</f>
        <v>3842.0800669387309</v>
      </c>
      <c r="L111" s="1209">
        <f t="shared" si="19"/>
        <v>0.1</v>
      </c>
      <c r="M111" s="1209">
        <f t="shared" si="14"/>
        <v>0.9</v>
      </c>
      <c r="N111" s="53">
        <f t="shared" si="20"/>
        <v>0</v>
      </c>
      <c r="O111" s="53">
        <f t="shared" si="20"/>
        <v>0</v>
      </c>
      <c r="P111" s="178">
        <f t="shared" si="16"/>
        <v>0.30736640535509857</v>
      </c>
      <c r="Q111" s="519">
        <f t="shared" si="5"/>
        <v>13.831488240979432</v>
      </c>
      <c r="R111" s="53"/>
      <c r="S111" s="1211">
        <f t="shared" si="6"/>
        <v>0.82988929445876591</v>
      </c>
      <c r="T111" s="1198">
        <f t="shared" si="9"/>
        <v>0.82237924260426487</v>
      </c>
      <c r="U111" s="1199">
        <f t="shared" si="9"/>
        <v>37.007065917191916</v>
      </c>
      <c r="V111" s="1199">
        <f t="shared" si="9"/>
        <v>0</v>
      </c>
      <c r="W111" s="1200">
        <f t="shared" si="9"/>
        <v>2.220423955031515</v>
      </c>
    </row>
    <row r="112" spans="1:23">
      <c r="A112" s="123">
        <f>'Input data'!A148</f>
        <v>2048</v>
      </c>
      <c r="B112" s="1208">
        <f>'Recycling - Case 1'!AI128</f>
        <v>6437.6604656145792</v>
      </c>
      <c r="C112" s="1209">
        <f t="shared" si="18"/>
        <v>0.1</v>
      </c>
      <c r="D112" s="1209">
        <f t="shared" si="10"/>
        <v>0.9</v>
      </c>
      <c r="E112" s="53">
        <v>0</v>
      </c>
      <c r="F112" s="53">
        <v>0</v>
      </c>
      <c r="G112" s="776">
        <f t="shared" si="11"/>
        <v>0.51501283724916636</v>
      </c>
      <c r="H112" s="519">
        <f t="shared" si="12"/>
        <v>23.175577676212484</v>
      </c>
      <c r="I112" s="53"/>
      <c r="J112" s="776">
        <f t="shared" si="13"/>
        <v>1.3905346605727491</v>
      </c>
      <c r="K112" s="527">
        <f>'Recycling - Case 1'!Z168</f>
        <v>3888.8597695942517</v>
      </c>
      <c r="L112" s="1209">
        <f t="shared" si="19"/>
        <v>0.1</v>
      </c>
      <c r="M112" s="1209">
        <f t="shared" si="14"/>
        <v>0.9</v>
      </c>
      <c r="N112" s="53">
        <f t="shared" si="20"/>
        <v>0</v>
      </c>
      <c r="O112" s="53">
        <f t="shared" si="20"/>
        <v>0</v>
      </c>
      <c r="P112" s="178">
        <f t="shared" si="16"/>
        <v>0.31110878156754018</v>
      </c>
      <c r="Q112" s="519">
        <f t="shared" si="5"/>
        <v>13.999895170539306</v>
      </c>
      <c r="R112" s="53"/>
      <c r="S112" s="1211">
        <f t="shared" si="6"/>
        <v>0.83999371023235836</v>
      </c>
      <c r="T112" s="1198">
        <f t="shared" si="9"/>
        <v>0.82612161881670654</v>
      </c>
      <c r="U112" s="1199">
        <f t="shared" si="9"/>
        <v>37.175472846751788</v>
      </c>
      <c r="V112" s="1199">
        <f t="shared" si="9"/>
        <v>0</v>
      </c>
      <c r="W112" s="1200">
        <f t="shared" si="9"/>
        <v>2.2305283708051076</v>
      </c>
    </row>
    <row r="113" spans="1:23">
      <c r="A113" s="123">
        <f>'Input data'!A149</f>
        <v>2049</v>
      </c>
      <c r="B113" s="1208">
        <f>'Recycling - Case 1'!AI129</f>
        <v>6437.6604656145792</v>
      </c>
      <c r="C113" s="1209">
        <f t="shared" si="18"/>
        <v>0.1</v>
      </c>
      <c r="D113" s="1209">
        <f t="shared" si="10"/>
        <v>0.9</v>
      </c>
      <c r="E113" s="53">
        <v>0</v>
      </c>
      <c r="F113" s="53">
        <v>0</v>
      </c>
      <c r="G113" s="776">
        <f t="shared" si="11"/>
        <v>0.51501283724916636</v>
      </c>
      <c r="H113" s="519">
        <f t="shared" si="12"/>
        <v>23.175577676212484</v>
      </c>
      <c r="I113" s="53"/>
      <c r="J113" s="776">
        <f t="shared" si="13"/>
        <v>1.3905346605727491</v>
      </c>
      <c r="K113" s="527">
        <f>'Recycling - Case 1'!Z169</f>
        <v>3938.7085361162012</v>
      </c>
      <c r="L113" s="1209">
        <f t="shared" si="19"/>
        <v>0.1</v>
      </c>
      <c r="M113" s="1209">
        <f t="shared" si="14"/>
        <v>0.9</v>
      </c>
      <c r="N113" s="53">
        <f t="shared" si="20"/>
        <v>0</v>
      </c>
      <c r="O113" s="53">
        <f t="shared" si="20"/>
        <v>0</v>
      </c>
      <c r="P113" s="776">
        <f t="shared" si="8"/>
        <v>0.31509668288929615</v>
      </c>
      <c r="Q113" s="519">
        <f t="shared" si="5"/>
        <v>14.179350730018324</v>
      </c>
      <c r="R113" s="53"/>
      <c r="S113" s="1211">
        <f t="shared" si="6"/>
        <v>0.85076104380109951</v>
      </c>
      <c r="T113" s="1198">
        <f t="shared" si="9"/>
        <v>0.83010952013846251</v>
      </c>
      <c r="U113" s="1199">
        <f t="shared" si="9"/>
        <v>37.354928406230812</v>
      </c>
      <c r="V113" s="1199">
        <f t="shared" si="9"/>
        <v>0</v>
      </c>
      <c r="W113" s="1200">
        <f t="shared" si="9"/>
        <v>2.2412957043738486</v>
      </c>
    </row>
    <row r="114" spans="1:23" ht="15.75" thickBot="1">
      <c r="A114" s="123">
        <f>'Input data'!A150</f>
        <v>2050</v>
      </c>
      <c r="B114" s="1208">
        <f>'Recycling - Case 1'!AI130</f>
        <v>6437.6604656145792</v>
      </c>
      <c r="C114" s="578">
        <f t="shared" si="18"/>
        <v>0.1</v>
      </c>
      <c r="D114" s="578">
        <f t="shared" si="10"/>
        <v>0.9</v>
      </c>
      <c r="E114" s="1212">
        <v>0</v>
      </c>
      <c r="F114" s="1212">
        <v>0</v>
      </c>
      <c r="G114" s="776">
        <f t="shared" si="11"/>
        <v>0.51501283724916636</v>
      </c>
      <c r="H114" s="519">
        <f t="shared" si="12"/>
        <v>23.175577676212484</v>
      </c>
      <c r="I114" s="1212"/>
      <c r="J114" s="1213">
        <f t="shared" si="13"/>
        <v>1.3905346605727491</v>
      </c>
      <c r="K114" s="527">
        <f>'Recycling - Case 1'!Z170</f>
        <v>3985.2140129658874</v>
      </c>
      <c r="L114" s="578">
        <f t="shared" si="19"/>
        <v>0.1</v>
      </c>
      <c r="M114" s="578">
        <f t="shared" si="14"/>
        <v>0.9</v>
      </c>
      <c r="N114" s="1212">
        <f t="shared" si="20"/>
        <v>0</v>
      </c>
      <c r="O114" s="1212">
        <f t="shared" si="20"/>
        <v>0</v>
      </c>
      <c r="P114" s="1213">
        <f t="shared" si="8"/>
        <v>0.31881712103727106</v>
      </c>
      <c r="Q114" s="1144">
        <f t="shared" si="5"/>
        <v>14.346770446677196</v>
      </c>
      <c r="R114" s="1212"/>
      <c r="S114" s="1214">
        <f t="shared" si="6"/>
        <v>0.86080622680063168</v>
      </c>
      <c r="T114" s="1215">
        <f t="shared" si="9"/>
        <v>0.83382995828643747</v>
      </c>
      <c r="U114" s="1216">
        <f t="shared" si="9"/>
        <v>37.522348122889682</v>
      </c>
      <c r="V114" s="1216">
        <f t="shared" si="9"/>
        <v>0</v>
      </c>
      <c r="W114" s="1217">
        <f t="shared" si="9"/>
        <v>2.2513408873733809</v>
      </c>
    </row>
    <row r="115" spans="1:23">
      <c r="A115" s="1202" t="s">
        <v>641</v>
      </c>
      <c r="B115" s="1203"/>
      <c r="C115" s="1218"/>
      <c r="D115" s="1218"/>
      <c r="E115" s="1219"/>
      <c r="F115" s="1219"/>
      <c r="G115" s="1220"/>
      <c r="H115" s="1221"/>
      <c r="I115" s="1222"/>
      <c r="J115" s="1220"/>
      <c r="K115" s="1223"/>
      <c r="L115" s="1218"/>
      <c r="M115" s="1218"/>
      <c r="N115" s="1219"/>
      <c r="O115" s="1219"/>
      <c r="P115" s="1220"/>
      <c r="Q115" s="1221"/>
      <c r="R115" s="1219"/>
      <c r="S115" s="1224"/>
      <c r="T115" s="1194"/>
      <c r="U115" s="1195"/>
      <c r="V115" s="1195"/>
      <c r="W115" s="1196"/>
    </row>
    <row r="116" spans="1:23">
      <c r="A116" s="123">
        <f>'Input data'!A118</f>
        <v>2018</v>
      </c>
      <c r="B116" s="1208">
        <f>'Recycling - Case 1'!AI98</f>
        <v>3707.5235423427162</v>
      </c>
      <c r="C116" s="1209">
        <f>($C$120-$C$80)/($A$120-$A$80)+C80</f>
        <v>6.0000000000000005E-2</v>
      </c>
      <c r="D116" s="1209">
        <f>1-C116</f>
        <v>0.94</v>
      </c>
      <c r="E116" s="53">
        <v>0</v>
      </c>
      <c r="F116" s="53">
        <v>0</v>
      </c>
      <c r="G116" s="776">
        <f>C116*$D$5*B116/1000-E116</f>
        <v>0.1779611300324504</v>
      </c>
      <c r="H116" s="519">
        <f>D116*$D$4*B116/1000-F116</f>
        <v>13.940288519208613</v>
      </c>
      <c r="I116" s="53"/>
      <c r="J116" s="776">
        <f>D116*$D$7*B116/1000</f>
        <v>0.83641731115251661</v>
      </c>
      <c r="K116" s="1210">
        <f>'Recycling - Case 1'!Z178</f>
        <v>1789.9687605419947</v>
      </c>
      <c r="L116" s="1209">
        <f>($L$120-$L$80)/($A$120-$A$80)+L80</f>
        <v>0.1</v>
      </c>
      <c r="M116" s="1209">
        <f>1-L116</f>
        <v>0.9</v>
      </c>
      <c r="N116" s="53">
        <f>N114</f>
        <v>0</v>
      </c>
      <c r="O116" s="53">
        <f>O114</f>
        <v>0</v>
      </c>
      <c r="P116" s="776">
        <f>L116*$D$5*K116/1000-N116</f>
        <v>0.14319750084335958</v>
      </c>
      <c r="Q116" s="519">
        <f t="shared" ref="Q116:Q148" si="21">M116*$D$4*K116/1000-O116</f>
        <v>6.4438875379511806</v>
      </c>
      <c r="R116" s="53"/>
      <c r="S116" s="1211">
        <f t="shared" ref="S116:S148" si="22">M116*$D$7*K116/1000</f>
        <v>0.38663325227707085</v>
      </c>
      <c r="T116" s="1198">
        <f t="shared" ref="T116:W148" si="23">G116+P116</f>
        <v>0.32115863087580998</v>
      </c>
      <c r="U116" s="1199">
        <f t="shared" si="23"/>
        <v>20.384176057159792</v>
      </c>
      <c r="V116" s="1199">
        <f t="shared" si="23"/>
        <v>0</v>
      </c>
      <c r="W116" s="1200">
        <f t="shared" si="23"/>
        <v>1.2230505634295874</v>
      </c>
    </row>
    <row r="117" spans="1:23">
      <c r="A117" s="123">
        <f>'Input data'!A119</f>
        <v>2019</v>
      </c>
      <c r="B117" s="1208">
        <f>'Recycling - Case 1'!AI99</f>
        <v>4010.8720893729233</v>
      </c>
      <c r="C117" s="1209">
        <f>($C$120-$C$80)/($A$120-$A$80)+C116</f>
        <v>7.0000000000000007E-2</v>
      </c>
      <c r="D117" s="1209">
        <f t="shared" ref="D117:D148" si="24">1-C117</f>
        <v>0.92999999999999994</v>
      </c>
      <c r="E117" s="53">
        <v>0</v>
      </c>
      <c r="F117" s="53">
        <v>0</v>
      </c>
      <c r="G117" s="776">
        <f t="shared" ref="G117:G148" si="25">C117*$D$5*B117/1000-E117</f>
        <v>0.22460883700488374</v>
      </c>
      <c r="H117" s="519">
        <f t="shared" ref="H117:H148" si="26">D117*$D$4*B117/1000-F117</f>
        <v>14.920444172467274</v>
      </c>
      <c r="I117" s="53"/>
      <c r="J117" s="776">
        <f t="shared" ref="J117:J133" si="27">D117*$D$7*B117/1000</f>
        <v>0.89522665034803639</v>
      </c>
      <c r="K117" s="1210">
        <f>'Recycling - Case 1'!Z179</f>
        <v>1870.6618877196547</v>
      </c>
      <c r="L117" s="1209">
        <f>($L$120-$L$80)/($A$120-$A$80)+L116</f>
        <v>0.1</v>
      </c>
      <c r="M117" s="1209">
        <f t="shared" ref="M117:M148" si="28">1-L117</f>
        <v>0.9</v>
      </c>
      <c r="N117" s="53">
        <f t="shared" ref="N117:O132" si="29">N115</f>
        <v>0</v>
      </c>
      <c r="O117" s="53">
        <f t="shared" si="29"/>
        <v>0</v>
      </c>
      <c r="P117" s="776">
        <f>L117*$D$5*K117/1000-N117</f>
        <v>0.14965295101757239</v>
      </c>
      <c r="Q117" s="519">
        <f t="shared" si="21"/>
        <v>6.7343827957907569</v>
      </c>
      <c r="R117" s="53"/>
      <c r="S117" s="1211">
        <f t="shared" si="22"/>
        <v>0.40406296774744543</v>
      </c>
      <c r="T117" s="1198">
        <f t="shared" si="23"/>
        <v>0.37426178802245613</v>
      </c>
      <c r="U117" s="1199">
        <f t="shared" si="23"/>
        <v>21.654826968258032</v>
      </c>
      <c r="V117" s="1199">
        <f t="shared" si="23"/>
        <v>0</v>
      </c>
      <c r="W117" s="1200">
        <f t="shared" si="23"/>
        <v>1.2992896180954818</v>
      </c>
    </row>
    <row r="118" spans="1:23">
      <c r="A118" s="123">
        <f>'Input data'!A120</f>
        <v>2020</v>
      </c>
      <c r="B118" s="1208">
        <f>'Recycling - Case 1'!AI100</f>
        <v>4314.2206364031299</v>
      </c>
      <c r="C118" s="1209">
        <f t="shared" ref="C118:C119" si="30">($C$120-$C$80)/($A$120-$A$80)+C117</f>
        <v>0.08</v>
      </c>
      <c r="D118" s="1209">
        <f t="shared" si="24"/>
        <v>0.92</v>
      </c>
      <c r="E118" s="53">
        <v>0</v>
      </c>
      <c r="F118" s="53">
        <v>0</v>
      </c>
      <c r="G118" s="776">
        <f t="shared" si="25"/>
        <v>0.27611012072980029</v>
      </c>
      <c r="H118" s="519">
        <f t="shared" si="26"/>
        <v>15.876331941963519</v>
      </c>
      <c r="I118" s="53"/>
      <c r="J118" s="776">
        <f t="shared" si="27"/>
        <v>0.95257991651781104</v>
      </c>
      <c r="K118" s="1210">
        <f>'Recycling - Case 1'!Z180</f>
        <v>1838.3552196790363</v>
      </c>
      <c r="L118" s="1209">
        <f t="shared" ref="L118:L119" si="31">($L$120-$L$80)/($A$120-$A$80)+L117</f>
        <v>0.1</v>
      </c>
      <c r="M118" s="1209">
        <f t="shared" si="28"/>
        <v>0.9</v>
      </c>
      <c r="N118" s="53">
        <f t="shared" si="29"/>
        <v>0</v>
      </c>
      <c r="O118" s="53">
        <f t="shared" si="29"/>
        <v>0</v>
      </c>
      <c r="P118" s="776">
        <f t="shared" ref="P118:P148" si="32">L118*$D$5*K118/1000-N118</f>
        <v>0.14706841757432293</v>
      </c>
      <c r="Q118" s="519">
        <f t="shared" si="21"/>
        <v>6.6180787908445309</v>
      </c>
      <c r="R118" s="53"/>
      <c r="S118" s="1211">
        <f t="shared" si="22"/>
        <v>0.39708472745067186</v>
      </c>
      <c r="T118" s="1198">
        <f t="shared" si="23"/>
        <v>0.42317853830412322</v>
      </c>
      <c r="U118" s="1199">
        <f t="shared" si="23"/>
        <v>22.494410732808049</v>
      </c>
      <c r="V118" s="1199">
        <f t="shared" si="23"/>
        <v>0</v>
      </c>
      <c r="W118" s="1200">
        <f t="shared" si="23"/>
        <v>1.349664643968483</v>
      </c>
    </row>
    <row r="119" spans="1:23">
      <c r="A119" s="123">
        <f>'Input data'!A121</f>
        <v>2021</v>
      </c>
      <c r="B119" s="1208">
        <f>'Recycling - Case 1'!AI101</f>
        <v>4617.5691834333375</v>
      </c>
      <c r="C119" s="1209">
        <f t="shared" si="30"/>
        <v>0.09</v>
      </c>
      <c r="D119" s="1209">
        <f t="shared" si="24"/>
        <v>0.91</v>
      </c>
      <c r="E119" s="53">
        <v>0</v>
      </c>
      <c r="F119" s="53">
        <v>0</v>
      </c>
      <c r="G119" s="776">
        <f t="shared" si="25"/>
        <v>0.33246498120720025</v>
      </c>
      <c r="H119" s="519">
        <f t="shared" si="26"/>
        <v>16.807951827697352</v>
      </c>
      <c r="I119" s="53"/>
      <c r="J119" s="776">
        <f t="shared" si="27"/>
        <v>1.008477109661841</v>
      </c>
      <c r="K119" s="1210">
        <f>'Recycling - Case 1'!Z181</f>
        <v>1952.7072718925085</v>
      </c>
      <c r="L119" s="1209">
        <f t="shared" si="31"/>
        <v>0.1</v>
      </c>
      <c r="M119" s="1209">
        <f t="shared" si="28"/>
        <v>0.9</v>
      </c>
      <c r="N119" s="53">
        <f t="shared" si="29"/>
        <v>0</v>
      </c>
      <c r="O119" s="53">
        <f t="shared" si="29"/>
        <v>0</v>
      </c>
      <c r="P119" s="776">
        <f t="shared" si="32"/>
        <v>0.15621658175140071</v>
      </c>
      <c r="Q119" s="519">
        <f t="shared" si="21"/>
        <v>7.0297461788130304</v>
      </c>
      <c r="R119" s="53"/>
      <c r="S119" s="1211">
        <f t="shared" si="22"/>
        <v>0.42178477072878184</v>
      </c>
      <c r="T119" s="1198">
        <f t="shared" si="23"/>
        <v>0.48868156295860099</v>
      </c>
      <c r="U119" s="1199">
        <f t="shared" si="23"/>
        <v>23.837698006510383</v>
      </c>
      <c r="V119" s="1199">
        <f t="shared" si="23"/>
        <v>0</v>
      </c>
      <c r="W119" s="1200">
        <f t="shared" si="23"/>
        <v>1.4302618803906229</v>
      </c>
    </row>
    <row r="120" spans="1:23">
      <c r="A120" s="123">
        <f>'Input data'!A122</f>
        <v>2022</v>
      </c>
      <c r="B120" s="1208">
        <f>'Recycling - Case 1'!AI102</f>
        <v>4920.9177304635441</v>
      </c>
      <c r="C120" s="1209">
        <f>'Recycling - Case 1'!C31</f>
        <v>0.1</v>
      </c>
      <c r="D120" s="1209">
        <f t="shared" si="24"/>
        <v>0.9</v>
      </c>
      <c r="E120" s="53">
        <v>0</v>
      </c>
      <c r="F120" s="53">
        <v>0</v>
      </c>
      <c r="G120" s="776">
        <f t="shared" si="25"/>
        <v>0.39367341843708364</v>
      </c>
      <c r="H120" s="519">
        <f t="shared" si="26"/>
        <v>17.715303829668759</v>
      </c>
      <c r="I120" s="53"/>
      <c r="J120" s="776">
        <f t="shared" si="27"/>
        <v>1.0629182297801256</v>
      </c>
      <c r="K120" s="1210">
        <f>'Recycling - Case 1'!Z182</f>
        <v>2064.4284088169666</v>
      </c>
      <c r="L120" s="1209">
        <f>'Recycling - Case 1'!C31</f>
        <v>0.1</v>
      </c>
      <c r="M120" s="1209">
        <f t="shared" si="28"/>
        <v>0.9</v>
      </c>
      <c r="N120" s="53">
        <f t="shared" si="29"/>
        <v>0</v>
      </c>
      <c r="O120" s="53">
        <f t="shared" si="29"/>
        <v>0</v>
      </c>
      <c r="P120" s="776">
        <f t="shared" si="32"/>
        <v>0.16515427270535735</v>
      </c>
      <c r="Q120" s="519">
        <f t="shared" si="21"/>
        <v>7.4319422717410797</v>
      </c>
      <c r="R120" s="53"/>
      <c r="S120" s="1211">
        <f t="shared" si="22"/>
        <v>0.44591653630446476</v>
      </c>
      <c r="T120" s="1198">
        <f t="shared" si="23"/>
        <v>0.55882769114244102</v>
      </c>
      <c r="U120" s="1199">
        <f t="shared" si="23"/>
        <v>25.147246101409838</v>
      </c>
      <c r="V120" s="1199">
        <f t="shared" si="23"/>
        <v>0</v>
      </c>
      <c r="W120" s="1200">
        <f t="shared" si="23"/>
        <v>1.5088347660845904</v>
      </c>
    </row>
    <row r="121" spans="1:23">
      <c r="A121" s="123">
        <f>'Input data'!A123</f>
        <v>2023</v>
      </c>
      <c r="B121" s="1208">
        <f>'Recycling - Case 1'!AI103</f>
        <v>5224.2662774937517</v>
      </c>
      <c r="C121" s="1209">
        <f>C120</f>
        <v>0.1</v>
      </c>
      <c r="D121" s="1209">
        <f t="shared" si="24"/>
        <v>0.9</v>
      </c>
      <c r="E121" s="53">
        <v>0</v>
      </c>
      <c r="F121" s="53">
        <v>0</v>
      </c>
      <c r="G121" s="776">
        <f t="shared" si="25"/>
        <v>0.41794130219950021</v>
      </c>
      <c r="H121" s="519">
        <f t="shared" si="26"/>
        <v>18.807358598977505</v>
      </c>
      <c r="I121" s="53"/>
      <c r="J121" s="776">
        <f t="shared" si="27"/>
        <v>1.1284415159386503</v>
      </c>
      <c r="K121" s="1210">
        <f>'Recycling - Case 1'!Z183</f>
        <v>2172.5673767241883</v>
      </c>
      <c r="L121" s="1209">
        <f>L120</f>
        <v>0.1</v>
      </c>
      <c r="M121" s="1209">
        <f t="shared" si="28"/>
        <v>0.9</v>
      </c>
      <c r="N121" s="53">
        <f t="shared" si="29"/>
        <v>0</v>
      </c>
      <c r="O121" s="53">
        <f t="shared" si="29"/>
        <v>0</v>
      </c>
      <c r="P121" s="776">
        <f t="shared" si="32"/>
        <v>0.17380539013793508</v>
      </c>
      <c r="Q121" s="519">
        <f t="shared" si="21"/>
        <v>7.8212425562070784</v>
      </c>
      <c r="R121" s="53"/>
      <c r="S121" s="1211">
        <f t="shared" si="22"/>
        <v>0.46927455337242469</v>
      </c>
      <c r="T121" s="1198">
        <f t="shared" si="23"/>
        <v>0.59174669233743526</v>
      </c>
      <c r="U121" s="1199">
        <f t="shared" si="23"/>
        <v>26.628601155184583</v>
      </c>
      <c r="V121" s="1199">
        <f t="shared" si="23"/>
        <v>0</v>
      </c>
      <c r="W121" s="1200">
        <f t="shared" si="23"/>
        <v>1.597716069311075</v>
      </c>
    </row>
    <row r="122" spans="1:23">
      <c r="A122" s="123">
        <f>'Input data'!A124</f>
        <v>2024</v>
      </c>
      <c r="B122" s="1208">
        <f>'Recycling - Case 1'!AI104</f>
        <v>5527.6148245239583</v>
      </c>
      <c r="C122" s="1209">
        <f t="shared" ref="C122:C148" si="33">C121</f>
        <v>0.1</v>
      </c>
      <c r="D122" s="1209">
        <f t="shared" si="24"/>
        <v>0.9</v>
      </c>
      <c r="E122" s="53">
        <v>0</v>
      </c>
      <c r="F122" s="53">
        <v>0</v>
      </c>
      <c r="G122" s="776">
        <f t="shared" si="25"/>
        <v>0.44220918596191677</v>
      </c>
      <c r="H122" s="519">
        <f t="shared" si="26"/>
        <v>19.89941336828625</v>
      </c>
      <c r="I122" s="53"/>
      <c r="J122" s="776">
        <f t="shared" si="27"/>
        <v>1.1939648020971749</v>
      </c>
      <c r="K122" s="1210">
        <f>'Recycling - Case 1'!Z184</f>
        <v>2284.9172620654172</v>
      </c>
      <c r="L122" s="1209">
        <f t="shared" ref="L122:L148" si="34">L121</f>
        <v>0.1</v>
      </c>
      <c r="M122" s="1209">
        <f t="shared" si="28"/>
        <v>0.9</v>
      </c>
      <c r="N122" s="53">
        <f t="shared" si="29"/>
        <v>0</v>
      </c>
      <c r="O122" s="53">
        <f t="shared" si="29"/>
        <v>0</v>
      </c>
      <c r="P122" s="776">
        <f t="shared" si="32"/>
        <v>0.1827933809652334</v>
      </c>
      <c r="Q122" s="519">
        <f t="shared" si="21"/>
        <v>8.2257021434355035</v>
      </c>
      <c r="R122" s="53"/>
      <c r="S122" s="1211">
        <f t="shared" si="22"/>
        <v>0.49354212860613011</v>
      </c>
      <c r="T122" s="1198">
        <f t="shared" si="23"/>
        <v>0.62500256692715017</v>
      </c>
      <c r="U122" s="1199">
        <f t="shared" si="23"/>
        <v>28.125115511721752</v>
      </c>
      <c r="V122" s="1199">
        <f t="shared" si="23"/>
        <v>0</v>
      </c>
      <c r="W122" s="1200">
        <f t="shared" si="23"/>
        <v>1.687506930703305</v>
      </c>
    </row>
    <row r="123" spans="1:23">
      <c r="A123" s="123">
        <f>'Input data'!A125</f>
        <v>2025</v>
      </c>
      <c r="B123" s="1208">
        <f>'Recycling - Case 1'!AI105</f>
        <v>5830.9633715541659</v>
      </c>
      <c r="C123" s="1209">
        <f t="shared" si="33"/>
        <v>0.1</v>
      </c>
      <c r="D123" s="1209">
        <f t="shared" si="24"/>
        <v>0.9</v>
      </c>
      <c r="E123" s="53">
        <v>0</v>
      </c>
      <c r="F123" s="53">
        <v>0</v>
      </c>
      <c r="G123" s="776">
        <f t="shared" si="25"/>
        <v>0.46647706972433339</v>
      </c>
      <c r="H123" s="519">
        <f t="shared" si="26"/>
        <v>20.991468137595</v>
      </c>
      <c r="I123" s="53"/>
      <c r="J123" s="776">
        <f t="shared" si="27"/>
        <v>1.2594880882556998</v>
      </c>
      <c r="K123" s="1210">
        <f>'Recycling - Case 1'!Z185</f>
        <v>2393.6144590052254</v>
      </c>
      <c r="L123" s="1209">
        <f t="shared" si="34"/>
        <v>0.1</v>
      </c>
      <c r="M123" s="1209">
        <f t="shared" si="28"/>
        <v>0.9</v>
      </c>
      <c r="N123" s="53">
        <f t="shared" si="29"/>
        <v>0</v>
      </c>
      <c r="O123" s="53">
        <f t="shared" si="29"/>
        <v>0</v>
      </c>
      <c r="P123" s="776">
        <f t="shared" si="32"/>
        <v>0.19148915672041805</v>
      </c>
      <c r="Q123" s="519">
        <f t="shared" si="21"/>
        <v>8.6170120524188114</v>
      </c>
      <c r="R123" s="53"/>
      <c r="S123" s="1211">
        <f t="shared" si="22"/>
        <v>0.5170207231451287</v>
      </c>
      <c r="T123" s="1198">
        <f t="shared" si="23"/>
        <v>0.65796622644475145</v>
      </c>
      <c r="U123" s="1199">
        <f t="shared" si="23"/>
        <v>29.608480190013811</v>
      </c>
      <c r="V123" s="1199">
        <f t="shared" si="23"/>
        <v>0</v>
      </c>
      <c r="W123" s="1200">
        <f t="shared" si="23"/>
        <v>1.7765088114008285</v>
      </c>
    </row>
    <row r="124" spans="1:23">
      <c r="A124" s="123">
        <f>'Input data'!A126</f>
        <v>2026</v>
      </c>
      <c r="B124" s="1208">
        <f>'Recycling - Case 1'!AI106</f>
        <v>6134.3119185843725</v>
      </c>
      <c r="C124" s="1209">
        <f t="shared" si="33"/>
        <v>0.1</v>
      </c>
      <c r="D124" s="1209">
        <f t="shared" si="24"/>
        <v>0.9</v>
      </c>
      <c r="E124" s="53">
        <v>0</v>
      </c>
      <c r="F124" s="53">
        <v>0</v>
      </c>
      <c r="G124" s="776">
        <f t="shared" si="25"/>
        <v>0.4907449534867499</v>
      </c>
      <c r="H124" s="519">
        <f t="shared" si="26"/>
        <v>22.083522906903742</v>
      </c>
      <c r="I124" s="53"/>
      <c r="J124" s="776">
        <f t="shared" si="27"/>
        <v>1.3250113744142245</v>
      </c>
      <c r="K124" s="1210">
        <f>'Recycling - Case 1'!Z186</f>
        <v>2506.9936446322913</v>
      </c>
      <c r="L124" s="1209">
        <f t="shared" si="34"/>
        <v>0.1</v>
      </c>
      <c r="M124" s="1209">
        <f t="shared" si="28"/>
        <v>0.9</v>
      </c>
      <c r="N124" s="53">
        <f t="shared" si="29"/>
        <v>0</v>
      </c>
      <c r="O124" s="53">
        <f t="shared" si="29"/>
        <v>0</v>
      </c>
      <c r="P124" s="776">
        <f t="shared" si="32"/>
        <v>0.20055949157058334</v>
      </c>
      <c r="Q124" s="519">
        <f t="shared" si="21"/>
        <v>9.0251771206762488</v>
      </c>
      <c r="R124" s="53"/>
      <c r="S124" s="1211">
        <f t="shared" si="22"/>
        <v>0.54151062724057486</v>
      </c>
      <c r="T124" s="1198">
        <f t="shared" si="23"/>
        <v>0.69130444505733324</v>
      </c>
      <c r="U124" s="1199">
        <f t="shared" si="23"/>
        <v>31.108700027579992</v>
      </c>
      <c r="V124" s="1199">
        <f t="shared" si="23"/>
        <v>0</v>
      </c>
      <c r="W124" s="1200">
        <f t="shared" si="23"/>
        <v>1.8665220016547992</v>
      </c>
    </row>
    <row r="125" spans="1:23">
      <c r="A125" s="123">
        <f>'Input data'!A127</f>
        <v>2027</v>
      </c>
      <c r="B125" s="1208">
        <f>'Recycling - Case 1'!AI107</f>
        <v>6437.6604656145792</v>
      </c>
      <c r="C125" s="1209">
        <f t="shared" si="33"/>
        <v>0.1</v>
      </c>
      <c r="D125" s="1209">
        <f t="shared" si="24"/>
        <v>0.9</v>
      </c>
      <c r="E125" s="53">
        <v>0</v>
      </c>
      <c r="F125" s="53">
        <v>0</v>
      </c>
      <c r="G125" s="776">
        <f t="shared" si="25"/>
        <v>0.51501283724916636</v>
      </c>
      <c r="H125" s="519">
        <f t="shared" si="26"/>
        <v>23.175577676212484</v>
      </c>
      <c r="I125" s="53"/>
      <c r="J125" s="776">
        <f t="shared" si="27"/>
        <v>1.3905346605727491</v>
      </c>
      <c r="K125" s="1210">
        <f>'Recycling - Case 1'!Z187</f>
        <v>2620.2270434897314</v>
      </c>
      <c r="L125" s="1209">
        <f t="shared" si="34"/>
        <v>0.1</v>
      </c>
      <c r="M125" s="1209">
        <f t="shared" si="28"/>
        <v>0.9</v>
      </c>
      <c r="N125" s="53">
        <f t="shared" si="29"/>
        <v>0</v>
      </c>
      <c r="O125" s="53">
        <f t="shared" si="29"/>
        <v>0</v>
      </c>
      <c r="P125" s="776">
        <f t="shared" si="32"/>
        <v>0.20961816347917855</v>
      </c>
      <c r="Q125" s="519">
        <f t="shared" si="21"/>
        <v>9.4328173565630333</v>
      </c>
      <c r="R125" s="53"/>
      <c r="S125" s="1211">
        <f t="shared" si="22"/>
        <v>0.5659690413937819</v>
      </c>
      <c r="T125" s="1198">
        <f t="shared" si="23"/>
        <v>0.72463100072834497</v>
      </c>
      <c r="U125" s="1199">
        <f t="shared" si="23"/>
        <v>32.608395032775519</v>
      </c>
      <c r="V125" s="1199">
        <f t="shared" si="23"/>
        <v>0</v>
      </c>
      <c r="W125" s="1200">
        <f t="shared" si="23"/>
        <v>1.956503701966531</v>
      </c>
    </row>
    <row r="126" spans="1:23">
      <c r="A126" s="123">
        <f>'Input data'!A128</f>
        <v>2028</v>
      </c>
      <c r="B126" s="1208">
        <f>'Recycling - Case 1'!AI108</f>
        <v>6437.6604656145792</v>
      </c>
      <c r="C126" s="1209">
        <f t="shared" si="33"/>
        <v>0.1</v>
      </c>
      <c r="D126" s="1209">
        <f t="shared" si="24"/>
        <v>0.9</v>
      </c>
      <c r="E126" s="53">
        <v>0</v>
      </c>
      <c r="F126" s="53">
        <v>0</v>
      </c>
      <c r="G126" s="776">
        <f t="shared" si="25"/>
        <v>0.51501283724916636</v>
      </c>
      <c r="H126" s="519">
        <f t="shared" si="26"/>
        <v>23.175577676212484</v>
      </c>
      <c r="I126" s="53"/>
      <c r="J126" s="776">
        <f t="shared" si="27"/>
        <v>1.3905346605727491</v>
      </c>
      <c r="K126" s="1210">
        <f>'Recycling - Case 1'!Z188</f>
        <v>2646.7585380287851</v>
      </c>
      <c r="L126" s="1209">
        <f t="shared" si="34"/>
        <v>0.1</v>
      </c>
      <c r="M126" s="1209">
        <f t="shared" si="28"/>
        <v>0.9</v>
      </c>
      <c r="N126" s="53">
        <f t="shared" si="29"/>
        <v>0</v>
      </c>
      <c r="O126" s="53">
        <f t="shared" si="29"/>
        <v>0</v>
      </c>
      <c r="P126" s="776">
        <f t="shared" si="32"/>
        <v>0.21174068304230287</v>
      </c>
      <c r="Q126" s="519">
        <f t="shared" si="21"/>
        <v>9.5283307369036265</v>
      </c>
      <c r="R126" s="53"/>
      <c r="S126" s="1211">
        <f t="shared" si="22"/>
        <v>0.5716998442142176</v>
      </c>
      <c r="T126" s="1198">
        <f t="shared" si="23"/>
        <v>0.72675352029146922</v>
      </c>
      <c r="U126" s="1199">
        <f t="shared" si="23"/>
        <v>32.70390841311611</v>
      </c>
      <c r="V126" s="1199">
        <f t="shared" si="23"/>
        <v>0</v>
      </c>
      <c r="W126" s="1200">
        <f t="shared" si="23"/>
        <v>1.9622345047869667</v>
      </c>
    </row>
    <row r="127" spans="1:23">
      <c r="A127" s="123">
        <f>'Input data'!A129</f>
        <v>2029</v>
      </c>
      <c r="B127" s="1208">
        <f>'Recycling - Case 1'!AI109</f>
        <v>6437.6604656145792</v>
      </c>
      <c r="C127" s="1209">
        <f t="shared" si="33"/>
        <v>0.1</v>
      </c>
      <c r="D127" s="1209">
        <f t="shared" si="24"/>
        <v>0.9</v>
      </c>
      <c r="E127" s="53">
        <v>0</v>
      </c>
      <c r="F127" s="53">
        <v>0</v>
      </c>
      <c r="G127" s="776">
        <f t="shared" si="25"/>
        <v>0.51501283724916636</v>
      </c>
      <c r="H127" s="519">
        <f t="shared" si="26"/>
        <v>23.175577676212484</v>
      </c>
      <c r="I127" s="53"/>
      <c r="J127" s="776">
        <f t="shared" si="27"/>
        <v>1.3905346605727491</v>
      </c>
      <c r="K127" s="1210">
        <f>'Recycling - Case 1'!Z189</f>
        <v>2675.3394274160801</v>
      </c>
      <c r="L127" s="1209">
        <f t="shared" si="34"/>
        <v>0.1</v>
      </c>
      <c r="M127" s="1209">
        <f t="shared" si="28"/>
        <v>0.9</v>
      </c>
      <c r="N127" s="53">
        <f t="shared" si="29"/>
        <v>0</v>
      </c>
      <c r="O127" s="53">
        <f t="shared" si="29"/>
        <v>0</v>
      </c>
      <c r="P127" s="776">
        <f t="shared" si="32"/>
        <v>0.21402715419328644</v>
      </c>
      <c r="Q127" s="519">
        <f t="shared" si="21"/>
        <v>9.6312219386978892</v>
      </c>
      <c r="R127" s="53"/>
      <c r="S127" s="1211">
        <f t="shared" si="22"/>
        <v>0.57787331632187333</v>
      </c>
      <c r="T127" s="1198">
        <f t="shared" si="23"/>
        <v>0.72903999144245279</v>
      </c>
      <c r="U127" s="1199">
        <f t="shared" si="23"/>
        <v>32.806799614910375</v>
      </c>
      <c r="V127" s="1199">
        <f t="shared" si="23"/>
        <v>0</v>
      </c>
      <c r="W127" s="1200">
        <f t="shared" si="23"/>
        <v>1.9684079768946225</v>
      </c>
    </row>
    <row r="128" spans="1:23">
      <c r="A128" s="123">
        <f>'Input data'!A130</f>
        <v>2030</v>
      </c>
      <c r="B128" s="1208">
        <f>'Recycling - Case 1'!AI110</f>
        <v>6437.6604656145792</v>
      </c>
      <c r="C128" s="1209">
        <f t="shared" si="33"/>
        <v>0.1</v>
      </c>
      <c r="D128" s="1209">
        <f t="shared" si="24"/>
        <v>0.9</v>
      </c>
      <c r="E128" s="53">
        <v>0</v>
      </c>
      <c r="F128" s="53">
        <v>0</v>
      </c>
      <c r="G128" s="776">
        <f t="shared" si="25"/>
        <v>0.51501283724916636</v>
      </c>
      <c r="H128" s="519">
        <f t="shared" si="26"/>
        <v>23.175577676212484</v>
      </c>
      <c r="I128" s="53"/>
      <c r="J128" s="776">
        <f t="shared" si="27"/>
        <v>1.3905346605727491</v>
      </c>
      <c r="K128" s="1210">
        <f>'Recycling - Case 1'!Z190</f>
        <v>2709.795875944686</v>
      </c>
      <c r="L128" s="1209">
        <f t="shared" si="34"/>
        <v>0.1</v>
      </c>
      <c r="M128" s="1209">
        <f t="shared" si="28"/>
        <v>0.9</v>
      </c>
      <c r="N128" s="53">
        <f t="shared" si="29"/>
        <v>0</v>
      </c>
      <c r="O128" s="53">
        <f t="shared" si="29"/>
        <v>0</v>
      </c>
      <c r="P128" s="776">
        <f t="shared" si="32"/>
        <v>0.21678367007557492</v>
      </c>
      <c r="Q128" s="519">
        <f t="shared" si="21"/>
        <v>9.7552651534008685</v>
      </c>
      <c r="R128" s="53"/>
      <c r="S128" s="1211">
        <f t="shared" si="22"/>
        <v>0.58531590920405219</v>
      </c>
      <c r="T128" s="1198">
        <f t="shared" si="23"/>
        <v>0.73179650732474122</v>
      </c>
      <c r="U128" s="1199">
        <f t="shared" si="23"/>
        <v>32.930842829613354</v>
      </c>
      <c r="V128" s="1199">
        <f t="shared" si="23"/>
        <v>0</v>
      </c>
      <c r="W128" s="1200">
        <f t="shared" si="23"/>
        <v>1.9758505697768012</v>
      </c>
    </row>
    <row r="129" spans="1:23">
      <c r="A129" s="123">
        <f>'Input data'!A131</f>
        <v>2031</v>
      </c>
      <c r="B129" s="1208">
        <f>'Recycling - Case 1'!AI111</f>
        <v>6437.6604656145792</v>
      </c>
      <c r="C129" s="1209">
        <f t="shared" si="33"/>
        <v>0.1</v>
      </c>
      <c r="D129" s="1209">
        <f t="shared" si="24"/>
        <v>0.9</v>
      </c>
      <c r="E129" s="53">
        <v>0</v>
      </c>
      <c r="F129" s="53">
        <v>0</v>
      </c>
      <c r="G129" s="776">
        <f t="shared" si="25"/>
        <v>0.51501283724916636</v>
      </c>
      <c r="H129" s="519">
        <f t="shared" si="26"/>
        <v>23.175577676212484</v>
      </c>
      <c r="I129" s="53"/>
      <c r="J129" s="776">
        <f t="shared" si="27"/>
        <v>1.3905346605727491</v>
      </c>
      <c r="K129" s="1210">
        <f>'Recycling - Case 1'!Z191</f>
        <v>2757.7445965802553</v>
      </c>
      <c r="L129" s="1209">
        <f t="shared" si="34"/>
        <v>0.1</v>
      </c>
      <c r="M129" s="1209">
        <f t="shared" si="28"/>
        <v>0.9</v>
      </c>
      <c r="N129" s="53">
        <f t="shared" si="29"/>
        <v>0</v>
      </c>
      <c r="O129" s="53">
        <f t="shared" si="29"/>
        <v>0</v>
      </c>
      <c r="P129" s="776">
        <f t="shared" si="32"/>
        <v>0.2206195677264205</v>
      </c>
      <c r="Q129" s="519">
        <f t="shared" si="21"/>
        <v>9.92788054768892</v>
      </c>
      <c r="R129" s="53"/>
      <c r="S129" s="1211">
        <f t="shared" si="22"/>
        <v>0.5956728328613351</v>
      </c>
      <c r="T129" s="1198">
        <f t="shared" si="23"/>
        <v>0.73563240497558691</v>
      </c>
      <c r="U129" s="1199">
        <f t="shared" si="23"/>
        <v>33.103458223901406</v>
      </c>
      <c r="V129" s="1199">
        <f t="shared" si="23"/>
        <v>0</v>
      </c>
      <c r="W129" s="1200">
        <f t="shared" si="23"/>
        <v>1.9862074934340841</v>
      </c>
    </row>
    <row r="130" spans="1:23">
      <c r="A130" s="123">
        <f>'Input data'!A132</f>
        <v>2032</v>
      </c>
      <c r="B130" s="1208">
        <f>'Recycling - Case 1'!AI112</f>
        <v>6437.6604656145792</v>
      </c>
      <c r="C130" s="1209">
        <f t="shared" si="33"/>
        <v>0.1</v>
      </c>
      <c r="D130" s="1209">
        <f t="shared" si="24"/>
        <v>0.9</v>
      </c>
      <c r="E130" s="53">
        <v>0</v>
      </c>
      <c r="F130" s="53">
        <v>0</v>
      </c>
      <c r="G130" s="776">
        <f t="shared" si="25"/>
        <v>0.51501283724916636</v>
      </c>
      <c r="H130" s="519">
        <f t="shared" si="26"/>
        <v>23.175577676212484</v>
      </c>
      <c r="I130" s="53"/>
      <c r="J130" s="776">
        <f t="shared" si="27"/>
        <v>1.3905346605727491</v>
      </c>
      <c r="K130" s="1210">
        <f>'Recycling - Case 1'!Z192</f>
        <v>2802.0956343307598</v>
      </c>
      <c r="L130" s="1209">
        <f t="shared" si="34"/>
        <v>0.1</v>
      </c>
      <c r="M130" s="1209">
        <f t="shared" si="28"/>
        <v>0.9</v>
      </c>
      <c r="N130" s="53">
        <f t="shared" si="29"/>
        <v>0</v>
      </c>
      <c r="O130" s="53">
        <f t="shared" si="29"/>
        <v>0</v>
      </c>
      <c r="P130" s="776">
        <f t="shared" si="32"/>
        <v>0.22416765074646083</v>
      </c>
      <c r="Q130" s="519">
        <f t="shared" si="21"/>
        <v>10.087544283590736</v>
      </c>
      <c r="R130" s="53"/>
      <c r="S130" s="1211">
        <f t="shared" si="22"/>
        <v>0.60525265701544417</v>
      </c>
      <c r="T130" s="1198">
        <f t="shared" si="23"/>
        <v>0.73918048799562719</v>
      </c>
      <c r="U130" s="1199">
        <f t="shared" si="23"/>
        <v>33.263121959803222</v>
      </c>
      <c r="V130" s="1199">
        <f t="shared" si="23"/>
        <v>0</v>
      </c>
      <c r="W130" s="1200">
        <f t="shared" si="23"/>
        <v>1.9957873175881933</v>
      </c>
    </row>
    <row r="131" spans="1:23">
      <c r="A131" s="123">
        <f>'Input data'!A133</f>
        <v>2033</v>
      </c>
      <c r="B131" s="1208">
        <f>'Recycling - Case 1'!AI113</f>
        <v>6437.6604656145792</v>
      </c>
      <c r="C131" s="1209">
        <f t="shared" si="33"/>
        <v>0.1</v>
      </c>
      <c r="D131" s="1209">
        <f t="shared" si="24"/>
        <v>0.9</v>
      </c>
      <c r="E131" s="53">
        <v>0</v>
      </c>
      <c r="F131" s="53">
        <v>0</v>
      </c>
      <c r="G131" s="776">
        <f t="shared" si="25"/>
        <v>0.51501283724916636</v>
      </c>
      <c r="H131" s="519">
        <f t="shared" si="26"/>
        <v>23.175577676212484</v>
      </c>
      <c r="I131" s="53"/>
      <c r="J131" s="776">
        <f t="shared" si="27"/>
        <v>1.3905346605727491</v>
      </c>
      <c r="K131" s="1210">
        <f>'Recycling - Case 1'!Z193</f>
        <v>2854.5920843191443</v>
      </c>
      <c r="L131" s="1209">
        <f t="shared" si="34"/>
        <v>0.1</v>
      </c>
      <c r="M131" s="1209">
        <f t="shared" si="28"/>
        <v>0.9</v>
      </c>
      <c r="N131" s="53">
        <f t="shared" si="29"/>
        <v>0</v>
      </c>
      <c r="O131" s="53">
        <f t="shared" si="29"/>
        <v>0</v>
      </c>
      <c r="P131" s="776">
        <f t="shared" si="32"/>
        <v>0.2283673667455316</v>
      </c>
      <c r="Q131" s="519">
        <f t="shared" si="21"/>
        <v>10.27653150354892</v>
      </c>
      <c r="R131" s="53"/>
      <c r="S131" s="1211">
        <f t="shared" si="22"/>
        <v>0.61659189021293515</v>
      </c>
      <c r="T131" s="1198">
        <f t="shared" si="23"/>
        <v>0.74338020399469795</v>
      </c>
      <c r="U131" s="1199">
        <f t="shared" si="23"/>
        <v>33.452109179761408</v>
      </c>
      <c r="V131" s="1199">
        <f t="shared" si="23"/>
        <v>0</v>
      </c>
      <c r="W131" s="1200">
        <f t="shared" si="23"/>
        <v>2.0071265507856841</v>
      </c>
    </row>
    <row r="132" spans="1:23">
      <c r="A132" s="123">
        <f>'Input data'!A134</f>
        <v>2034</v>
      </c>
      <c r="B132" s="1208">
        <f>'Recycling - Case 1'!AI114</f>
        <v>6437.6604656145792</v>
      </c>
      <c r="C132" s="1209">
        <f t="shared" si="33"/>
        <v>0.1</v>
      </c>
      <c r="D132" s="1209">
        <f t="shared" si="24"/>
        <v>0.9</v>
      </c>
      <c r="E132" s="53">
        <v>0</v>
      </c>
      <c r="F132" s="53">
        <v>0</v>
      </c>
      <c r="G132" s="776">
        <f t="shared" si="25"/>
        <v>0.51501283724916636</v>
      </c>
      <c r="H132" s="519">
        <f t="shared" si="26"/>
        <v>23.175577676212484</v>
      </c>
      <c r="I132" s="53"/>
      <c r="J132" s="776">
        <f t="shared" si="27"/>
        <v>1.3905346605727491</v>
      </c>
      <c r="K132" s="1210">
        <f>'Recycling - Case 1'!Z194</f>
        <v>2920.4880245072482</v>
      </c>
      <c r="L132" s="1209">
        <f t="shared" si="34"/>
        <v>0.1</v>
      </c>
      <c r="M132" s="1209">
        <f t="shared" si="28"/>
        <v>0.9</v>
      </c>
      <c r="N132" s="53">
        <f t="shared" si="29"/>
        <v>0</v>
      </c>
      <c r="O132" s="53">
        <f t="shared" si="29"/>
        <v>0</v>
      </c>
      <c r="P132" s="776">
        <f t="shared" si="32"/>
        <v>0.23363904196057991</v>
      </c>
      <c r="Q132" s="519">
        <f t="shared" si="21"/>
        <v>10.513756888226093</v>
      </c>
      <c r="R132" s="53"/>
      <c r="S132" s="1211">
        <f t="shared" si="22"/>
        <v>0.63082541329356556</v>
      </c>
      <c r="T132" s="1198">
        <f t="shared" si="23"/>
        <v>0.7486518792097463</v>
      </c>
      <c r="U132" s="1199">
        <f t="shared" si="23"/>
        <v>33.689334564438575</v>
      </c>
      <c r="V132" s="1199">
        <f t="shared" si="23"/>
        <v>0</v>
      </c>
      <c r="W132" s="1200">
        <f t="shared" si="23"/>
        <v>2.0213600738663144</v>
      </c>
    </row>
    <row r="133" spans="1:23">
      <c r="A133" s="123">
        <f>'Input data'!A135</f>
        <v>2035</v>
      </c>
      <c r="B133" s="1208">
        <f>'Recycling - Case 1'!AI115</f>
        <v>6437.6604656145792</v>
      </c>
      <c r="C133" s="1209">
        <f t="shared" si="33"/>
        <v>0.1</v>
      </c>
      <c r="D133" s="1209">
        <f t="shared" si="24"/>
        <v>0.9</v>
      </c>
      <c r="E133" s="53">
        <v>0</v>
      </c>
      <c r="F133" s="53">
        <v>0</v>
      </c>
      <c r="G133" s="776">
        <f t="shared" si="25"/>
        <v>0.51501283724916636</v>
      </c>
      <c r="H133" s="519">
        <f t="shared" si="26"/>
        <v>23.175577676212484</v>
      </c>
      <c r="I133" s="53"/>
      <c r="J133" s="776">
        <f t="shared" si="27"/>
        <v>1.3905346605727491</v>
      </c>
      <c r="K133" s="1210">
        <f>'Recycling - Case 1'!Z195</f>
        <v>2974.4882959863826</v>
      </c>
      <c r="L133" s="1209">
        <f t="shared" si="34"/>
        <v>0.1</v>
      </c>
      <c r="M133" s="1209">
        <f t="shared" si="28"/>
        <v>0.9</v>
      </c>
      <c r="N133" s="53">
        <f t="shared" ref="N133:O148" si="35">N131</f>
        <v>0</v>
      </c>
      <c r="O133" s="53">
        <f t="shared" si="35"/>
        <v>0</v>
      </c>
      <c r="P133" s="776">
        <f t="shared" si="32"/>
        <v>0.23795906367891068</v>
      </c>
      <c r="Q133" s="519">
        <f t="shared" si="21"/>
        <v>10.708157865550978</v>
      </c>
      <c r="R133" s="53"/>
      <c r="S133" s="1211">
        <f t="shared" si="22"/>
        <v>0.64248947193305872</v>
      </c>
      <c r="T133" s="1198">
        <f t="shared" si="23"/>
        <v>0.75297190092807709</v>
      </c>
      <c r="U133" s="1199">
        <f t="shared" si="23"/>
        <v>33.883735541763464</v>
      </c>
      <c r="V133" s="1199">
        <f t="shared" si="23"/>
        <v>0</v>
      </c>
      <c r="W133" s="1200">
        <f t="shared" si="23"/>
        <v>2.0330241325058078</v>
      </c>
    </row>
    <row r="134" spans="1:23">
      <c r="A134" s="123">
        <f>'Input data'!A136</f>
        <v>2036</v>
      </c>
      <c r="B134" s="1208">
        <f>'Recycling - Case 1'!AI116</f>
        <v>6437.6604656145792</v>
      </c>
      <c r="C134" s="1209">
        <f t="shared" si="33"/>
        <v>0.1</v>
      </c>
      <c r="D134" s="1209">
        <f t="shared" si="24"/>
        <v>0.9</v>
      </c>
      <c r="E134" s="53">
        <v>0</v>
      </c>
      <c r="F134" s="53">
        <v>0</v>
      </c>
      <c r="G134" s="776">
        <f t="shared" si="25"/>
        <v>0.51501283724916636</v>
      </c>
      <c r="H134" s="519">
        <f t="shared" si="26"/>
        <v>23.175577676212484</v>
      </c>
      <c r="I134" s="53"/>
      <c r="J134" s="776">
        <f>D134*$D$7*B134/1000</f>
        <v>1.3905346605727491</v>
      </c>
      <c r="K134" s="1210">
        <f>'Recycling - Case 1'!Z196</f>
        <v>3028.9302231111574</v>
      </c>
      <c r="L134" s="1209">
        <f t="shared" si="34"/>
        <v>0.1</v>
      </c>
      <c r="M134" s="1209">
        <f t="shared" si="28"/>
        <v>0.9</v>
      </c>
      <c r="N134" s="53">
        <f t="shared" si="35"/>
        <v>0</v>
      </c>
      <c r="O134" s="53">
        <f t="shared" si="35"/>
        <v>0</v>
      </c>
      <c r="P134" s="776">
        <f t="shared" si="32"/>
        <v>0.24231441784889265</v>
      </c>
      <c r="Q134" s="519">
        <f t="shared" si="21"/>
        <v>10.904148803200167</v>
      </c>
      <c r="R134" s="53"/>
      <c r="S134" s="1211">
        <f t="shared" si="22"/>
        <v>0.65424892819200997</v>
      </c>
      <c r="T134" s="1198">
        <f t="shared" si="23"/>
        <v>0.75732725509805898</v>
      </c>
      <c r="U134" s="1199">
        <f t="shared" si="23"/>
        <v>34.079726479412649</v>
      </c>
      <c r="V134" s="1199">
        <f t="shared" si="23"/>
        <v>0</v>
      </c>
      <c r="W134" s="1200">
        <f t="shared" si="23"/>
        <v>2.044783588764759</v>
      </c>
    </row>
    <row r="135" spans="1:23">
      <c r="A135" s="123">
        <f>'Input data'!A137</f>
        <v>2037</v>
      </c>
      <c r="B135" s="1208">
        <f>'Recycling - Case 1'!AI117</f>
        <v>6437.6604656145792</v>
      </c>
      <c r="C135" s="1209">
        <f t="shared" si="33"/>
        <v>0.1</v>
      </c>
      <c r="D135" s="1209">
        <f t="shared" si="24"/>
        <v>0.9</v>
      </c>
      <c r="E135" s="53">
        <v>0</v>
      </c>
      <c r="F135" s="53">
        <v>0</v>
      </c>
      <c r="G135" s="776">
        <f t="shared" si="25"/>
        <v>0.51501283724916636</v>
      </c>
      <c r="H135" s="519">
        <f t="shared" si="26"/>
        <v>23.175577676212484</v>
      </c>
      <c r="I135" s="53"/>
      <c r="J135" s="776">
        <f t="shared" ref="J135:J148" si="36">D135*$D$7*B135/1000</f>
        <v>1.3905346605727491</v>
      </c>
      <c r="K135" s="1210">
        <f>'Recycling - Case 1'!Z197</f>
        <v>3094.3681649355021</v>
      </c>
      <c r="L135" s="1209">
        <f t="shared" si="34"/>
        <v>0.1</v>
      </c>
      <c r="M135" s="1209">
        <f t="shared" si="28"/>
        <v>0.9</v>
      </c>
      <c r="N135" s="53">
        <f t="shared" si="35"/>
        <v>0</v>
      </c>
      <c r="O135" s="53">
        <f t="shared" si="35"/>
        <v>0</v>
      </c>
      <c r="P135" s="776">
        <f t="shared" si="32"/>
        <v>0.24754945319484023</v>
      </c>
      <c r="Q135" s="519">
        <f t="shared" si="21"/>
        <v>11.139725393767808</v>
      </c>
      <c r="R135" s="53"/>
      <c r="S135" s="1211">
        <f t="shared" si="22"/>
        <v>0.66838352362606845</v>
      </c>
      <c r="T135" s="1198">
        <f t="shared" si="23"/>
        <v>0.76256229044400659</v>
      </c>
      <c r="U135" s="1199">
        <f t="shared" si="23"/>
        <v>34.315303069980288</v>
      </c>
      <c r="V135" s="1199">
        <f t="shared" si="23"/>
        <v>0</v>
      </c>
      <c r="W135" s="1200">
        <f t="shared" si="23"/>
        <v>2.0589181841988173</v>
      </c>
    </row>
    <row r="136" spans="1:23">
      <c r="A136" s="123">
        <f>'Input data'!A138</f>
        <v>2038</v>
      </c>
      <c r="B136" s="1208">
        <f>'Recycling - Case 1'!AI118</f>
        <v>6437.6604656145792</v>
      </c>
      <c r="C136" s="1209">
        <f t="shared" si="33"/>
        <v>0.1</v>
      </c>
      <c r="D136" s="1209">
        <f t="shared" si="24"/>
        <v>0.9</v>
      </c>
      <c r="E136" s="53">
        <v>0</v>
      </c>
      <c r="F136" s="53">
        <v>0</v>
      </c>
      <c r="G136" s="776">
        <f t="shared" si="25"/>
        <v>0.51501283724916636</v>
      </c>
      <c r="H136" s="519">
        <f t="shared" si="26"/>
        <v>23.175577676212484</v>
      </c>
      <c r="I136" s="53"/>
      <c r="J136" s="776">
        <f t="shared" si="36"/>
        <v>1.3905346605727491</v>
      </c>
      <c r="K136" s="1210">
        <f>'Recycling - Case 1'!Z198</f>
        <v>3164.033992993629</v>
      </c>
      <c r="L136" s="1209">
        <f t="shared" si="34"/>
        <v>0.1</v>
      </c>
      <c r="M136" s="1209">
        <f t="shared" si="28"/>
        <v>0.9</v>
      </c>
      <c r="N136" s="53">
        <f t="shared" si="35"/>
        <v>0</v>
      </c>
      <c r="O136" s="53">
        <f t="shared" si="35"/>
        <v>0</v>
      </c>
      <c r="P136" s="776">
        <f t="shared" si="32"/>
        <v>0.25312271943949038</v>
      </c>
      <c r="Q136" s="519">
        <f t="shared" si="21"/>
        <v>11.390522374777065</v>
      </c>
      <c r="R136" s="53"/>
      <c r="S136" s="1211">
        <f t="shared" si="22"/>
        <v>0.68343134248662385</v>
      </c>
      <c r="T136" s="1198">
        <f t="shared" si="23"/>
        <v>0.76813555668865674</v>
      </c>
      <c r="U136" s="1199">
        <f t="shared" si="23"/>
        <v>34.566100050989547</v>
      </c>
      <c r="V136" s="1199">
        <f t="shared" si="23"/>
        <v>0</v>
      </c>
      <c r="W136" s="1200">
        <f t="shared" si="23"/>
        <v>2.0739660030593727</v>
      </c>
    </row>
    <row r="137" spans="1:23">
      <c r="A137" s="123">
        <f>'Input data'!A139</f>
        <v>2039</v>
      </c>
      <c r="B137" s="1208">
        <f>'Recycling - Case 1'!AI119</f>
        <v>6437.6604656145792</v>
      </c>
      <c r="C137" s="1209">
        <f t="shared" si="33"/>
        <v>0.1</v>
      </c>
      <c r="D137" s="1209">
        <f t="shared" si="24"/>
        <v>0.9</v>
      </c>
      <c r="E137" s="53">
        <v>0</v>
      </c>
      <c r="F137" s="53">
        <v>0</v>
      </c>
      <c r="G137" s="776">
        <f t="shared" si="25"/>
        <v>0.51501283724916636</v>
      </c>
      <c r="H137" s="519">
        <f t="shared" si="26"/>
        <v>23.175577676212484</v>
      </c>
      <c r="I137" s="53"/>
      <c r="J137" s="776">
        <f t="shared" si="36"/>
        <v>1.3905346605727491</v>
      </c>
      <c r="K137" s="1210">
        <f>'Recycling - Case 1'!Z199</f>
        <v>3238.0089949574353</v>
      </c>
      <c r="L137" s="1209">
        <f t="shared" si="34"/>
        <v>0.1</v>
      </c>
      <c r="M137" s="1209">
        <f t="shared" si="28"/>
        <v>0.9</v>
      </c>
      <c r="N137" s="53">
        <f t="shared" si="35"/>
        <v>0</v>
      </c>
      <c r="O137" s="53">
        <f t="shared" si="35"/>
        <v>0</v>
      </c>
      <c r="P137" s="776">
        <f t="shared" si="32"/>
        <v>0.25904071959659491</v>
      </c>
      <c r="Q137" s="519">
        <f t="shared" si="21"/>
        <v>11.656832381846767</v>
      </c>
      <c r="R137" s="53"/>
      <c r="S137" s="1211">
        <f t="shared" si="22"/>
        <v>0.69940994291080605</v>
      </c>
      <c r="T137" s="1198">
        <f t="shared" si="23"/>
        <v>0.77405355684576127</v>
      </c>
      <c r="U137" s="1199">
        <f t="shared" si="23"/>
        <v>34.832410058059253</v>
      </c>
      <c r="V137" s="1199">
        <f t="shared" si="23"/>
        <v>0</v>
      </c>
      <c r="W137" s="1200">
        <f t="shared" si="23"/>
        <v>2.0899446034835552</v>
      </c>
    </row>
    <row r="138" spans="1:23">
      <c r="A138" s="123">
        <f>'Input data'!A140</f>
        <v>2040</v>
      </c>
      <c r="B138" s="1208">
        <f>'Recycling - Case 1'!AI120</f>
        <v>6437.6604656145792</v>
      </c>
      <c r="C138" s="1209">
        <f t="shared" si="33"/>
        <v>0.1</v>
      </c>
      <c r="D138" s="1209">
        <f t="shared" si="24"/>
        <v>0.9</v>
      </c>
      <c r="E138" s="53">
        <v>0</v>
      </c>
      <c r="F138" s="53">
        <v>0</v>
      </c>
      <c r="G138" s="776">
        <f t="shared" si="25"/>
        <v>0.51501283724916636</v>
      </c>
      <c r="H138" s="519">
        <f t="shared" si="26"/>
        <v>23.175577676212484</v>
      </c>
      <c r="I138" s="53"/>
      <c r="J138" s="776">
        <f t="shared" si="36"/>
        <v>1.3905346605727491</v>
      </c>
      <c r="K138" s="1210">
        <f>'Recycling - Case 1'!Z200</f>
        <v>3315.2894651604388</v>
      </c>
      <c r="L138" s="1209">
        <f t="shared" si="34"/>
        <v>0.1</v>
      </c>
      <c r="M138" s="1209">
        <f t="shared" si="28"/>
        <v>0.9</v>
      </c>
      <c r="N138" s="53">
        <f t="shared" si="35"/>
        <v>0</v>
      </c>
      <c r="O138" s="53">
        <f t="shared" si="35"/>
        <v>0</v>
      </c>
      <c r="P138" s="776">
        <f t="shared" si="32"/>
        <v>0.26522315721283513</v>
      </c>
      <c r="Q138" s="519">
        <f t="shared" si="21"/>
        <v>11.935042074577579</v>
      </c>
      <c r="R138" s="53"/>
      <c r="S138" s="1211">
        <f t="shared" si="22"/>
        <v>0.71610252447465472</v>
      </c>
      <c r="T138" s="1198">
        <f t="shared" si="23"/>
        <v>0.78023599446200143</v>
      </c>
      <c r="U138" s="1199">
        <f t="shared" si="23"/>
        <v>35.110619750790065</v>
      </c>
      <c r="V138" s="1199">
        <f t="shared" si="23"/>
        <v>0</v>
      </c>
      <c r="W138" s="1200">
        <f t="shared" si="23"/>
        <v>2.1066371850474037</v>
      </c>
    </row>
    <row r="139" spans="1:23">
      <c r="A139" s="123">
        <f>'Input data'!A141</f>
        <v>2041</v>
      </c>
      <c r="B139" s="1208">
        <f>'Recycling - Case 1'!AI121</f>
        <v>6437.6604656145792</v>
      </c>
      <c r="C139" s="1209">
        <f t="shared" si="33"/>
        <v>0.1</v>
      </c>
      <c r="D139" s="1209">
        <f t="shared" si="24"/>
        <v>0.9</v>
      </c>
      <c r="E139" s="53">
        <v>0</v>
      </c>
      <c r="F139" s="53">
        <v>0</v>
      </c>
      <c r="G139" s="776">
        <f t="shared" si="25"/>
        <v>0.51501283724916636</v>
      </c>
      <c r="H139" s="519">
        <f t="shared" si="26"/>
        <v>23.175577676212484</v>
      </c>
      <c r="I139" s="53"/>
      <c r="J139" s="776">
        <f t="shared" si="36"/>
        <v>1.3905346605727491</v>
      </c>
      <c r="K139" s="1210">
        <f>'Recycling - Case 1'!Z201</f>
        <v>3395.1557266364357</v>
      </c>
      <c r="L139" s="1209">
        <f t="shared" si="34"/>
        <v>0.1</v>
      </c>
      <c r="M139" s="1209">
        <f t="shared" si="28"/>
        <v>0.9</v>
      </c>
      <c r="N139" s="53">
        <f t="shared" si="35"/>
        <v>0</v>
      </c>
      <c r="O139" s="53">
        <f t="shared" si="35"/>
        <v>0</v>
      </c>
      <c r="P139" s="776">
        <f t="shared" si="32"/>
        <v>0.27161245813091489</v>
      </c>
      <c r="Q139" s="519">
        <f t="shared" si="21"/>
        <v>12.222560615891169</v>
      </c>
      <c r="R139" s="53"/>
      <c r="S139" s="1211">
        <f t="shared" si="22"/>
        <v>0.73335363695347011</v>
      </c>
      <c r="T139" s="1198">
        <f t="shared" si="23"/>
        <v>0.78662529538008119</v>
      </c>
      <c r="U139" s="1199">
        <f t="shared" si="23"/>
        <v>35.398138292103653</v>
      </c>
      <c r="V139" s="1199">
        <f t="shared" si="23"/>
        <v>0</v>
      </c>
      <c r="W139" s="1200">
        <f t="shared" si="23"/>
        <v>2.1238882975262192</v>
      </c>
    </row>
    <row r="140" spans="1:23">
      <c r="A140" s="123">
        <f>'Input data'!A142</f>
        <v>2042</v>
      </c>
      <c r="B140" s="1208">
        <f>'Recycling - Case 1'!AI122</f>
        <v>6437.6604656145792</v>
      </c>
      <c r="C140" s="1209">
        <f t="shared" si="33"/>
        <v>0.1</v>
      </c>
      <c r="D140" s="1209">
        <f t="shared" si="24"/>
        <v>0.9</v>
      </c>
      <c r="E140" s="53">
        <v>0</v>
      </c>
      <c r="F140" s="53">
        <v>0</v>
      </c>
      <c r="G140" s="776">
        <f t="shared" si="25"/>
        <v>0.51501283724916636</v>
      </c>
      <c r="H140" s="519">
        <f t="shared" si="26"/>
        <v>23.175577676212484</v>
      </c>
      <c r="I140" s="53"/>
      <c r="J140" s="776">
        <f t="shared" si="36"/>
        <v>1.3905346605727491</v>
      </c>
      <c r="K140" s="1210">
        <f>'Recycling - Case 1'!Z202</f>
        <v>3470.1008403756309</v>
      </c>
      <c r="L140" s="1209">
        <f t="shared" si="34"/>
        <v>0.1</v>
      </c>
      <c r="M140" s="1209">
        <f t="shared" si="28"/>
        <v>0.9</v>
      </c>
      <c r="N140" s="53">
        <f t="shared" si="35"/>
        <v>0</v>
      </c>
      <c r="O140" s="53">
        <f t="shared" si="35"/>
        <v>0</v>
      </c>
      <c r="P140" s="776">
        <f t="shared" si="32"/>
        <v>0.27760806723005055</v>
      </c>
      <c r="Q140" s="519">
        <f t="shared" si="21"/>
        <v>12.492363025352272</v>
      </c>
      <c r="R140" s="53"/>
      <c r="S140" s="1211">
        <f t="shared" si="22"/>
        <v>0.74954178152113626</v>
      </c>
      <c r="T140" s="1198">
        <f t="shared" si="23"/>
        <v>0.79262090447921696</v>
      </c>
      <c r="U140" s="1199">
        <f t="shared" si="23"/>
        <v>35.66794070156476</v>
      </c>
      <c r="V140" s="1199">
        <f t="shared" si="23"/>
        <v>0</v>
      </c>
      <c r="W140" s="1200">
        <f t="shared" si="23"/>
        <v>2.1400764420938856</v>
      </c>
    </row>
    <row r="141" spans="1:23">
      <c r="A141" s="123">
        <f>'Input data'!A143</f>
        <v>2043</v>
      </c>
      <c r="B141" s="1208">
        <f>'Recycling - Case 1'!AI123</f>
        <v>6437.6604656145792</v>
      </c>
      <c r="C141" s="1209">
        <f t="shared" si="33"/>
        <v>0.1</v>
      </c>
      <c r="D141" s="1209">
        <f t="shared" si="24"/>
        <v>0.9</v>
      </c>
      <c r="E141" s="53">
        <v>0</v>
      </c>
      <c r="F141" s="53">
        <v>0</v>
      </c>
      <c r="G141" s="776">
        <f t="shared" si="25"/>
        <v>0.51501283724916636</v>
      </c>
      <c r="H141" s="519">
        <f t="shared" si="26"/>
        <v>23.175577676212484</v>
      </c>
      <c r="I141" s="53"/>
      <c r="J141" s="776">
        <f t="shared" si="36"/>
        <v>1.3905346605727491</v>
      </c>
      <c r="K141" s="1210">
        <f>'Recycling - Case 1'!Z203</f>
        <v>3546.6332077594516</v>
      </c>
      <c r="L141" s="1209">
        <f t="shared" si="34"/>
        <v>0.1</v>
      </c>
      <c r="M141" s="1209">
        <f t="shared" si="28"/>
        <v>0.9</v>
      </c>
      <c r="N141" s="53">
        <f t="shared" si="35"/>
        <v>0</v>
      </c>
      <c r="O141" s="53">
        <f t="shared" si="35"/>
        <v>0</v>
      </c>
      <c r="P141" s="776">
        <f t="shared" si="32"/>
        <v>0.28373065662075619</v>
      </c>
      <c r="Q141" s="519">
        <f t="shared" si="21"/>
        <v>12.767879547934026</v>
      </c>
      <c r="R141" s="53"/>
      <c r="S141" s="1211">
        <f t="shared" si="22"/>
        <v>0.76607277287604159</v>
      </c>
      <c r="T141" s="1198">
        <f t="shared" si="23"/>
        <v>0.79874349386992249</v>
      </c>
      <c r="U141" s="1199">
        <f t="shared" si="23"/>
        <v>35.943457224146513</v>
      </c>
      <c r="V141" s="1199">
        <f t="shared" si="23"/>
        <v>0</v>
      </c>
      <c r="W141" s="1200">
        <f t="shared" si="23"/>
        <v>2.1566074334487908</v>
      </c>
    </row>
    <row r="142" spans="1:23">
      <c r="A142" s="123">
        <f>'Input data'!A144</f>
        <v>2044</v>
      </c>
      <c r="B142" s="1208">
        <f>'Recycling - Case 1'!AI124</f>
        <v>6437.6604656145792</v>
      </c>
      <c r="C142" s="1209">
        <f t="shared" si="33"/>
        <v>0.1</v>
      </c>
      <c r="D142" s="1209">
        <f t="shared" si="24"/>
        <v>0.9</v>
      </c>
      <c r="E142" s="53">
        <v>0</v>
      </c>
      <c r="F142" s="53">
        <v>0</v>
      </c>
      <c r="G142" s="776">
        <f t="shared" si="25"/>
        <v>0.51501283724916636</v>
      </c>
      <c r="H142" s="519">
        <f t="shared" si="26"/>
        <v>23.175577676212484</v>
      </c>
      <c r="I142" s="53"/>
      <c r="J142" s="776">
        <f t="shared" si="36"/>
        <v>1.3905346605727491</v>
      </c>
      <c r="K142" s="1210">
        <f>'Recycling - Case 1'!Z204</f>
        <v>3624.8360532382567</v>
      </c>
      <c r="L142" s="1209">
        <f t="shared" si="34"/>
        <v>0.1</v>
      </c>
      <c r="M142" s="1209">
        <f t="shared" si="28"/>
        <v>0.9</v>
      </c>
      <c r="N142" s="53">
        <f t="shared" si="35"/>
        <v>0</v>
      </c>
      <c r="O142" s="53">
        <f t="shared" si="35"/>
        <v>0</v>
      </c>
      <c r="P142" s="776">
        <f t="shared" si="32"/>
        <v>0.28998688425906061</v>
      </c>
      <c r="Q142" s="519">
        <f t="shared" si="21"/>
        <v>13.049409791657725</v>
      </c>
      <c r="R142" s="53"/>
      <c r="S142" s="1211">
        <f t="shared" si="22"/>
        <v>0.7829645874994634</v>
      </c>
      <c r="T142" s="1198">
        <f t="shared" si="23"/>
        <v>0.80499972150822696</v>
      </c>
      <c r="U142" s="1199">
        <f t="shared" si="23"/>
        <v>36.224987467870207</v>
      </c>
      <c r="V142" s="1199">
        <f t="shared" si="23"/>
        <v>0</v>
      </c>
      <c r="W142" s="1200">
        <f t="shared" si="23"/>
        <v>2.1734992480722126</v>
      </c>
    </row>
    <row r="143" spans="1:23">
      <c r="A143" s="123">
        <f>'Input data'!A145</f>
        <v>2045</v>
      </c>
      <c r="B143" s="1208">
        <f>'Recycling - Case 1'!AI125</f>
        <v>6437.6604656145792</v>
      </c>
      <c r="C143" s="1209">
        <f t="shared" si="33"/>
        <v>0.1</v>
      </c>
      <c r="D143" s="1209">
        <f t="shared" si="24"/>
        <v>0.9</v>
      </c>
      <c r="E143" s="53">
        <v>0</v>
      </c>
      <c r="F143" s="53">
        <v>0</v>
      </c>
      <c r="G143" s="776">
        <f t="shared" si="25"/>
        <v>0.51501283724916636</v>
      </c>
      <c r="H143" s="519">
        <f t="shared" si="26"/>
        <v>23.175577676212484</v>
      </c>
      <c r="I143" s="53"/>
      <c r="J143" s="776">
        <f t="shared" si="36"/>
        <v>1.3905346605727491</v>
      </c>
      <c r="K143" s="1210">
        <f>'Recycling - Case 1'!Z205</f>
        <v>3706.6083970608752</v>
      </c>
      <c r="L143" s="1209">
        <f t="shared" si="34"/>
        <v>0.1</v>
      </c>
      <c r="M143" s="1209">
        <f t="shared" si="28"/>
        <v>0.9</v>
      </c>
      <c r="N143" s="53">
        <f t="shared" si="35"/>
        <v>0</v>
      </c>
      <c r="O143" s="53">
        <f t="shared" si="35"/>
        <v>0</v>
      </c>
      <c r="P143" s="776">
        <f t="shared" si="32"/>
        <v>0.29652867176487008</v>
      </c>
      <c r="Q143" s="519">
        <f t="shared" si="21"/>
        <v>13.343790229419152</v>
      </c>
      <c r="R143" s="53"/>
      <c r="S143" s="1211">
        <f t="shared" si="22"/>
        <v>0.80062741376514912</v>
      </c>
      <c r="T143" s="1198">
        <f t="shared" si="23"/>
        <v>0.81154150901403643</v>
      </c>
      <c r="U143" s="1199">
        <f t="shared" si="23"/>
        <v>36.51936790563164</v>
      </c>
      <c r="V143" s="1199">
        <f t="shared" si="23"/>
        <v>0</v>
      </c>
      <c r="W143" s="1200">
        <f t="shared" si="23"/>
        <v>2.1911620743378983</v>
      </c>
    </row>
    <row r="144" spans="1:23">
      <c r="A144" s="123">
        <f>'Input data'!A146</f>
        <v>2046</v>
      </c>
      <c r="B144" s="1208">
        <f>'Recycling - Case 1'!AI126</f>
        <v>6437.6604656145792</v>
      </c>
      <c r="C144" s="1209">
        <f t="shared" si="33"/>
        <v>0.1</v>
      </c>
      <c r="D144" s="1209">
        <f t="shared" si="24"/>
        <v>0.9</v>
      </c>
      <c r="E144" s="53">
        <v>0</v>
      </c>
      <c r="F144" s="53">
        <v>0</v>
      </c>
      <c r="G144" s="776">
        <f t="shared" si="25"/>
        <v>0.51501283724916636</v>
      </c>
      <c r="H144" s="519">
        <f t="shared" si="26"/>
        <v>23.175577676212484</v>
      </c>
      <c r="I144" s="53"/>
      <c r="J144" s="776">
        <f t="shared" si="36"/>
        <v>1.3905346605727491</v>
      </c>
      <c r="K144" s="1210">
        <f>'Recycling - Case 1'!Z206</f>
        <v>3790.5155384385994</v>
      </c>
      <c r="L144" s="1209">
        <f t="shared" si="34"/>
        <v>0.1</v>
      </c>
      <c r="M144" s="1209">
        <f t="shared" si="28"/>
        <v>0.9</v>
      </c>
      <c r="N144" s="53">
        <f t="shared" si="35"/>
        <v>0</v>
      </c>
      <c r="O144" s="53">
        <f t="shared" si="35"/>
        <v>0</v>
      </c>
      <c r="P144" s="776">
        <f t="shared" si="32"/>
        <v>0.30324124307508799</v>
      </c>
      <c r="Q144" s="519">
        <f t="shared" si="21"/>
        <v>13.645855938378958</v>
      </c>
      <c r="R144" s="53"/>
      <c r="S144" s="1211">
        <f t="shared" si="22"/>
        <v>0.81875135630273743</v>
      </c>
      <c r="T144" s="1198">
        <f t="shared" si="23"/>
        <v>0.8182540803242544</v>
      </c>
      <c r="U144" s="1199">
        <f t="shared" si="23"/>
        <v>36.821433614591442</v>
      </c>
      <c r="V144" s="1199">
        <f t="shared" si="23"/>
        <v>0</v>
      </c>
      <c r="W144" s="1200">
        <f t="shared" si="23"/>
        <v>2.2092860168754864</v>
      </c>
    </row>
    <row r="145" spans="1:23">
      <c r="A145" s="123">
        <f>'Input data'!A147</f>
        <v>2047</v>
      </c>
      <c r="B145" s="1208">
        <f>'Recycling - Case 1'!AI127</f>
        <v>6437.6604656145792</v>
      </c>
      <c r="C145" s="1209">
        <f t="shared" si="33"/>
        <v>0.1</v>
      </c>
      <c r="D145" s="1209">
        <f t="shared" si="24"/>
        <v>0.9</v>
      </c>
      <c r="E145" s="53">
        <v>0</v>
      </c>
      <c r="F145" s="53">
        <v>0</v>
      </c>
      <c r="G145" s="776">
        <f t="shared" si="25"/>
        <v>0.51501283724916636</v>
      </c>
      <c r="H145" s="519">
        <f t="shared" si="26"/>
        <v>23.175577676212484</v>
      </c>
      <c r="I145" s="53"/>
      <c r="J145" s="776">
        <f t="shared" si="36"/>
        <v>1.3905346605727491</v>
      </c>
      <c r="K145" s="1210">
        <f>'Recycling - Case 1'!Z207</f>
        <v>3842.0800669387309</v>
      </c>
      <c r="L145" s="1209">
        <f t="shared" si="34"/>
        <v>0.1</v>
      </c>
      <c r="M145" s="1209">
        <f t="shared" si="28"/>
        <v>0.9</v>
      </c>
      <c r="N145" s="53">
        <f t="shared" si="35"/>
        <v>0</v>
      </c>
      <c r="O145" s="53">
        <f t="shared" si="35"/>
        <v>0</v>
      </c>
      <c r="P145" s="776">
        <f t="shared" si="32"/>
        <v>0.30736640535509857</v>
      </c>
      <c r="Q145" s="519">
        <f t="shared" si="21"/>
        <v>13.831488240979432</v>
      </c>
      <c r="R145" s="53"/>
      <c r="S145" s="1211">
        <f t="shared" si="22"/>
        <v>0.82988929445876591</v>
      </c>
      <c r="T145" s="1198">
        <f t="shared" si="23"/>
        <v>0.82237924260426487</v>
      </c>
      <c r="U145" s="1199">
        <f t="shared" si="23"/>
        <v>37.007065917191916</v>
      </c>
      <c r="V145" s="1199">
        <f t="shared" si="23"/>
        <v>0</v>
      </c>
      <c r="W145" s="1200">
        <f t="shared" si="23"/>
        <v>2.220423955031515</v>
      </c>
    </row>
    <row r="146" spans="1:23">
      <c r="A146" s="123">
        <f>'Input data'!A148</f>
        <v>2048</v>
      </c>
      <c r="B146" s="1208">
        <f>'Recycling - Case 1'!AI128</f>
        <v>6437.6604656145792</v>
      </c>
      <c r="C146" s="1209">
        <f t="shared" si="33"/>
        <v>0.1</v>
      </c>
      <c r="D146" s="1209">
        <f t="shared" si="24"/>
        <v>0.9</v>
      </c>
      <c r="E146" s="53">
        <v>0</v>
      </c>
      <c r="F146" s="53">
        <v>0</v>
      </c>
      <c r="G146" s="776">
        <f t="shared" si="25"/>
        <v>0.51501283724916636</v>
      </c>
      <c r="H146" s="519">
        <f t="shared" si="26"/>
        <v>23.175577676212484</v>
      </c>
      <c r="I146" s="53"/>
      <c r="J146" s="776">
        <f t="shared" si="36"/>
        <v>1.3905346605727491</v>
      </c>
      <c r="K146" s="1210">
        <f>'Recycling - Case 1'!Z208</f>
        <v>3888.8597695942517</v>
      </c>
      <c r="L146" s="1209">
        <f t="shared" si="34"/>
        <v>0.1</v>
      </c>
      <c r="M146" s="1209">
        <f t="shared" si="28"/>
        <v>0.9</v>
      </c>
      <c r="N146" s="53">
        <f t="shared" si="35"/>
        <v>0</v>
      </c>
      <c r="O146" s="53">
        <f t="shared" si="35"/>
        <v>0</v>
      </c>
      <c r="P146" s="776">
        <f t="shared" si="32"/>
        <v>0.31110878156754018</v>
      </c>
      <c r="Q146" s="519">
        <f t="shared" si="21"/>
        <v>13.999895170539306</v>
      </c>
      <c r="R146" s="53"/>
      <c r="S146" s="1211">
        <f t="shared" si="22"/>
        <v>0.83999371023235836</v>
      </c>
      <c r="T146" s="1198">
        <f t="shared" si="23"/>
        <v>0.82612161881670654</v>
      </c>
      <c r="U146" s="1199">
        <f t="shared" si="23"/>
        <v>37.175472846751788</v>
      </c>
      <c r="V146" s="1199">
        <f t="shared" si="23"/>
        <v>0</v>
      </c>
      <c r="W146" s="1200">
        <f t="shared" si="23"/>
        <v>2.2305283708051076</v>
      </c>
    </row>
    <row r="147" spans="1:23">
      <c r="A147" s="123">
        <f>'Input data'!A149</f>
        <v>2049</v>
      </c>
      <c r="B147" s="1208">
        <f>'Recycling - Case 1'!AI129</f>
        <v>6437.6604656145792</v>
      </c>
      <c r="C147" s="1209">
        <f t="shared" si="33"/>
        <v>0.1</v>
      </c>
      <c r="D147" s="1209">
        <f t="shared" si="24"/>
        <v>0.9</v>
      </c>
      <c r="E147" s="53">
        <v>0</v>
      </c>
      <c r="F147" s="53">
        <v>0</v>
      </c>
      <c r="G147" s="776">
        <f t="shared" si="25"/>
        <v>0.51501283724916636</v>
      </c>
      <c r="H147" s="519">
        <f t="shared" si="26"/>
        <v>23.175577676212484</v>
      </c>
      <c r="I147" s="53"/>
      <c r="J147" s="776">
        <f t="shared" si="36"/>
        <v>1.3905346605727491</v>
      </c>
      <c r="K147" s="1210">
        <f>'Recycling - Case 1'!Z209</f>
        <v>3938.7085361162012</v>
      </c>
      <c r="L147" s="1209">
        <f t="shared" si="34"/>
        <v>0.1</v>
      </c>
      <c r="M147" s="1209">
        <f t="shared" si="28"/>
        <v>0.9</v>
      </c>
      <c r="N147" s="53">
        <f t="shared" si="35"/>
        <v>0</v>
      </c>
      <c r="O147" s="53">
        <f t="shared" si="35"/>
        <v>0</v>
      </c>
      <c r="P147" s="776">
        <f t="shared" si="32"/>
        <v>0.31509668288929615</v>
      </c>
      <c r="Q147" s="519">
        <f t="shared" si="21"/>
        <v>14.179350730018324</v>
      </c>
      <c r="R147" s="53"/>
      <c r="S147" s="1211">
        <f t="shared" si="22"/>
        <v>0.85076104380109951</v>
      </c>
      <c r="T147" s="1198">
        <f t="shared" si="23"/>
        <v>0.83010952013846251</v>
      </c>
      <c r="U147" s="1199">
        <f t="shared" si="23"/>
        <v>37.354928406230812</v>
      </c>
      <c r="V147" s="1199">
        <f t="shared" si="23"/>
        <v>0</v>
      </c>
      <c r="W147" s="1200">
        <f t="shared" si="23"/>
        <v>2.2412957043738486</v>
      </c>
    </row>
    <row r="148" spans="1:23" ht="15.75" thickBot="1">
      <c r="A148" s="123">
        <f>'Input data'!A150</f>
        <v>2050</v>
      </c>
      <c r="B148" s="1208">
        <f>'Recycling - Case 1'!AI130</f>
        <v>6437.6604656145792</v>
      </c>
      <c r="C148" s="578">
        <f t="shared" si="33"/>
        <v>0.1</v>
      </c>
      <c r="D148" s="578">
        <f t="shared" si="24"/>
        <v>0.9</v>
      </c>
      <c r="E148" s="1212">
        <v>0</v>
      </c>
      <c r="F148" s="1212">
        <v>0</v>
      </c>
      <c r="G148" s="776">
        <f t="shared" si="25"/>
        <v>0.51501283724916636</v>
      </c>
      <c r="H148" s="519">
        <f t="shared" si="26"/>
        <v>23.175577676212484</v>
      </c>
      <c r="I148" s="1212"/>
      <c r="J148" s="1213">
        <f t="shared" si="36"/>
        <v>1.3905346605727491</v>
      </c>
      <c r="K148" s="1210">
        <f>'Recycling - Case 1'!Z210</f>
        <v>3985.2140129658874</v>
      </c>
      <c r="L148" s="578">
        <f t="shared" si="34"/>
        <v>0.1</v>
      </c>
      <c r="M148" s="578">
        <f t="shared" si="28"/>
        <v>0.9</v>
      </c>
      <c r="N148" s="1212">
        <f t="shared" si="35"/>
        <v>0</v>
      </c>
      <c r="O148" s="1212">
        <f t="shared" si="35"/>
        <v>0</v>
      </c>
      <c r="P148" s="1213">
        <f t="shared" si="32"/>
        <v>0.31881712103727106</v>
      </c>
      <c r="Q148" s="1144">
        <f t="shared" si="21"/>
        <v>14.346770446677196</v>
      </c>
      <c r="R148" s="1212"/>
      <c r="S148" s="1214">
        <f t="shared" si="22"/>
        <v>0.86080622680063168</v>
      </c>
      <c r="T148" s="1215">
        <f t="shared" si="23"/>
        <v>0.83382995828643747</v>
      </c>
      <c r="U148" s="1216">
        <f t="shared" si="23"/>
        <v>37.522348122889682</v>
      </c>
      <c r="V148" s="1216">
        <f t="shared" si="23"/>
        <v>0</v>
      </c>
      <c r="W148" s="1217">
        <f t="shared" si="23"/>
        <v>2.2513408873733809</v>
      </c>
    </row>
    <row r="149" spans="1:23">
      <c r="A149" s="1202" t="s">
        <v>645</v>
      </c>
      <c r="B149" s="1203"/>
      <c r="C149" s="1218"/>
      <c r="D149" s="1218"/>
      <c r="E149" s="1219"/>
      <c r="F149" s="1219"/>
      <c r="G149" s="1220"/>
      <c r="H149" s="1221"/>
      <c r="I149" s="1222"/>
      <c r="J149" s="1220"/>
      <c r="K149" s="1223"/>
      <c r="L149" s="1218"/>
      <c r="M149" s="1218"/>
      <c r="N149" s="1219"/>
      <c r="O149" s="1219"/>
      <c r="P149" s="1220"/>
      <c r="Q149" s="1221"/>
      <c r="R149" s="1219"/>
      <c r="S149" s="1224"/>
      <c r="T149" s="1194"/>
      <c r="U149" s="1195"/>
      <c r="V149" s="1195"/>
      <c r="W149" s="1196"/>
    </row>
    <row r="150" spans="1:23">
      <c r="A150" s="123">
        <f>'Input data'!A118</f>
        <v>2018</v>
      </c>
      <c r="B150" s="1208">
        <f>'Recycling - Case 2'!AI98</f>
        <v>3707.5235423427162</v>
      </c>
      <c r="C150" s="1209">
        <f>($C$154-$C$80)/($A$154-$A$80)+C80</f>
        <v>6.0000000000000005E-2</v>
      </c>
      <c r="D150" s="1209">
        <f>1-C150</f>
        <v>0.94</v>
      </c>
      <c r="E150" s="53">
        <v>0</v>
      </c>
      <c r="F150" s="53">
        <v>0</v>
      </c>
      <c r="G150" s="776">
        <f>C150*$D$5*B150/1000-E150</f>
        <v>0.1779611300324504</v>
      </c>
      <c r="H150" s="519">
        <f>D150*$D$4*B150/1000-F150</f>
        <v>13.940288519208613</v>
      </c>
      <c r="I150" s="53"/>
      <c r="J150" s="776">
        <f>D150*$D$7*B150/1000</f>
        <v>0.83641731115251661</v>
      </c>
      <c r="K150" s="1210">
        <f>'Recycling - Case 2'!Z138</f>
        <v>1789.9687605419947</v>
      </c>
      <c r="L150" s="1209">
        <f>($L$154-$L$80)/($A$154-$A$80)+L80</f>
        <v>0.1</v>
      </c>
      <c r="M150" s="1209">
        <f>($M$154-$M$80)/($A$154-$A$80)+M80</f>
        <v>0.9</v>
      </c>
      <c r="N150" s="53">
        <f>N114</f>
        <v>0</v>
      </c>
      <c r="O150" s="53">
        <f>O114</f>
        <v>0</v>
      </c>
      <c r="P150" s="776">
        <f>L150*$D$5*K150/1000-N150</f>
        <v>0.14319750084335958</v>
      </c>
      <c r="Q150" s="519">
        <f t="shared" ref="Q150:Q182" si="37">M150*$D$4*K150/1000-O150</f>
        <v>6.4438875379511806</v>
      </c>
      <c r="R150" s="53"/>
      <c r="S150" s="1211">
        <f t="shared" ref="S150:S182" si="38">M150*$D$7*K150/1000</f>
        <v>0.38663325227707085</v>
      </c>
      <c r="T150" s="1198">
        <f t="shared" ref="T150:W182" si="39">G150+P150</f>
        <v>0.32115863087580998</v>
      </c>
      <c r="U150" s="1199">
        <f t="shared" si="39"/>
        <v>20.384176057159792</v>
      </c>
      <c r="V150" s="1199">
        <f t="shared" si="39"/>
        <v>0</v>
      </c>
      <c r="W150" s="1200">
        <f t="shared" si="39"/>
        <v>1.2230505634295874</v>
      </c>
    </row>
    <row r="151" spans="1:23">
      <c r="A151" s="123">
        <f>'Input data'!A119</f>
        <v>2019</v>
      </c>
      <c r="B151" s="1208">
        <f>'Recycling - Case 2'!AI99</f>
        <v>4010.8720893729233</v>
      </c>
      <c r="C151" s="1209">
        <f>($C$154-$C$80)/($A$154-$A$80)+C150</f>
        <v>7.0000000000000007E-2</v>
      </c>
      <c r="D151" s="1209">
        <f t="shared" ref="D151:D153" si="40">1-C151</f>
        <v>0.92999999999999994</v>
      </c>
      <c r="E151" s="53">
        <v>0</v>
      </c>
      <c r="F151" s="53">
        <v>0</v>
      </c>
      <c r="G151" s="776">
        <f t="shared" ref="G151:G182" si="41">C151*$D$5*B151/1000-E151</f>
        <v>0.22460883700488374</v>
      </c>
      <c r="H151" s="519">
        <f t="shared" ref="H151:H182" si="42">D151*$D$4*B151/1000-F151</f>
        <v>14.920444172467274</v>
      </c>
      <c r="I151" s="53"/>
      <c r="J151" s="776">
        <f t="shared" ref="J151:J182" si="43">D151*$D$7*B151/1000</f>
        <v>0.89522665034803639</v>
      </c>
      <c r="K151" s="1210">
        <f>'Recycling - Case 2'!Z139</f>
        <v>1870.6618877196547</v>
      </c>
      <c r="L151" s="1209">
        <f>($L$154-$L$80)/($A$154-$A$80)+L150</f>
        <v>0.1</v>
      </c>
      <c r="M151" s="1209">
        <f>($M$154-$M$80)/($A$154-$A$80)+M150</f>
        <v>0.9</v>
      </c>
      <c r="N151" s="53">
        <f t="shared" ref="N151:O166" si="44">N149</f>
        <v>0</v>
      </c>
      <c r="O151" s="53">
        <f t="shared" si="44"/>
        <v>0</v>
      </c>
      <c r="P151" s="776">
        <f t="shared" ref="P151:P182" si="45">L151*$D$5*K151/1000-N151</f>
        <v>0.14965295101757239</v>
      </c>
      <c r="Q151" s="519">
        <f t="shared" si="37"/>
        <v>6.7343827957907569</v>
      </c>
      <c r="R151" s="53"/>
      <c r="S151" s="1211">
        <f t="shared" si="38"/>
        <v>0.40406296774744543</v>
      </c>
      <c r="T151" s="1198">
        <f t="shared" si="39"/>
        <v>0.37426178802245613</v>
      </c>
      <c r="U151" s="1199">
        <f t="shared" si="39"/>
        <v>21.654826968258032</v>
      </c>
      <c r="V151" s="1199">
        <f t="shared" si="39"/>
        <v>0</v>
      </c>
      <c r="W151" s="1200">
        <f t="shared" si="39"/>
        <v>1.2992896180954818</v>
      </c>
    </row>
    <row r="152" spans="1:23">
      <c r="A152" s="123">
        <f>'Input data'!A120</f>
        <v>2020</v>
      </c>
      <c r="B152" s="1208">
        <f>'Recycling - Case 2'!AI100</f>
        <v>4617.5691834333375</v>
      </c>
      <c r="C152" s="1209">
        <f>($C$154-$C$80)/($A$154-$A$80)+C151</f>
        <v>0.08</v>
      </c>
      <c r="D152" s="1209">
        <f t="shared" si="40"/>
        <v>0.92</v>
      </c>
      <c r="E152" s="53">
        <v>0</v>
      </c>
      <c r="F152" s="53">
        <v>0</v>
      </c>
      <c r="G152" s="776">
        <f t="shared" si="41"/>
        <v>0.29552442773973359</v>
      </c>
      <c r="H152" s="519">
        <f t="shared" si="42"/>
        <v>16.992654595034679</v>
      </c>
      <c r="I152" s="53"/>
      <c r="J152" s="776">
        <f t="shared" si="43"/>
        <v>1.0195592757020808</v>
      </c>
      <c r="K152" s="1210">
        <f>'Recycling - Case 2'!Z140</f>
        <v>1913.5469196790364</v>
      </c>
      <c r="L152" s="1209">
        <f>($L$154-$L$80)/($A$154-$A$80)+L151</f>
        <v>0.1</v>
      </c>
      <c r="M152" s="1209">
        <f>($M$154-$M$80)/($A$154-$A$80)+M151</f>
        <v>0.9</v>
      </c>
      <c r="N152" s="53">
        <f t="shared" si="44"/>
        <v>0</v>
      </c>
      <c r="O152" s="53">
        <f t="shared" si="44"/>
        <v>0</v>
      </c>
      <c r="P152" s="776">
        <f t="shared" si="45"/>
        <v>0.15308375357432294</v>
      </c>
      <c r="Q152" s="519">
        <f t="shared" si="37"/>
        <v>6.8887689108445311</v>
      </c>
      <c r="R152" s="53"/>
      <c r="S152" s="1211">
        <f t="shared" si="38"/>
        <v>0.41332613465067186</v>
      </c>
      <c r="T152" s="1198">
        <f t="shared" si="39"/>
        <v>0.44860818131405655</v>
      </c>
      <c r="U152" s="1199">
        <f t="shared" si="39"/>
        <v>23.881423505879212</v>
      </c>
      <c r="V152" s="1199">
        <f t="shared" si="39"/>
        <v>0</v>
      </c>
      <c r="W152" s="1200">
        <f t="shared" si="39"/>
        <v>1.4328854103527526</v>
      </c>
    </row>
    <row r="153" spans="1:23">
      <c r="A153" s="123">
        <f>'Input data'!A121</f>
        <v>2021</v>
      </c>
      <c r="B153" s="1208">
        <f>'Recycling - Case 2'!AI101</f>
        <v>5830.9633715541659</v>
      </c>
      <c r="C153" s="1209">
        <f>($C$154-$C$80)/($A$154-$A$80)+C152</f>
        <v>0.09</v>
      </c>
      <c r="D153" s="1209">
        <f t="shared" si="40"/>
        <v>0.91</v>
      </c>
      <c r="E153" s="53">
        <v>0</v>
      </c>
      <c r="F153" s="53">
        <v>0</v>
      </c>
      <c r="G153" s="776">
        <f t="shared" si="41"/>
        <v>0.41982936275189991</v>
      </c>
      <c r="H153" s="519">
        <f t="shared" si="42"/>
        <v>21.224706672457163</v>
      </c>
      <c r="I153" s="53"/>
      <c r="J153" s="776">
        <f t="shared" si="43"/>
        <v>1.2734824003474299</v>
      </c>
      <c r="K153" s="1210">
        <f>'Recycling - Case 2'!Z141</f>
        <v>2253.4740718925086</v>
      </c>
      <c r="L153" s="1209">
        <f>($L$154-$L$80)/($A$154-$A$80)+L152</f>
        <v>0.1</v>
      </c>
      <c r="M153" s="1209">
        <f>($M$154-$M$80)/($A$154-$A$80)+M152</f>
        <v>0.9</v>
      </c>
      <c r="N153" s="53">
        <f t="shared" si="44"/>
        <v>0</v>
      </c>
      <c r="O153" s="53">
        <f t="shared" si="44"/>
        <v>0</v>
      </c>
      <c r="P153" s="776">
        <f t="shared" si="45"/>
        <v>0.18027792575140072</v>
      </c>
      <c r="Q153" s="519">
        <f t="shared" si="37"/>
        <v>8.1125066588130306</v>
      </c>
      <c r="R153" s="53"/>
      <c r="S153" s="1211">
        <f t="shared" si="38"/>
        <v>0.48675039952878191</v>
      </c>
      <c r="T153" s="1198">
        <f t="shared" si="39"/>
        <v>0.60010728850330064</v>
      </c>
      <c r="U153" s="1199">
        <f t="shared" si="39"/>
        <v>29.337213331270192</v>
      </c>
      <c r="V153" s="1199">
        <f t="shared" si="39"/>
        <v>0</v>
      </c>
      <c r="W153" s="1200">
        <f t="shared" si="39"/>
        <v>1.7602327998762117</v>
      </c>
    </row>
    <row r="154" spans="1:23">
      <c r="A154" s="123">
        <f>'Input data'!A122</f>
        <v>2022</v>
      </c>
      <c r="B154" s="1208">
        <f>'Recycling - Case 2'!AI102</f>
        <v>6437.6604656145792</v>
      </c>
      <c r="C154" s="1209">
        <f>'Recycling - Case 2'!E31</f>
        <v>0.1</v>
      </c>
      <c r="D154" s="1209">
        <f>'Recycling - Case 2'!F31</f>
        <v>0.9</v>
      </c>
      <c r="E154" s="53">
        <v>0</v>
      </c>
      <c r="F154" s="53">
        <v>0</v>
      </c>
      <c r="G154" s="776">
        <f t="shared" si="41"/>
        <v>0.51501283724916636</v>
      </c>
      <c r="H154" s="519">
        <f t="shared" si="42"/>
        <v>23.175577676212484</v>
      </c>
      <c r="I154" s="53"/>
      <c r="J154" s="776">
        <f t="shared" si="43"/>
        <v>1.3905346605727491</v>
      </c>
      <c r="K154" s="1210">
        <f>'Recycling - Case 2'!Z142</f>
        <v>2440.3869088169668</v>
      </c>
      <c r="L154" s="1209">
        <f>'Recycling - Case 2'!E31</f>
        <v>0.1</v>
      </c>
      <c r="M154" s="1209">
        <f>'Recycling - Case 2'!F31</f>
        <v>0.9</v>
      </c>
      <c r="N154" s="53">
        <f t="shared" si="44"/>
        <v>0</v>
      </c>
      <c r="O154" s="53">
        <f t="shared" si="44"/>
        <v>0</v>
      </c>
      <c r="P154" s="776">
        <f t="shared" si="45"/>
        <v>0.19523095270535737</v>
      </c>
      <c r="Q154" s="519">
        <f t="shared" si="37"/>
        <v>8.7853928717410792</v>
      </c>
      <c r="R154" s="53"/>
      <c r="S154" s="1211">
        <f t="shared" si="38"/>
        <v>0.52712357230446483</v>
      </c>
      <c r="T154" s="1198">
        <f t="shared" si="39"/>
        <v>0.71024378995452375</v>
      </c>
      <c r="U154" s="1199">
        <f t="shared" si="39"/>
        <v>31.960970547953565</v>
      </c>
      <c r="V154" s="1199">
        <f t="shared" si="39"/>
        <v>0</v>
      </c>
      <c r="W154" s="1200">
        <f t="shared" si="39"/>
        <v>1.9176582328772138</v>
      </c>
    </row>
    <row r="155" spans="1:23">
      <c r="A155" s="123">
        <f>'Input data'!A123</f>
        <v>2023</v>
      </c>
      <c r="B155" s="1208">
        <f>'Recycling - Case 2'!AI103</f>
        <v>6437.6604656145792</v>
      </c>
      <c r="C155" s="1209">
        <f>C154</f>
        <v>0.1</v>
      </c>
      <c r="D155" s="1209">
        <f>D154</f>
        <v>0.9</v>
      </c>
      <c r="E155" s="53">
        <v>0</v>
      </c>
      <c r="F155" s="53">
        <v>0</v>
      </c>
      <c r="G155" s="776">
        <f t="shared" si="41"/>
        <v>0.51501283724916636</v>
      </c>
      <c r="H155" s="519">
        <f t="shared" si="42"/>
        <v>23.175577676212484</v>
      </c>
      <c r="I155" s="53"/>
      <c r="J155" s="776">
        <f t="shared" si="43"/>
        <v>1.3905346605727491</v>
      </c>
      <c r="K155" s="1210">
        <f>'Recycling - Case 2'!Z143</f>
        <v>2473.3341767241886</v>
      </c>
      <c r="L155" s="1209">
        <f>L154</f>
        <v>0.1</v>
      </c>
      <c r="M155" s="1209">
        <f>M154</f>
        <v>0.9</v>
      </c>
      <c r="N155" s="53">
        <f t="shared" si="44"/>
        <v>0</v>
      </c>
      <c r="O155" s="53">
        <f t="shared" si="44"/>
        <v>0</v>
      </c>
      <c r="P155" s="776">
        <f t="shared" si="45"/>
        <v>0.19786673413793515</v>
      </c>
      <c r="Q155" s="519">
        <f t="shared" si="37"/>
        <v>8.9040030362070794</v>
      </c>
      <c r="R155" s="53"/>
      <c r="S155" s="1211">
        <f t="shared" si="38"/>
        <v>0.53424018217242475</v>
      </c>
      <c r="T155" s="1198">
        <f t="shared" si="39"/>
        <v>0.71287957138710145</v>
      </c>
      <c r="U155" s="1199">
        <f t="shared" si="39"/>
        <v>32.079580712419563</v>
      </c>
      <c r="V155" s="1199">
        <f t="shared" si="39"/>
        <v>0</v>
      </c>
      <c r="W155" s="1200">
        <f t="shared" si="39"/>
        <v>1.9247748427451739</v>
      </c>
    </row>
    <row r="156" spans="1:23">
      <c r="A156" s="123">
        <f>'Input data'!A124</f>
        <v>2024</v>
      </c>
      <c r="B156" s="1208">
        <f>'Recycling - Case 2'!AI104</f>
        <v>6437.6604656145792</v>
      </c>
      <c r="C156" s="1209">
        <f t="shared" ref="C156:D171" si="46">C155</f>
        <v>0.1</v>
      </c>
      <c r="D156" s="1209">
        <f t="shared" si="46"/>
        <v>0.9</v>
      </c>
      <c r="E156" s="53">
        <v>0</v>
      </c>
      <c r="F156" s="53">
        <v>0</v>
      </c>
      <c r="G156" s="776">
        <f t="shared" si="41"/>
        <v>0.51501283724916636</v>
      </c>
      <c r="H156" s="519">
        <f t="shared" si="42"/>
        <v>23.175577676212484</v>
      </c>
      <c r="I156" s="53"/>
      <c r="J156" s="776">
        <f t="shared" si="43"/>
        <v>1.3905346605727491</v>
      </c>
      <c r="K156" s="1210">
        <f>'Recycling - Case 2'!Z144</f>
        <v>2510.4923620654172</v>
      </c>
      <c r="L156" s="1209">
        <f t="shared" ref="L156:M171" si="47">L155</f>
        <v>0.1</v>
      </c>
      <c r="M156" s="1209">
        <f t="shared" si="47"/>
        <v>0.9</v>
      </c>
      <c r="N156" s="53">
        <f t="shared" si="44"/>
        <v>0</v>
      </c>
      <c r="O156" s="53">
        <f t="shared" si="44"/>
        <v>0</v>
      </c>
      <c r="P156" s="776">
        <f t="shared" si="45"/>
        <v>0.2008393889652334</v>
      </c>
      <c r="Q156" s="519">
        <f t="shared" si="37"/>
        <v>9.0377725034355034</v>
      </c>
      <c r="R156" s="53"/>
      <c r="S156" s="1211">
        <f t="shared" si="38"/>
        <v>0.54226635020613012</v>
      </c>
      <c r="T156" s="1198">
        <f t="shared" si="39"/>
        <v>0.71585222621439981</v>
      </c>
      <c r="U156" s="1199">
        <f t="shared" si="39"/>
        <v>32.213350179647989</v>
      </c>
      <c r="V156" s="1199">
        <f t="shared" si="39"/>
        <v>0</v>
      </c>
      <c r="W156" s="1200">
        <f t="shared" si="39"/>
        <v>1.9328010107788791</v>
      </c>
    </row>
    <row r="157" spans="1:23">
      <c r="A157" s="123">
        <f>'Input data'!A125</f>
        <v>2025</v>
      </c>
      <c r="B157" s="1208">
        <f>'Recycling - Case 2'!AI105</f>
        <v>6437.6604656145792</v>
      </c>
      <c r="C157" s="1209">
        <f t="shared" si="46"/>
        <v>0.1</v>
      </c>
      <c r="D157" s="1209">
        <f t="shared" si="46"/>
        <v>0.9</v>
      </c>
      <c r="E157" s="53">
        <v>0</v>
      </c>
      <c r="F157" s="53">
        <v>0</v>
      </c>
      <c r="G157" s="776">
        <f t="shared" si="41"/>
        <v>0.51501283724916636</v>
      </c>
      <c r="H157" s="519">
        <f t="shared" si="42"/>
        <v>23.175577676212484</v>
      </c>
      <c r="I157" s="53"/>
      <c r="J157" s="776">
        <f t="shared" si="43"/>
        <v>1.3905346605727491</v>
      </c>
      <c r="K157" s="1210">
        <f>'Recycling - Case 2'!Z145</f>
        <v>2543.9978590052256</v>
      </c>
      <c r="L157" s="1209">
        <f t="shared" si="47"/>
        <v>0.1</v>
      </c>
      <c r="M157" s="1209">
        <f t="shared" si="47"/>
        <v>0.9</v>
      </c>
      <c r="N157" s="53">
        <f t="shared" si="44"/>
        <v>0</v>
      </c>
      <c r="O157" s="53">
        <f t="shared" si="44"/>
        <v>0</v>
      </c>
      <c r="P157" s="776">
        <f t="shared" si="45"/>
        <v>0.20351982872041807</v>
      </c>
      <c r="Q157" s="519">
        <f t="shared" si="37"/>
        <v>9.1583922924188119</v>
      </c>
      <c r="R157" s="53"/>
      <c r="S157" s="1211">
        <f t="shared" si="38"/>
        <v>0.54950353754512871</v>
      </c>
      <c r="T157" s="1198">
        <f t="shared" si="39"/>
        <v>0.71853266596958443</v>
      </c>
      <c r="U157" s="1199">
        <f t="shared" si="39"/>
        <v>32.333969968631294</v>
      </c>
      <c r="V157" s="1199">
        <f t="shared" si="39"/>
        <v>0</v>
      </c>
      <c r="W157" s="1200">
        <f t="shared" si="39"/>
        <v>1.9400381981178778</v>
      </c>
    </row>
    <row r="158" spans="1:23">
      <c r="A158" s="123">
        <f>'Input data'!A126</f>
        <v>2026</v>
      </c>
      <c r="B158" s="1208">
        <f>'Recycling - Case 2'!AI106</f>
        <v>6437.6604656145792</v>
      </c>
      <c r="C158" s="1209">
        <f t="shared" si="46"/>
        <v>0.1</v>
      </c>
      <c r="D158" s="1209">
        <f t="shared" si="46"/>
        <v>0.9</v>
      </c>
      <c r="E158" s="53">
        <v>0</v>
      </c>
      <c r="F158" s="53">
        <v>0</v>
      </c>
      <c r="G158" s="776">
        <f t="shared" si="41"/>
        <v>0.51501283724916636</v>
      </c>
      <c r="H158" s="519">
        <f t="shared" si="42"/>
        <v>23.175577676212484</v>
      </c>
      <c r="I158" s="53"/>
      <c r="J158" s="776">
        <f t="shared" si="43"/>
        <v>1.3905346605727491</v>
      </c>
      <c r="K158" s="1210">
        <f>'Recycling - Case 2'!Z146</f>
        <v>2582.1853446322916</v>
      </c>
      <c r="L158" s="1209">
        <f t="shared" si="47"/>
        <v>0.1</v>
      </c>
      <c r="M158" s="1209">
        <f t="shared" si="47"/>
        <v>0.9</v>
      </c>
      <c r="N158" s="53">
        <f t="shared" si="44"/>
        <v>0</v>
      </c>
      <c r="O158" s="53">
        <f t="shared" si="44"/>
        <v>0</v>
      </c>
      <c r="P158" s="776">
        <f t="shared" si="45"/>
        <v>0.20657482757058337</v>
      </c>
      <c r="Q158" s="519">
        <f t="shared" si="37"/>
        <v>9.2958672406762499</v>
      </c>
      <c r="R158" s="53"/>
      <c r="S158" s="1211">
        <f t="shared" si="38"/>
        <v>0.55775203444057497</v>
      </c>
      <c r="T158" s="1198">
        <f t="shared" si="39"/>
        <v>0.72158766481974967</v>
      </c>
      <c r="U158" s="1199">
        <f t="shared" si="39"/>
        <v>32.471444916888736</v>
      </c>
      <c r="V158" s="1199">
        <f t="shared" si="39"/>
        <v>0</v>
      </c>
      <c r="W158" s="1200">
        <f t="shared" si="39"/>
        <v>1.9482866950133242</v>
      </c>
    </row>
    <row r="159" spans="1:23">
      <c r="A159" s="123">
        <f>'Input data'!A127</f>
        <v>2027</v>
      </c>
      <c r="B159" s="1208">
        <f>'Recycling - Case 2'!AI107</f>
        <v>6437.6604656145792</v>
      </c>
      <c r="C159" s="1209">
        <f t="shared" si="46"/>
        <v>0.1</v>
      </c>
      <c r="D159" s="1209">
        <f t="shared" si="46"/>
        <v>0.9</v>
      </c>
      <c r="E159" s="53">
        <v>0</v>
      </c>
      <c r="F159" s="53">
        <v>0</v>
      </c>
      <c r="G159" s="776">
        <f t="shared" si="41"/>
        <v>0.51501283724916636</v>
      </c>
      <c r="H159" s="519">
        <f t="shared" si="42"/>
        <v>23.175577676212484</v>
      </c>
      <c r="I159" s="53"/>
      <c r="J159" s="776">
        <f t="shared" si="43"/>
        <v>1.3905346605727491</v>
      </c>
      <c r="K159" s="1210">
        <f>'Recycling - Case 2'!Z147</f>
        <v>2620.2270434897314</v>
      </c>
      <c r="L159" s="1209">
        <f t="shared" si="47"/>
        <v>0.1</v>
      </c>
      <c r="M159" s="1209">
        <f t="shared" si="47"/>
        <v>0.9</v>
      </c>
      <c r="N159" s="53">
        <f t="shared" si="44"/>
        <v>0</v>
      </c>
      <c r="O159" s="53">
        <f t="shared" si="44"/>
        <v>0</v>
      </c>
      <c r="P159" s="776">
        <f t="shared" si="45"/>
        <v>0.20961816347917855</v>
      </c>
      <c r="Q159" s="519">
        <f t="shared" si="37"/>
        <v>9.4328173565630333</v>
      </c>
      <c r="R159" s="53"/>
      <c r="S159" s="1211">
        <f t="shared" si="38"/>
        <v>0.5659690413937819</v>
      </c>
      <c r="T159" s="1198">
        <f t="shared" si="39"/>
        <v>0.72463100072834497</v>
      </c>
      <c r="U159" s="1199">
        <f t="shared" si="39"/>
        <v>32.608395032775519</v>
      </c>
      <c r="V159" s="1199">
        <f t="shared" si="39"/>
        <v>0</v>
      </c>
      <c r="W159" s="1200">
        <f t="shared" si="39"/>
        <v>1.956503701966531</v>
      </c>
    </row>
    <row r="160" spans="1:23">
      <c r="A160" s="123">
        <f>'Input data'!A128</f>
        <v>2028</v>
      </c>
      <c r="B160" s="1208">
        <f>'Recycling - Case 2'!AI108</f>
        <v>6437.6604656145792</v>
      </c>
      <c r="C160" s="1209">
        <f t="shared" si="46"/>
        <v>0.1</v>
      </c>
      <c r="D160" s="1209">
        <f t="shared" si="46"/>
        <v>0.9</v>
      </c>
      <c r="E160" s="53">
        <v>0</v>
      </c>
      <c r="F160" s="53">
        <v>0</v>
      </c>
      <c r="G160" s="776">
        <f t="shared" si="41"/>
        <v>0.51501283724916636</v>
      </c>
      <c r="H160" s="519">
        <f t="shared" si="42"/>
        <v>23.175577676212484</v>
      </c>
      <c r="I160" s="53"/>
      <c r="J160" s="776">
        <f t="shared" si="43"/>
        <v>1.3905346605727491</v>
      </c>
      <c r="K160" s="1210">
        <f>'Recycling - Case 2'!Z148</f>
        <v>2646.7585380287851</v>
      </c>
      <c r="L160" s="1209">
        <f t="shared" si="47"/>
        <v>0.1</v>
      </c>
      <c r="M160" s="1209">
        <f t="shared" si="47"/>
        <v>0.9</v>
      </c>
      <c r="N160" s="53">
        <f t="shared" si="44"/>
        <v>0</v>
      </c>
      <c r="O160" s="53">
        <f t="shared" si="44"/>
        <v>0</v>
      </c>
      <c r="P160" s="776">
        <f t="shared" si="45"/>
        <v>0.21174068304230287</v>
      </c>
      <c r="Q160" s="519">
        <f t="shared" si="37"/>
        <v>9.5283307369036265</v>
      </c>
      <c r="R160" s="53"/>
      <c r="S160" s="1211">
        <f t="shared" si="38"/>
        <v>0.5716998442142176</v>
      </c>
      <c r="T160" s="1198">
        <f t="shared" si="39"/>
        <v>0.72675352029146922</v>
      </c>
      <c r="U160" s="1199">
        <f t="shared" si="39"/>
        <v>32.70390841311611</v>
      </c>
      <c r="V160" s="1199">
        <f t="shared" si="39"/>
        <v>0</v>
      </c>
      <c r="W160" s="1200">
        <f t="shared" si="39"/>
        <v>1.9622345047869667</v>
      </c>
    </row>
    <row r="161" spans="1:23">
      <c r="A161" s="123">
        <f>'Input data'!A129</f>
        <v>2029</v>
      </c>
      <c r="B161" s="1208">
        <f>'Recycling - Case 2'!AI109</f>
        <v>6437.6604656145792</v>
      </c>
      <c r="C161" s="1209">
        <f t="shared" si="46"/>
        <v>0.1</v>
      </c>
      <c r="D161" s="1209">
        <f t="shared" si="46"/>
        <v>0.9</v>
      </c>
      <c r="E161" s="53">
        <v>0</v>
      </c>
      <c r="F161" s="53">
        <v>0</v>
      </c>
      <c r="G161" s="776">
        <f t="shared" si="41"/>
        <v>0.51501283724916636</v>
      </c>
      <c r="H161" s="519">
        <f t="shared" si="42"/>
        <v>23.175577676212484</v>
      </c>
      <c r="I161" s="53"/>
      <c r="J161" s="776">
        <f t="shared" si="43"/>
        <v>1.3905346605727491</v>
      </c>
      <c r="K161" s="1210">
        <f>'Recycling - Case 2'!Z149</f>
        <v>2675.3394274160801</v>
      </c>
      <c r="L161" s="1209">
        <f t="shared" si="47"/>
        <v>0.1</v>
      </c>
      <c r="M161" s="1209">
        <f t="shared" si="47"/>
        <v>0.9</v>
      </c>
      <c r="N161" s="53">
        <f t="shared" si="44"/>
        <v>0</v>
      </c>
      <c r="O161" s="53">
        <f t="shared" si="44"/>
        <v>0</v>
      </c>
      <c r="P161" s="776">
        <f t="shared" si="45"/>
        <v>0.21402715419328644</v>
      </c>
      <c r="Q161" s="519">
        <f t="shared" si="37"/>
        <v>9.6312219386978892</v>
      </c>
      <c r="R161" s="53"/>
      <c r="S161" s="1211">
        <f t="shared" si="38"/>
        <v>0.57787331632187333</v>
      </c>
      <c r="T161" s="1198">
        <f t="shared" si="39"/>
        <v>0.72903999144245279</v>
      </c>
      <c r="U161" s="1199">
        <f t="shared" si="39"/>
        <v>32.806799614910375</v>
      </c>
      <c r="V161" s="1199">
        <f t="shared" si="39"/>
        <v>0</v>
      </c>
      <c r="W161" s="1200">
        <f t="shared" si="39"/>
        <v>1.9684079768946225</v>
      </c>
    </row>
    <row r="162" spans="1:23">
      <c r="A162" s="123">
        <f>'Input data'!A130</f>
        <v>2030</v>
      </c>
      <c r="B162" s="1208">
        <f>'Recycling - Case 2'!AI110</f>
        <v>6437.6604656145792</v>
      </c>
      <c r="C162" s="1209">
        <f t="shared" si="46"/>
        <v>0.1</v>
      </c>
      <c r="D162" s="1209">
        <f t="shared" si="46"/>
        <v>0.9</v>
      </c>
      <c r="E162" s="53">
        <v>0</v>
      </c>
      <c r="F162" s="53">
        <v>0</v>
      </c>
      <c r="G162" s="776">
        <f t="shared" si="41"/>
        <v>0.51501283724916636</v>
      </c>
      <c r="H162" s="519">
        <f t="shared" si="42"/>
        <v>23.175577676212484</v>
      </c>
      <c r="I162" s="53"/>
      <c r="J162" s="776">
        <f t="shared" si="43"/>
        <v>1.3905346605727491</v>
      </c>
      <c r="K162" s="1210">
        <f>'Recycling - Case 2'!Z150</f>
        <v>2709.795875944686</v>
      </c>
      <c r="L162" s="1209">
        <f t="shared" si="47"/>
        <v>0.1</v>
      </c>
      <c r="M162" s="1209">
        <f t="shared" si="47"/>
        <v>0.9</v>
      </c>
      <c r="N162" s="53">
        <f t="shared" si="44"/>
        <v>0</v>
      </c>
      <c r="O162" s="53">
        <f t="shared" si="44"/>
        <v>0</v>
      </c>
      <c r="P162" s="776">
        <f t="shared" si="45"/>
        <v>0.21678367007557492</v>
      </c>
      <c r="Q162" s="519">
        <f t="shared" si="37"/>
        <v>9.7552651534008685</v>
      </c>
      <c r="R162" s="53"/>
      <c r="S162" s="1211">
        <f t="shared" si="38"/>
        <v>0.58531590920405219</v>
      </c>
      <c r="T162" s="1198">
        <f t="shared" si="39"/>
        <v>0.73179650732474122</v>
      </c>
      <c r="U162" s="1199">
        <f t="shared" si="39"/>
        <v>32.930842829613354</v>
      </c>
      <c r="V162" s="1199">
        <f t="shared" si="39"/>
        <v>0</v>
      </c>
      <c r="W162" s="1200">
        <f t="shared" si="39"/>
        <v>1.9758505697768012</v>
      </c>
    </row>
    <row r="163" spans="1:23">
      <c r="A163" s="123">
        <f>'Input data'!A131</f>
        <v>2031</v>
      </c>
      <c r="B163" s="1208">
        <f>'Recycling - Case 2'!AI111</f>
        <v>6437.6604656145792</v>
      </c>
      <c r="C163" s="1209">
        <f t="shared" si="46"/>
        <v>0.1</v>
      </c>
      <c r="D163" s="1209">
        <f t="shared" si="46"/>
        <v>0.9</v>
      </c>
      <c r="E163" s="53">
        <v>0</v>
      </c>
      <c r="F163" s="53">
        <v>0</v>
      </c>
      <c r="G163" s="776">
        <f t="shared" si="41"/>
        <v>0.51501283724916636</v>
      </c>
      <c r="H163" s="519">
        <f t="shared" si="42"/>
        <v>23.175577676212484</v>
      </c>
      <c r="I163" s="53"/>
      <c r="J163" s="776">
        <f t="shared" si="43"/>
        <v>1.3905346605727491</v>
      </c>
      <c r="K163" s="1210">
        <f>'Recycling - Case 2'!Z151</f>
        <v>2757.7445965802553</v>
      </c>
      <c r="L163" s="1209">
        <f t="shared" si="47"/>
        <v>0.1</v>
      </c>
      <c r="M163" s="1209">
        <f t="shared" si="47"/>
        <v>0.9</v>
      </c>
      <c r="N163" s="53">
        <f t="shared" si="44"/>
        <v>0</v>
      </c>
      <c r="O163" s="53">
        <f t="shared" si="44"/>
        <v>0</v>
      </c>
      <c r="P163" s="776">
        <f t="shared" si="45"/>
        <v>0.2206195677264205</v>
      </c>
      <c r="Q163" s="519">
        <f t="shared" si="37"/>
        <v>9.92788054768892</v>
      </c>
      <c r="R163" s="53"/>
      <c r="S163" s="1211">
        <f t="shared" si="38"/>
        <v>0.5956728328613351</v>
      </c>
      <c r="T163" s="1198">
        <f t="shared" si="39"/>
        <v>0.73563240497558691</v>
      </c>
      <c r="U163" s="1199">
        <f t="shared" si="39"/>
        <v>33.103458223901406</v>
      </c>
      <c r="V163" s="1199">
        <f t="shared" si="39"/>
        <v>0</v>
      </c>
      <c r="W163" s="1200">
        <f t="shared" si="39"/>
        <v>1.9862074934340841</v>
      </c>
    </row>
    <row r="164" spans="1:23">
      <c r="A164" s="123">
        <f>'Input data'!A132</f>
        <v>2032</v>
      </c>
      <c r="B164" s="1208">
        <f>'Recycling - Case 2'!AI112</f>
        <v>6437.6604656145792</v>
      </c>
      <c r="C164" s="1209">
        <f t="shared" si="46"/>
        <v>0.1</v>
      </c>
      <c r="D164" s="1209">
        <f t="shared" si="46"/>
        <v>0.9</v>
      </c>
      <c r="E164" s="53">
        <v>0</v>
      </c>
      <c r="F164" s="53">
        <v>0</v>
      </c>
      <c r="G164" s="776">
        <f t="shared" si="41"/>
        <v>0.51501283724916636</v>
      </c>
      <c r="H164" s="519">
        <f t="shared" si="42"/>
        <v>23.175577676212484</v>
      </c>
      <c r="I164" s="53"/>
      <c r="J164" s="776">
        <f t="shared" si="43"/>
        <v>1.3905346605727491</v>
      </c>
      <c r="K164" s="1210">
        <f>'Recycling - Case 2'!Z152</f>
        <v>2802.0956343307598</v>
      </c>
      <c r="L164" s="1209">
        <f t="shared" si="47"/>
        <v>0.1</v>
      </c>
      <c r="M164" s="1209">
        <f t="shared" si="47"/>
        <v>0.9</v>
      </c>
      <c r="N164" s="53">
        <f t="shared" si="44"/>
        <v>0</v>
      </c>
      <c r="O164" s="53">
        <f t="shared" si="44"/>
        <v>0</v>
      </c>
      <c r="P164" s="776">
        <f t="shared" si="45"/>
        <v>0.22416765074646083</v>
      </c>
      <c r="Q164" s="519">
        <f t="shared" si="37"/>
        <v>10.087544283590736</v>
      </c>
      <c r="R164" s="53"/>
      <c r="S164" s="1211">
        <f t="shared" si="38"/>
        <v>0.60525265701544417</v>
      </c>
      <c r="T164" s="1198">
        <f t="shared" si="39"/>
        <v>0.73918048799562719</v>
      </c>
      <c r="U164" s="1199">
        <f t="shared" si="39"/>
        <v>33.263121959803222</v>
      </c>
      <c r="V164" s="1199">
        <f t="shared" si="39"/>
        <v>0</v>
      </c>
      <c r="W164" s="1200">
        <f t="shared" si="39"/>
        <v>1.9957873175881933</v>
      </c>
    </row>
    <row r="165" spans="1:23">
      <c r="A165" s="123">
        <f>'Input data'!A133</f>
        <v>2033</v>
      </c>
      <c r="B165" s="1208">
        <f>'Recycling - Case 2'!AI113</f>
        <v>6437.6604656145792</v>
      </c>
      <c r="C165" s="1209">
        <f t="shared" si="46"/>
        <v>0.1</v>
      </c>
      <c r="D165" s="1209">
        <f t="shared" si="46"/>
        <v>0.9</v>
      </c>
      <c r="E165" s="53">
        <v>0</v>
      </c>
      <c r="F165" s="53">
        <v>0</v>
      </c>
      <c r="G165" s="776">
        <f t="shared" si="41"/>
        <v>0.51501283724916636</v>
      </c>
      <c r="H165" s="519">
        <f t="shared" si="42"/>
        <v>23.175577676212484</v>
      </c>
      <c r="I165" s="53"/>
      <c r="J165" s="776">
        <f t="shared" si="43"/>
        <v>1.3905346605727491</v>
      </c>
      <c r="K165" s="1210">
        <f>'Recycling - Case 2'!Z153</f>
        <v>2854.5920843191443</v>
      </c>
      <c r="L165" s="1209">
        <f t="shared" si="47"/>
        <v>0.1</v>
      </c>
      <c r="M165" s="1209">
        <f t="shared" si="47"/>
        <v>0.9</v>
      </c>
      <c r="N165" s="53">
        <f t="shared" si="44"/>
        <v>0</v>
      </c>
      <c r="O165" s="53">
        <f t="shared" si="44"/>
        <v>0</v>
      </c>
      <c r="P165" s="776">
        <f t="shared" si="45"/>
        <v>0.2283673667455316</v>
      </c>
      <c r="Q165" s="519">
        <f t="shared" si="37"/>
        <v>10.27653150354892</v>
      </c>
      <c r="R165" s="53"/>
      <c r="S165" s="1211">
        <f t="shared" si="38"/>
        <v>0.61659189021293515</v>
      </c>
      <c r="T165" s="1198">
        <f t="shared" si="39"/>
        <v>0.74338020399469795</v>
      </c>
      <c r="U165" s="1199">
        <f t="shared" si="39"/>
        <v>33.452109179761408</v>
      </c>
      <c r="V165" s="1199">
        <f t="shared" si="39"/>
        <v>0</v>
      </c>
      <c r="W165" s="1200">
        <f t="shared" si="39"/>
        <v>2.0071265507856841</v>
      </c>
    </row>
    <row r="166" spans="1:23">
      <c r="A166" s="123">
        <f>'Input data'!A134</f>
        <v>2034</v>
      </c>
      <c r="B166" s="1208">
        <f>'Recycling - Case 2'!AI114</f>
        <v>6437.6604656145792</v>
      </c>
      <c r="C166" s="1209">
        <f t="shared" si="46"/>
        <v>0.1</v>
      </c>
      <c r="D166" s="1209">
        <f t="shared" si="46"/>
        <v>0.9</v>
      </c>
      <c r="E166" s="53">
        <v>0</v>
      </c>
      <c r="F166" s="53">
        <v>0</v>
      </c>
      <c r="G166" s="776">
        <f t="shared" si="41"/>
        <v>0.51501283724916636</v>
      </c>
      <c r="H166" s="519">
        <f t="shared" si="42"/>
        <v>23.175577676212484</v>
      </c>
      <c r="I166" s="53"/>
      <c r="J166" s="776">
        <f t="shared" si="43"/>
        <v>1.3905346605727491</v>
      </c>
      <c r="K166" s="1210">
        <f>'Recycling - Case 2'!Z154</f>
        <v>2920.4880245072482</v>
      </c>
      <c r="L166" s="1209">
        <f t="shared" si="47"/>
        <v>0.1</v>
      </c>
      <c r="M166" s="1209">
        <f t="shared" si="47"/>
        <v>0.9</v>
      </c>
      <c r="N166" s="53">
        <f t="shared" si="44"/>
        <v>0</v>
      </c>
      <c r="O166" s="53">
        <f t="shared" si="44"/>
        <v>0</v>
      </c>
      <c r="P166" s="776">
        <f t="shared" si="45"/>
        <v>0.23363904196057991</v>
      </c>
      <c r="Q166" s="519">
        <f t="shared" si="37"/>
        <v>10.513756888226093</v>
      </c>
      <c r="R166" s="53"/>
      <c r="S166" s="1211">
        <f t="shared" si="38"/>
        <v>0.63082541329356556</v>
      </c>
      <c r="T166" s="1198">
        <f t="shared" si="39"/>
        <v>0.7486518792097463</v>
      </c>
      <c r="U166" s="1199">
        <f t="shared" si="39"/>
        <v>33.689334564438575</v>
      </c>
      <c r="V166" s="1199">
        <f t="shared" si="39"/>
        <v>0</v>
      </c>
      <c r="W166" s="1200">
        <f t="shared" si="39"/>
        <v>2.0213600738663144</v>
      </c>
    </row>
    <row r="167" spans="1:23">
      <c r="A167" s="123">
        <f>'Input data'!A135</f>
        <v>2035</v>
      </c>
      <c r="B167" s="1208">
        <f>'Recycling - Case 2'!AI115</f>
        <v>6437.6604656145792</v>
      </c>
      <c r="C167" s="1209">
        <f t="shared" si="46"/>
        <v>0.1</v>
      </c>
      <c r="D167" s="1209">
        <f t="shared" si="46"/>
        <v>0.9</v>
      </c>
      <c r="E167" s="53">
        <v>0</v>
      </c>
      <c r="F167" s="53">
        <v>0</v>
      </c>
      <c r="G167" s="776">
        <f t="shared" si="41"/>
        <v>0.51501283724916636</v>
      </c>
      <c r="H167" s="519">
        <f t="shared" si="42"/>
        <v>23.175577676212484</v>
      </c>
      <c r="I167" s="53"/>
      <c r="J167" s="776">
        <f t="shared" si="43"/>
        <v>1.3905346605727491</v>
      </c>
      <c r="K167" s="1210">
        <f>'Recycling - Case 2'!Z155</f>
        <v>2974.4882959863826</v>
      </c>
      <c r="L167" s="1209">
        <f t="shared" si="47"/>
        <v>0.1</v>
      </c>
      <c r="M167" s="1209">
        <f t="shared" si="47"/>
        <v>0.9</v>
      </c>
      <c r="N167" s="53">
        <f t="shared" ref="N167:O182" si="48">N165</f>
        <v>0</v>
      </c>
      <c r="O167" s="53">
        <f t="shared" si="48"/>
        <v>0</v>
      </c>
      <c r="P167" s="776">
        <f t="shared" si="45"/>
        <v>0.23795906367891068</v>
      </c>
      <c r="Q167" s="519">
        <f t="shared" si="37"/>
        <v>10.708157865550978</v>
      </c>
      <c r="R167" s="53"/>
      <c r="S167" s="1211">
        <f t="shared" si="38"/>
        <v>0.64248947193305872</v>
      </c>
      <c r="T167" s="1198">
        <f t="shared" si="39"/>
        <v>0.75297190092807709</v>
      </c>
      <c r="U167" s="1199">
        <f t="shared" si="39"/>
        <v>33.883735541763464</v>
      </c>
      <c r="V167" s="1199">
        <f t="shared" si="39"/>
        <v>0</v>
      </c>
      <c r="W167" s="1200">
        <f t="shared" si="39"/>
        <v>2.0330241325058078</v>
      </c>
    </row>
    <row r="168" spans="1:23">
      <c r="A168" s="123">
        <f>'Input data'!A136</f>
        <v>2036</v>
      </c>
      <c r="B168" s="1208">
        <f>'Recycling - Case 2'!AI116</f>
        <v>6437.6604656145792</v>
      </c>
      <c r="C168" s="1209">
        <f t="shared" si="46"/>
        <v>0.1</v>
      </c>
      <c r="D168" s="1209">
        <f t="shared" si="46"/>
        <v>0.9</v>
      </c>
      <c r="E168" s="53">
        <v>0</v>
      </c>
      <c r="F168" s="53">
        <v>0</v>
      </c>
      <c r="G168" s="776">
        <f t="shared" si="41"/>
        <v>0.51501283724916636</v>
      </c>
      <c r="H168" s="519">
        <f t="shared" si="42"/>
        <v>23.175577676212484</v>
      </c>
      <c r="I168" s="53"/>
      <c r="J168" s="776">
        <f t="shared" si="43"/>
        <v>1.3905346605727491</v>
      </c>
      <c r="K168" s="1210">
        <f>'Recycling - Case 2'!Z156</f>
        <v>3028.9302231111574</v>
      </c>
      <c r="L168" s="1209">
        <f t="shared" si="47"/>
        <v>0.1</v>
      </c>
      <c r="M168" s="1209">
        <f t="shared" si="47"/>
        <v>0.9</v>
      </c>
      <c r="N168" s="53">
        <f t="shared" si="48"/>
        <v>0</v>
      </c>
      <c r="O168" s="53">
        <f t="shared" si="48"/>
        <v>0</v>
      </c>
      <c r="P168" s="776">
        <f t="shared" si="45"/>
        <v>0.24231441784889265</v>
      </c>
      <c r="Q168" s="519">
        <f t="shared" si="37"/>
        <v>10.904148803200167</v>
      </c>
      <c r="R168" s="53"/>
      <c r="S168" s="1211">
        <f t="shared" si="38"/>
        <v>0.65424892819200997</v>
      </c>
      <c r="T168" s="1198">
        <f t="shared" si="39"/>
        <v>0.75732725509805898</v>
      </c>
      <c r="U168" s="1199">
        <f t="shared" si="39"/>
        <v>34.079726479412649</v>
      </c>
      <c r="V168" s="1199">
        <f t="shared" si="39"/>
        <v>0</v>
      </c>
      <c r="W168" s="1200">
        <f t="shared" si="39"/>
        <v>2.044783588764759</v>
      </c>
    </row>
    <row r="169" spans="1:23">
      <c r="A169" s="123">
        <f>'Input data'!A137</f>
        <v>2037</v>
      </c>
      <c r="B169" s="1208">
        <f>'Recycling - Case 2'!AI117</f>
        <v>6437.6604656145792</v>
      </c>
      <c r="C169" s="1209">
        <f t="shared" si="46"/>
        <v>0.1</v>
      </c>
      <c r="D169" s="1209">
        <f t="shared" si="46"/>
        <v>0.9</v>
      </c>
      <c r="E169" s="53">
        <v>0</v>
      </c>
      <c r="F169" s="53">
        <v>0</v>
      </c>
      <c r="G169" s="776">
        <f t="shared" si="41"/>
        <v>0.51501283724916636</v>
      </c>
      <c r="H169" s="519">
        <f t="shared" si="42"/>
        <v>23.175577676212484</v>
      </c>
      <c r="I169" s="53"/>
      <c r="J169" s="776">
        <f t="shared" si="43"/>
        <v>1.3905346605727491</v>
      </c>
      <c r="K169" s="1210">
        <f>'Recycling - Case 2'!Z157</f>
        <v>3094.3681649355021</v>
      </c>
      <c r="L169" s="1209">
        <f t="shared" si="47"/>
        <v>0.1</v>
      </c>
      <c r="M169" s="1209">
        <f t="shared" si="47"/>
        <v>0.9</v>
      </c>
      <c r="N169" s="53">
        <f t="shared" si="48"/>
        <v>0</v>
      </c>
      <c r="O169" s="53">
        <f t="shared" si="48"/>
        <v>0</v>
      </c>
      <c r="P169" s="776">
        <f t="shared" si="45"/>
        <v>0.24754945319484023</v>
      </c>
      <c r="Q169" s="519">
        <f t="shared" si="37"/>
        <v>11.139725393767808</v>
      </c>
      <c r="R169" s="53"/>
      <c r="S169" s="1211">
        <f t="shared" si="38"/>
        <v>0.66838352362606845</v>
      </c>
      <c r="T169" s="1198">
        <f t="shared" si="39"/>
        <v>0.76256229044400659</v>
      </c>
      <c r="U169" s="1199">
        <f t="shared" si="39"/>
        <v>34.315303069980288</v>
      </c>
      <c r="V169" s="1199">
        <f t="shared" si="39"/>
        <v>0</v>
      </c>
      <c r="W169" s="1200">
        <f t="shared" si="39"/>
        <v>2.0589181841988173</v>
      </c>
    </row>
    <row r="170" spans="1:23">
      <c r="A170" s="123">
        <f>'Input data'!A138</f>
        <v>2038</v>
      </c>
      <c r="B170" s="1208">
        <f>'Recycling - Case 2'!AI118</f>
        <v>6437.6604656145792</v>
      </c>
      <c r="C170" s="1209">
        <f t="shared" si="46"/>
        <v>0.1</v>
      </c>
      <c r="D170" s="1209">
        <f t="shared" si="46"/>
        <v>0.9</v>
      </c>
      <c r="E170" s="53">
        <v>0</v>
      </c>
      <c r="F170" s="53">
        <v>0</v>
      </c>
      <c r="G170" s="776">
        <f t="shared" si="41"/>
        <v>0.51501283724916636</v>
      </c>
      <c r="H170" s="519">
        <f t="shared" si="42"/>
        <v>23.175577676212484</v>
      </c>
      <c r="I170" s="53"/>
      <c r="J170" s="776">
        <f t="shared" si="43"/>
        <v>1.3905346605727491</v>
      </c>
      <c r="K170" s="1210">
        <f>'Recycling - Case 2'!Z158</f>
        <v>3164.033992993629</v>
      </c>
      <c r="L170" s="1209">
        <f t="shared" si="47"/>
        <v>0.1</v>
      </c>
      <c r="M170" s="1209">
        <f t="shared" si="47"/>
        <v>0.9</v>
      </c>
      <c r="N170" s="53">
        <f t="shared" si="48"/>
        <v>0</v>
      </c>
      <c r="O170" s="53">
        <f t="shared" si="48"/>
        <v>0</v>
      </c>
      <c r="P170" s="776">
        <f t="shared" si="45"/>
        <v>0.25312271943949038</v>
      </c>
      <c r="Q170" s="519">
        <f t="shared" si="37"/>
        <v>11.390522374777065</v>
      </c>
      <c r="R170" s="53"/>
      <c r="S170" s="1211">
        <f t="shared" si="38"/>
        <v>0.68343134248662385</v>
      </c>
      <c r="T170" s="1198">
        <f t="shared" si="39"/>
        <v>0.76813555668865674</v>
      </c>
      <c r="U170" s="1199">
        <f t="shared" si="39"/>
        <v>34.566100050989547</v>
      </c>
      <c r="V170" s="1199">
        <f t="shared" si="39"/>
        <v>0</v>
      </c>
      <c r="W170" s="1200">
        <f t="shared" si="39"/>
        <v>2.0739660030593727</v>
      </c>
    </row>
    <row r="171" spans="1:23">
      <c r="A171" s="123">
        <f>'Input data'!A139</f>
        <v>2039</v>
      </c>
      <c r="B171" s="1208">
        <f>'Recycling - Case 2'!AI119</f>
        <v>6437.6604656145792</v>
      </c>
      <c r="C171" s="1209">
        <f t="shared" si="46"/>
        <v>0.1</v>
      </c>
      <c r="D171" s="1209">
        <f t="shared" si="46"/>
        <v>0.9</v>
      </c>
      <c r="E171" s="53">
        <v>0</v>
      </c>
      <c r="F171" s="53">
        <v>0</v>
      </c>
      <c r="G171" s="776">
        <f t="shared" si="41"/>
        <v>0.51501283724916636</v>
      </c>
      <c r="H171" s="519">
        <f t="shared" si="42"/>
        <v>23.175577676212484</v>
      </c>
      <c r="I171" s="53"/>
      <c r="J171" s="776">
        <f t="shared" si="43"/>
        <v>1.3905346605727491</v>
      </c>
      <c r="K171" s="1210">
        <f>'Recycling - Case 2'!Z159</f>
        <v>3238.0089949574353</v>
      </c>
      <c r="L171" s="1209">
        <f t="shared" si="47"/>
        <v>0.1</v>
      </c>
      <c r="M171" s="1209">
        <f t="shared" si="47"/>
        <v>0.9</v>
      </c>
      <c r="N171" s="53">
        <f t="shared" si="48"/>
        <v>0</v>
      </c>
      <c r="O171" s="53">
        <f t="shared" si="48"/>
        <v>0</v>
      </c>
      <c r="P171" s="776">
        <f t="shared" si="45"/>
        <v>0.25904071959659491</v>
      </c>
      <c r="Q171" s="519">
        <f t="shared" si="37"/>
        <v>11.656832381846767</v>
      </c>
      <c r="R171" s="53"/>
      <c r="S171" s="1211">
        <f t="shared" si="38"/>
        <v>0.69940994291080605</v>
      </c>
      <c r="T171" s="1198">
        <f t="shared" si="39"/>
        <v>0.77405355684576127</v>
      </c>
      <c r="U171" s="1199">
        <f t="shared" si="39"/>
        <v>34.832410058059253</v>
      </c>
      <c r="V171" s="1199">
        <f t="shared" si="39"/>
        <v>0</v>
      </c>
      <c r="W171" s="1200">
        <f t="shared" si="39"/>
        <v>2.0899446034835552</v>
      </c>
    </row>
    <row r="172" spans="1:23">
      <c r="A172" s="123">
        <f>'Input data'!A140</f>
        <v>2040</v>
      </c>
      <c r="B172" s="1208">
        <f>'Recycling - Case 2'!AI120</f>
        <v>6437.6604656145792</v>
      </c>
      <c r="C172" s="1209">
        <f t="shared" ref="C172:D182" si="49">C171</f>
        <v>0.1</v>
      </c>
      <c r="D172" s="1209">
        <f t="shared" si="49"/>
        <v>0.9</v>
      </c>
      <c r="E172" s="53">
        <v>0</v>
      </c>
      <c r="F172" s="53">
        <v>0</v>
      </c>
      <c r="G172" s="776">
        <f t="shared" si="41"/>
        <v>0.51501283724916636</v>
      </c>
      <c r="H172" s="519">
        <f t="shared" si="42"/>
        <v>23.175577676212484</v>
      </c>
      <c r="I172" s="53"/>
      <c r="J172" s="776">
        <f t="shared" si="43"/>
        <v>1.3905346605727491</v>
      </c>
      <c r="K172" s="1210">
        <f>'Recycling - Case 2'!Z160</f>
        <v>3315.2894651604388</v>
      </c>
      <c r="L172" s="1209">
        <f t="shared" ref="L172:M182" si="50">L171</f>
        <v>0.1</v>
      </c>
      <c r="M172" s="1209">
        <f t="shared" si="50"/>
        <v>0.9</v>
      </c>
      <c r="N172" s="53">
        <f t="shared" si="48"/>
        <v>0</v>
      </c>
      <c r="O172" s="53">
        <f t="shared" si="48"/>
        <v>0</v>
      </c>
      <c r="P172" s="776">
        <f t="shared" si="45"/>
        <v>0.26522315721283513</v>
      </c>
      <c r="Q172" s="519">
        <f t="shared" si="37"/>
        <v>11.935042074577579</v>
      </c>
      <c r="R172" s="53"/>
      <c r="S172" s="1211">
        <f t="shared" si="38"/>
        <v>0.71610252447465472</v>
      </c>
      <c r="T172" s="1198">
        <f t="shared" si="39"/>
        <v>0.78023599446200143</v>
      </c>
      <c r="U172" s="1199">
        <f t="shared" si="39"/>
        <v>35.110619750790065</v>
      </c>
      <c r="V172" s="1199">
        <f t="shared" si="39"/>
        <v>0</v>
      </c>
      <c r="W172" s="1200">
        <f t="shared" si="39"/>
        <v>2.1066371850474037</v>
      </c>
    </row>
    <row r="173" spans="1:23">
      <c r="A173" s="123">
        <f>'Input data'!A141</f>
        <v>2041</v>
      </c>
      <c r="B173" s="1208">
        <f>'Recycling - Case 2'!AI121</f>
        <v>6437.6604656145792</v>
      </c>
      <c r="C173" s="1209">
        <f t="shared" si="49"/>
        <v>0.1</v>
      </c>
      <c r="D173" s="1209">
        <f t="shared" si="49"/>
        <v>0.9</v>
      </c>
      <c r="E173" s="53">
        <v>0</v>
      </c>
      <c r="F173" s="53">
        <v>0</v>
      </c>
      <c r="G173" s="776">
        <f t="shared" si="41"/>
        <v>0.51501283724916636</v>
      </c>
      <c r="H173" s="519">
        <f t="shared" si="42"/>
        <v>23.175577676212484</v>
      </c>
      <c r="I173" s="53"/>
      <c r="J173" s="776">
        <f t="shared" si="43"/>
        <v>1.3905346605727491</v>
      </c>
      <c r="K173" s="1210">
        <f>'Recycling - Case 2'!Z161</f>
        <v>3395.1557266364357</v>
      </c>
      <c r="L173" s="1209">
        <f t="shared" si="50"/>
        <v>0.1</v>
      </c>
      <c r="M173" s="1209">
        <f t="shared" si="50"/>
        <v>0.9</v>
      </c>
      <c r="N173" s="53">
        <f t="shared" si="48"/>
        <v>0</v>
      </c>
      <c r="O173" s="53">
        <f t="shared" si="48"/>
        <v>0</v>
      </c>
      <c r="P173" s="776">
        <f t="shared" si="45"/>
        <v>0.27161245813091489</v>
      </c>
      <c r="Q173" s="519">
        <f t="shared" si="37"/>
        <v>12.222560615891169</v>
      </c>
      <c r="R173" s="53"/>
      <c r="S173" s="1211">
        <f t="shared" si="38"/>
        <v>0.73335363695347011</v>
      </c>
      <c r="T173" s="1198">
        <f t="shared" si="39"/>
        <v>0.78662529538008119</v>
      </c>
      <c r="U173" s="1199">
        <f t="shared" si="39"/>
        <v>35.398138292103653</v>
      </c>
      <c r="V173" s="1199">
        <f t="shared" si="39"/>
        <v>0</v>
      </c>
      <c r="W173" s="1200">
        <f t="shared" si="39"/>
        <v>2.1238882975262192</v>
      </c>
    </row>
    <row r="174" spans="1:23">
      <c r="A174" s="123">
        <f>'Input data'!A142</f>
        <v>2042</v>
      </c>
      <c r="B174" s="1208">
        <f>'Recycling - Case 2'!AI122</f>
        <v>6437.6604656145792</v>
      </c>
      <c r="C174" s="1209">
        <f t="shared" si="49"/>
        <v>0.1</v>
      </c>
      <c r="D174" s="1209">
        <f t="shared" si="49"/>
        <v>0.9</v>
      </c>
      <c r="E174" s="53">
        <v>0</v>
      </c>
      <c r="F174" s="53">
        <v>0</v>
      </c>
      <c r="G174" s="776">
        <f t="shared" si="41"/>
        <v>0.51501283724916636</v>
      </c>
      <c r="H174" s="519">
        <f t="shared" si="42"/>
        <v>23.175577676212484</v>
      </c>
      <c r="I174" s="53"/>
      <c r="J174" s="776">
        <f t="shared" si="43"/>
        <v>1.3905346605727491</v>
      </c>
      <c r="K174" s="1210">
        <f>'Recycling - Case 2'!Z162</f>
        <v>3470.1008403756309</v>
      </c>
      <c r="L174" s="1209">
        <f t="shared" si="50"/>
        <v>0.1</v>
      </c>
      <c r="M174" s="1209">
        <f t="shared" si="50"/>
        <v>0.9</v>
      </c>
      <c r="N174" s="53">
        <f t="shared" si="48"/>
        <v>0</v>
      </c>
      <c r="O174" s="53">
        <f t="shared" si="48"/>
        <v>0</v>
      </c>
      <c r="P174" s="776">
        <f t="shared" si="45"/>
        <v>0.27760806723005055</v>
      </c>
      <c r="Q174" s="519">
        <f t="shared" si="37"/>
        <v>12.492363025352272</v>
      </c>
      <c r="R174" s="53"/>
      <c r="S174" s="1211">
        <f t="shared" si="38"/>
        <v>0.74954178152113626</v>
      </c>
      <c r="T174" s="1198">
        <f t="shared" si="39"/>
        <v>0.79262090447921696</v>
      </c>
      <c r="U174" s="1199">
        <f t="shared" si="39"/>
        <v>35.66794070156476</v>
      </c>
      <c r="V174" s="1199">
        <f t="shared" si="39"/>
        <v>0</v>
      </c>
      <c r="W174" s="1200">
        <f t="shared" si="39"/>
        <v>2.1400764420938856</v>
      </c>
    </row>
    <row r="175" spans="1:23">
      <c r="A175" s="123">
        <f>'Input data'!A143</f>
        <v>2043</v>
      </c>
      <c r="B175" s="1208">
        <f>'Recycling - Case 2'!AI123</f>
        <v>6437.6604656145792</v>
      </c>
      <c r="C175" s="1209">
        <f t="shared" si="49"/>
        <v>0.1</v>
      </c>
      <c r="D175" s="1209">
        <f t="shared" si="49"/>
        <v>0.9</v>
      </c>
      <c r="E175" s="53">
        <v>0</v>
      </c>
      <c r="F175" s="53">
        <v>0</v>
      </c>
      <c r="G175" s="776">
        <f t="shared" si="41"/>
        <v>0.51501283724916636</v>
      </c>
      <c r="H175" s="519">
        <f t="shared" si="42"/>
        <v>23.175577676212484</v>
      </c>
      <c r="I175" s="53"/>
      <c r="J175" s="776">
        <f t="shared" si="43"/>
        <v>1.3905346605727491</v>
      </c>
      <c r="K175" s="1210">
        <f>'Recycling - Case 2'!Z163</f>
        <v>3546.6332077594516</v>
      </c>
      <c r="L175" s="1209">
        <f t="shared" si="50"/>
        <v>0.1</v>
      </c>
      <c r="M175" s="1209">
        <f t="shared" si="50"/>
        <v>0.9</v>
      </c>
      <c r="N175" s="53">
        <f t="shared" si="48"/>
        <v>0</v>
      </c>
      <c r="O175" s="53">
        <f t="shared" si="48"/>
        <v>0</v>
      </c>
      <c r="P175" s="776">
        <f t="shared" si="45"/>
        <v>0.28373065662075619</v>
      </c>
      <c r="Q175" s="519">
        <f t="shared" si="37"/>
        <v>12.767879547934026</v>
      </c>
      <c r="R175" s="53"/>
      <c r="S175" s="1211">
        <f t="shared" si="38"/>
        <v>0.76607277287604159</v>
      </c>
      <c r="T175" s="1198">
        <f t="shared" si="39"/>
        <v>0.79874349386992249</v>
      </c>
      <c r="U175" s="1199">
        <f t="shared" si="39"/>
        <v>35.943457224146513</v>
      </c>
      <c r="V175" s="1199">
        <f t="shared" si="39"/>
        <v>0</v>
      </c>
      <c r="W175" s="1200">
        <f t="shared" si="39"/>
        <v>2.1566074334487908</v>
      </c>
    </row>
    <row r="176" spans="1:23">
      <c r="A176" s="123">
        <f>'Input data'!A144</f>
        <v>2044</v>
      </c>
      <c r="B176" s="1208">
        <f>'Recycling - Case 2'!AI124</f>
        <v>6437.6604656145792</v>
      </c>
      <c r="C176" s="1209">
        <f t="shared" si="49"/>
        <v>0.1</v>
      </c>
      <c r="D176" s="1209">
        <f t="shared" si="49"/>
        <v>0.9</v>
      </c>
      <c r="E176" s="53">
        <v>0</v>
      </c>
      <c r="F176" s="53">
        <v>0</v>
      </c>
      <c r="G176" s="776">
        <f t="shared" si="41"/>
        <v>0.51501283724916636</v>
      </c>
      <c r="H176" s="519">
        <f t="shared" si="42"/>
        <v>23.175577676212484</v>
      </c>
      <c r="I176" s="53"/>
      <c r="J176" s="776">
        <f t="shared" si="43"/>
        <v>1.3905346605727491</v>
      </c>
      <c r="K176" s="1210">
        <f>'Recycling - Case 2'!Z164</f>
        <v>3624.8360532382567</v>
      </c>
      <c r="L176" s="1209">
        <f t="shared" si="50"/>
        <v>0.1</v>
      </c>
      <c r="M176" s="1209">
        <f t="shared" si="50"/>
        <v>0.9</v>
      </c>
      <c r="N176" s="53">
        <f t="shared" si="48"/>
        <v>0</v>
      </c>
      <c r="O176" s="53">
        <f t="shared" si="48"/>
        <v>0</v>
      </c>
      <c r="P176" s="776">
        <f t="shared" si="45"/>
        <v>0.28998688425906061</v>
      </c>
      <c r="Q176" s="519">
        <f t="shared" si="37"/>
        <v>13.049409791657725</v>
      </c>
      <c r="R176" s="53"/>
      <c r="S176" s="1211">
        <f t="shared" si="38"/>
        <v>0.7829645874994634</v>
      </c>
      <c r="T176" s="1198">
        <f t="shared" si="39"/>
        <v>0.80499972150822696</v>
      </c>
      <c r="U176" s="1199">
        <f t="shared" si="39"/>
        <v>36.224987467870207</v>
      </c>
      <c r="V176" s="1199">
        <f t="shared" si="39"/>
        <v>0</v>
      </c>
      <c r="W176" s="1200">
        <f t="shared" si="39"/>
        <v>2.1734992480722126</v>
      </c>
    </row>
    <row r="177" spans="1:23">
      <c r="A177" s="123">
        <f>'Input data'!A145</f>
        <v>2045</v>
      </c>
      <c r="B177" s="1208">
        <f>'Recycling - Case 2'!AI125</f>
        <v>6437.6604656145792</v>
      </c>
      <c r="C177" s="1209">
        <f t="shared" si="49"/>
        <v>0.1</v>
      </c>
      <c r="D177" s="1209">
        <f t="shared" si="49"/>
        <v>0.9</v>
      </c>
      <c r="E177" s="53">
        <v>0</v>
      </c>
      <c r="F177" s="53">
        <v>0</v>
      </c>
      <c r="G177" s="776">
        <f t="shared" si="41"/>
        <v>0.51501283724916636</v>
      </c>
      <c r="H177" s="519">
        <f t="shared" si="42"/>
        <v>23.175577676212484</v>
      </c>
      <c r="I177" s="53"/>
      <c r="J177" s="776">
        <f t="shared" si="43"/>
        <v>1.3905346605727491</v>
      </c>
      <c r="K177" s="1210">
        <f>'Recycling - Case 2'!Z165</f>
        <v>3706.6083970608752</v>
      </c>
      <c r="L177" s="1209">
        <f t="shared" si="50"/>
        <v>0.1</v>
      </c>
      <c r="M177" s="1209">
        <f t="shared" si="50"/>
        <v>0.9</v>
      </c>
      <c r="N177" s="53">
        <f t="shared" si="48"/>
        <v>0</v>
      </c>
      <c r="O177" s="53">
        <f t="shared" si="48"/>
        <v>0</v>
      </c>
      <c r="P177" s="776">
        <f t="shared" si="45"/>
        <v>0.29652867176487008</v>
      </c>
      <c r="Q177" s="519">
        <f t="shared" si="37"/>
        <v>13.343790229419152</v>
      </c>
      <c r="R177" s="53"/>
      <c r="S177" s="1211">
        <f t="shared" si="38"/>
        <v>0.80062741376514912</v>
      </c>
      <c r="T177" s="1198">
        <f t="shared" si="39"/>
        <v>0.81154150901403643</v>
      </c>
      <c r="U177" s="1199">
        <f t="shared" si="39"/>
        <v>36.51936790563164</v>
      </c>
      <c r="V177" s="1199">
        <f t="shared" si="39"/>
        <v>0</v>
      </c>
      <c r="W177" s="1200">
        <f t="shared" si="39"/>
        <v>2.1911620743378983</v>
      </c>
    </row>
    <row r="178" spans="1:23">
      <c r="A178" s="123">
        <f>'Input data'!A146</f>
        <v>2046</v>
      </c>
      <c r="B178" s="1208">
        <f>'Recycling - Case 2'!AI126</f>
        <v>6437.6604656145792</v>
      </c>
      <c r="C178" s="1209">
        <f t="shared" si="49"/>
        <v>0.1</v>
      </c>
      <c r="D178" s="1209">
        <f t="shared" si="49"/>
        <v>0.9</v>
      </c>
      <c r="E178" s="53">
        <v>0</v>
      </c>
      <c r="F178" s="53">
        <v>0</v>
      </c>
      <c r="G178" s="776">
        <f t="shared" si="41"/>
        <v>0.51501283724916636</v>
      </c>
      <c r="H178" s="519">
        <f t="shared" si="42"/>
        <v>23.175577676212484</v>
      </c>
      <c r="I178" s="53"/>
      <c r="J178" s="776">
        <f t="shared" si="43"/>
        <v>1.3905346605727491</v>
      </c>
      <c r="K178" s="1210">
        <f>'Recycling - Case 2'!Z166</f>
        <v>3790.5155384385994</v>
      </c>
      <c r="L178" s="1209">
        <f t="shared" si="50"/>
        <v>0.1</v>
      </c>
      <c r="M178" s="1209">
        <f t="shared" si="50"/>
        <v>0.9</v>
      </c>
      <c r="N178" s="53">
        <f t="shared" si="48"/>
        <v>0</v>
      </c>
      <c r="O178" s="53">
        <f t="shared" si="48"/>
        <v>0</v>
      </c>
      <c r="P178" s="776">
        <f t="shared" si="45"/>
        <v>0.30324124307508799</v>
      </c>
      <c r="Q178" s="519">
        <f t="shared" si="37"/>
        <v>13.645855938378958</v>
      </c>
      <c r="R178" s="53"/>
      <c r="S178" s="1211">
        <f t="shared" si="38"/>
        <v>0.81875135630273743</v>
      </c>
      <c r="T178" s="1198">
        <f t="shared" si="39"/>
        <v>0.8182540803242544</v>
      </c>
      <c r="U178" s="1199">
        <f t="shared" si="39"/>
        <v>36.821433614591442</v>
      </c>
      <c r="V178" s="1199">
        <f t="shared" si="39"/>
        <v>0</v>
      </c>
      <c r="W178" s="1200">
        <f t="shared" si="39"/>
        <v>2.2092860168754864</v>
      </c>
    </row>
    <row r="179" spans="1:23">
      <c r="A179" s="123">
        <f>'Input data'!A147</f>
        <v>2047</v>
      </c>
      <c r="B179" s="1208">
        <f>'Recycling - Case 2'!AI127</f>
        <v>6437.6604656145792</v>
      </c>
      <c r="C179" s="1209">
        <f t="shared" si="49"/>
        <v>0.1</v>
      </c>
      <c r="D179" s="1209">
        <f t="shared" si="49"/>
        <v>0.9</v>
      </c>
      <c r="E179" s="53">
        <v>0</v>
      </c>
      <c r="F179" s="53">
        <v>0</v>
      </c>
      <c r="G179" s="776">
        <f t="shared" si="41"/>
        <v>0.51501283724916636</v>
      </c>
      <c r="H179" s="519">
        <f t="shared" si="42"/>
        <v>23.175577676212484</v>
      </c>
      <c r="I179" s="53"/>
      <c r="J179" s="776">
        <f t="shared" si="43"/>
        <v>1.3905346605727491</v>
      </c>
      <c r="K179" s="1210">
        <f>'Recycling - Case 2'!Z167</f>
        <v>3842.0800669387309</v>
      </c>
      <c r="L179" s="1209">
        <f t="shared" si="50"/>
        <v>0.1</v>
      </c>
      <c r="M179" s="1209">
        <f t="shared" si="50"/>
        <v>0.9</v>
      </c>
      <c r="N179" s="53">
        <f t="shared" si="48"/>
        <v>0</v>
      </c>
      <c r="O179" s="53">
        <f t="shared" si="48"/>
        <v>0</v>
      </c>
      <c r="P179" s="776">
        <f t="shared" si="45"/>
        <v>0.30736640535509857</v>
      </c>
      <c r="Q179" s="519">
        <f t="shared" si="37"/>
        <v>13.831488240979432</v>
      </c>
      <c r="R179" s="53"/>
      <c r="S179" s="1211">
        <f t="shared" si="38"/>
        <v>0.82988929445876591</v>
      </c>
      <c r="T179" s="1198">
        <f t="shared" si="39"/>
        <v>0.82237924260426487</v>
      </c>
      <c r="U179" s="1199">
        <f t="shared" si="39"/>
        <v>37.007065917191916</v>
      </c>
      <c r="V179" s="1199">
        <f t="shared" si="39"/>
        <v>0</v>
      </c>
      <c r="W179" s="1200">
        <f t="shared" si="39"/>
        <v>2.220423955031515</v>
      </c>
    </row>
    <row r="180" spans="1:23">
      <c r="A180" s="123">
        <f>'Input data'!A148</f>
        <v>2048</v>
      </c>
      <c r="B180" s="1208">
        <f>'Recycling - Case 2'!AI128</f>
        <v>6437.6604656145792</v>
      </c>
      <c r="C180" s="1209">
        <f t="shared" si="49"/>
        <v>0.1</v>
      </c>
      <c r="D180" s="1209">
        <f t="shared" si="49"/>
        <v>0.9</v>
      </c>
      <c r="E180" s="53">
        <v>0</v>
      </c>
      <c r="F180" s="53">
        <v>0</v>
      </c>
      <c r="G180" s="776">
        <f t="shared" si="41"/>
        <v>0.51501283724916636</v>
      </c>
      <c r="H180" s="519">
        <f t="shared" si="42"/>
        <v>23.175577676212484</v>
      </c>
      <c r="I180" s="53"/>
      <c r="J180" s="776">
        <f t="shared" si="43"/>
        <v>1.3905346605727491</v>
      </c>
      <c r="K180" s="1210">
        <f>'Recycling - Case 2'!Z168</f>
        <v>3888.8597695942517</v>
      </c>
      <c r="L180" s="1209">
        <f t="shared" si="50"/>
        <v>0.1</v>
      </c>
      <c r="M180" s="1209">
        <f t="shared" si="50"/>
        <v>0.9</v>
      </c>
      <c r="N180" s="53">
        <f t="shared" si="48"/>
        <v>0</v>
      </c>
      <c r="O180" s="53">
        <f t="shared" si="48"/>
        <v>0</v>
      </c>
      <c r="P180" s="776">
        <f t="shared" si="45"/>
        <v>0.31110878156754018</v>
      </c>
      <c r="Q180" s="519">
        <f t="shared" si="37"/>
        <v>13.999895170539306</v>
      </c>
      <c r="R180" s="53"/>
      <c r="S180" s="1211">
        <f t="shared" si="38"/>
        <v>0.83999371023235836</v>
      </c>
      <c r="T180" s="1198">
        <f t="shared" si="39"/>
        <v>0.82612161881670654</v>
      </c>
      <c r="U180" s="1199">
        <f t="shared" si="39"/>
        <v>37.175472846751788</v>
      </c>
      <c r="V180" s="1199">
        <f t="shared" si="39"/>
        <v>0</v>
      </c>
      <c r="W180" s="1200">
        <f t="shared" si="39"/>
        <v>2.2305283708051076</v>
      </c>
    </row>
    <row r="181" spans="1:23">
      <c r="A181" s="123">
        <f>'Input data'!A149</f>
        <v>2049</v>
      </c>
      <c r="B181" s="1208">
        <f>'Recycling - Case 2'!AI129</f>
        <v>6437.6604656145792</v>
      </c>
      <c r="C181" s="1209">
        <f t="shared" si="49"/>
        <v>0.1</v>
      </c>
      <c r="D181" s="1209">
        <f t="shared" si="49"/>
        <v>0.9</v>
      </c>
      <c r="E181" s="53">
        <v>0</v>
      </c>
      <c r="F181" s="53">
        <v>0</v>
      </c>
      <c r="G181" s="776">
        <f t="shared" si="41"/>
        <v>0.51501283724916636</v>
      </c>
      <c r="H181" s="519">
        <f t="shared" si="42"/>
        <v>23.175577676212484</v>
      </c>
      <c r="I181" s="53"/>
      <c r="J181" s="776">
        <f t="shared" si="43"/>
        <v>1.3905346605727491</v>
      </c>
      <c r="K181" s="1210">
        <f>'Recycling - Case 2'!Z169</f>
        <v>3938.7085361162012</v>
      </c>
      <c r="L181" s="1209">
        <f t="shared" si="50"/>
        <v>0.1</v>
      </c>
      <c r="M181" s="1209">
        <f t="shared" si="50"/>
        <v>0.9</v>
      </c>
      <c r="N181" s="53">
        <f t="shared" si="48"/>
        <v>0</v>
      </c>
      <c r="O181" s="53">
        <f t="shared" si="48"/>
        <v>0</v>
      </c>
      <c r="P181" s="776">
        <f t="shared" si="45"/>
        <v>0.31509668288929615</v>
      </c>
      <c r="Q181" s="519">
        <f t="shared" si="37"/>
        <v>14.179350730018324</v>
      </c>
      <c r="R181" s="53"/>
      <c r="S181" s="1211">
        <f t="shared" si="38"/>
        <v>0.85076104380109951</v>
      </c>
      <c r="T181" s="1198">
        <f t="shared" si="39"/>
        <v>0.83010952013846251</v>
      </c>
      <c r="U181" s="1199">
        <f t="shared" si="39"/>
        <v>37.354928406230812</v>
      </c>
      <c r="V181" s="1199">
        <f t="shared" si="39"/>
        <v>0</v>
      </c>
      <c r="W181" s="1200">
        <f t="shared" si="39"/>
        <v>2.2412957043738486</v>
      </c>
    </row>
    <row r="182" spans="1:23" ht="15.75" thickBot="1">
      <c r="A182" s="123">
        <f>'Input data'!A150</f>
        <v>2050</v>
      </c>
      <c r="B182" s="1208">
        <f>'Recycling - Case 2'!AI130</f>
        <v>6437.6604656145792</v>
      </c>
      <c r="C182" s="578">
        <f t="shared" si="49"/>
        <v>0.1</v>
      </c>
      <c r="D182" s="578">
        <f t="shared" si="49"/>
        <v>0.9</v>
      </c>
      <c r="E182" s="1212">
        <v>0</v>
      </c>
      <c r="F182" s="1212">
        <v>0</v>
      </c>
      <c r="G182" s="1213">
        <f t="shared" si="41"/>
        <v>0.51501283724916636</v>
      </c>
      <c r="H182" s="1144">
        <f t="shared" si="42"/>
        <v>23.175577676212484</v>
      </c>
      <c r="I182" s="1212"/>
      <c r="J182" s="1213">
        <f t="shared" si="43"/>
        <v>1.3905346605727491</v>
      </c>
      <c r="K182" s="1210">
        <f>'Recycling - Case 2'!Z170</f>
        <v>3985.2140129658874</v>
      </c>
      <c r="L182" s="578">
        <f t="shared" si="50"/>
        <v>0.1</v>
      </c>
      <c r="M182" s="578">
        <f t="shared" si="50"/>
        <v>0.9</v>
      </c>
      <c r="N182" s="1212">
        <f t="shared" si="48"/>
        <v>0</v>
      </c>
      <c r="O182" s="1212">
        <f t="shared" si="48"/>
        <v>0</v>
      </c>
      <c r="P182" s="1213">
        <f t="shared" si="45"/>
        <v>0.31881712103727106</v>
      </c>
      <c r="Q182" s="1144">
        <f t="shared" si="37"/>
        <v>14.346770446677196</v>
      </c>
      <c r="R182" s="1212"/>
      <c r="S182" s="1214">
        <f t="shared" si="38"/>
        <v>0.86080622680063168</v>
      </c>
      <c r="T182" s="1215">
        <f t="shared" si="39"/>
        <v>0.83382995828643747</v>
      </c>
      <c r="U182" s="1216">
        <f t="shared" si="39"/>
        <v>37.522348122889682</v>
      </c>
      <c r="V182" s="1216">
        <f t="shared" si="39"/>
        <v>0</v>
      </c>
      <c r="W182" s="1217">
        <f t="shared" si="39"/>
        <v>2.2513408873733809</v>
      </c>
    </row>
    <row r="183" spans="1:23">
      <c r="A183" s="1202" t="s">
        <v>649</v>
      </c>
      <c r="B183" s="1203"/>
      <c r="C183" s="1218"/>
      <c r="D183" s="1218"/>
      <c r="E183" s="1219"/>
      <c r="F183" s="1219"/>
      <c r="G183" s="1220"/>
      <c r="H183" s="1221"/>
      <c r="I183" s="1222"/>
      <c r="J183" s="1220"/>
      <c r="K183" s="1223"/>
      <c r="L183" s="1218"/>
      <c r="M183" s="1218"/>
      <c r="N183" s="1219"/>
      <c r="O183" s="1219"/>
      <c r="P183" s="1220"/>
      <c r="Q183" s="1221"/>
      <c r="R183" s="1219"/>
      <c r="S183" s="1224"/>
      <c r="T183" s="1194"/>
      <c r="U183" s="1195"/>
      <c r="V183" s="1195"/>
      <c r="W183" s="1196"/>
    </row>
    <row r="184" spans="1:23">
      <c r="A184" s="123">
        <f>'Input data'!A118</f>
        <v>2018</v>
      </c>
      <c r="B184" s="1208">
        <f>'Recycling - Case 2'!AI98</f>
        <v>3707.5235423427162</v>
      </c>
      <c r="C184" s="1209">
        <f>($C$188-$C$80)/($A$188-$A$80)+C80</f>
        <v>6.0000000000000005E-2</v>
      </c>
      <c r="D184" s="1209">
        <f>1-C184</f>
        <v>0.94</v>
      </c>
      <c r="E184" s="53">
        <v>0</v>
      </c>
      <c r="F184" s="53">
        <v>0</v>
      </c>
      <c r="G184" s="776">
        <f t="shared" ref="G184:G216" si="51">C184*$D$5*B184/1000-E184</f>
        <v>0.1779611300324504</v>
      </c>
      <c r="H184" s="519">
        <f t="shared" ref="H184:H216" si="52">D184*$D$4*B184/1000-F184</f>
        <v>13.940288519208613</v>
      </c>
      <c r="I184" s="53"/>
      <c r="J184" s="776">
        <f t="shared" ref="J184:J216" si="53">D184*$D$7*B184/1000</f>
        <v>0.83641731115251661</v>
      </c>
      <c r="K184" s="1210">
        <f>'Recycling - Case 3'!Z138</f>
        <v>1789.9687605419947</v>
      </c>
      <c r="L184" s="1209">
        <f>($L$188-$L$80)/($A$188-$A$80)+L80</f>
        <v>0.1</v>
      </c>
      <c r="M184" s="1209">
        <f>1-L184</f>
        <v>0.9</v>
      </c>
      <c r="N184" s="53">
        <f>N148</f>
        <v>0</v>
      </c>
      <c r="O184" s="53">
        <f>O148</f>
        <v>0</v>
      </c>
      <c r="P184" s="776">
        <f t="shared" ref="P184:P216" si="54">L184*$D$5*K184/1000-N184</f>
        <v>0.14319750084335958</v>
      </c>
      <c r="Q184" s="519">
        <f t="shared" ref="Q184:Q216" si="55">M184*$D$4*K184/1000-O184</f>
        <v>6.4438875379511806</v>
      </c>
      <c r="R184" s="53"/>
      <c r="S184" s="1211">
        <f t="shared" ref="S184:S216" si="56">M184*$D$7*K184/1000</f>
        <v>0.38663325227707085</v>
      </c>
      <c r="T184" s="1198">
        <f t="shared" ref="T184:W216" si="57">G184+P184</f>
        <v>0.32115863087580998</v>
      </c>
      <c r="U184" s="1199">
        <f t="shared" si="57"/>
        <v>20.384176057159792</v>
      </c>
      <c r="V184" s="1199">
        <f t="shared" si="57"/>
        <v>0</v>
      </c>
      <c r="W184" s="1200">
        <f t="shared" si="57"/>
        <v>1.2230505634295874</v>
      </c>
    </row>
    <row r="185" spans="1:23">
      <c r="A185" s="123">
        <f>'Input data'!A119</f>
        <v>2019</v>
      </c>
      <c r="B185" s="1208">
        <f>'Recycling - Case 2'!AI99</f>
        <v>4010.8720893729233</v>
      </c>
      <c r="C185" s="1209">
        <f>($C$188-$C$80)/($A$188-$A$80)+C184</f>
        <v>7.0000000000000007E-2</v>
      </c>
      <c r="D185" s="1209">
        <f t="shared" ref="D185:D216" si="58">1-C185</f>
        <v>0.92999999999999994</v>
      </c>
      <c r="E185" s="53">
        <v>0</v>
      </c>
      <c r="F185" s="53">
        <v>0</v>
      </c>
      <c r="G185" s="776">
        <f t="shared" si="51"/>
        <v>0.22460883700488374</v>
      </c>
      <c r="H185" s="519">
        <f t="shared" si="52"/>
        <v>14.920444172467274</v>
      </c>
      <c r="I185" s="53"/>
      <c r="J185" s="776">
        <f t="shared" si="53"/>
        <v>0.89522665034803639</v>
      </c>
      <c r="K185" s="1210">
        <f>'Recycling - Case 3'!Z139</f>
        <v>1870.6618877196547</v>
      </c>
      <c r="L185" s="1209">
        <f>($L$188-$L$80)/($A$188-$A$80)+L184</f>
        <v>0.1</v>
      </c>
      <c r="M185" s="1209">
        <f t="shared" ref="M185:M216" si="59">1-L185</f>
        <v>0.9</v>
      </c>
      <c r="N185" s="53">
        <f t="shared" ref="N185:O200" si="60">N183</f>
        <v>0</v>
      </c>
      <c r="O185" s="53">
        <f t="shared" si="60"/>
        <v>0</v>
      </c>
      <c r="P185" s="776">
        <f t="shared" si="54"/>
        <v>0.14965295101757239</v>
      </c>
      <c r="Q185" s="519">
        <f t="shared" si="55"/>
        <v>6.7343827957907569</v>
      </c>
      <c r="R185" s="53"/>
      <c r="S185" s="1211">
        <f t="shared" si="56"/>
        <v>0.40406296774744543</v>
      </c>
      <c r="T185" s="1198">
        <f t="shared" si="57"/>
        <v>0.37426178802245613</v>
      </c>
      <c r="U185" s="1199">
        <f t="shared" si="57"/>
        <v>21.654826968258032</v>
      </c>
      <c r="V185" s="1199">
        <f t="shared" si="57"/>
        <v>0</v>
      </c>
      <c r="W185" s="1200">
        <f t="shared" si="57"/>
        <v>1.2992896180954818</v>
      </c>
    </row>
    <row r="186" spans="1:23">
      <c r="A186" s="123">
        <f>'Input data'!A120</f>
        <v>2020</v>
      </c>
      <c r="B186" s="1208">
        <f>'Recycling - Case 2'!AI100</f>
        <v>4617.5691834333375</v>
      </c>
      <c r="C186" s="1209">
        <f t="shared" ref="C186:C187" si="61">($C$188-$C$80)/($A$188-$A$80)+C185</f>
        <v>0.08</v>
      </c>
      <c r="D186" s="1209">
        <f t="shared" si="58"/>
        <v>0.92</v>
      </c>
      <c r="E186" s="53">
        <v>0</v>
      </c>
      <c r="F186" s="53">
        <v>0</v>
      </c>
      <c r="G186" s="776">
        <f t="shared" si="51"/>
        <v>0.29552442773973359</v>
      </c>
      <c r="H186" s="519">
        <f t="shared" si="52"/>
        <v>16.992654595034679</v>
      </c>
      <c r="I186" s="53"/>
      <c r="J186" s="776">
        <f t="shared" si="53"/>
        <v>1.0195592757020808</v>
      </c>
      <c r="K186" s="1210">
        <f>'Recycling - Case 3'!Z140</f>
        <v>1913.5469196790364</v>
      </c>
      <c r="L186" s="1209">
        <f t="shared" ref="L186:L187" si="62">($L$188-$L$80)/($A$188-$A$80)+L185</f>
        <v>0.1</v>
      </c>
      <c r="M186" s="1209">
        <f t="shared" si="59"/>
        <v>0.9</v>
      </c>
      <c r="N186" s="53">
        <f t="shared" si="60"/>
        <v>0</v>
      </c>
      <c r="O186" s="53">
        <f t="shared" si="60"/>
        <v>0</v>
      </c>
      <c r="P186" s="776">
        <f t="shared" si="54"/>
        <v>0.15308375357432294</v>
      </c>
      <c r="Q186" s="519">
        <f t="shared" si="55"/>
        <v>6.8887689108445311</v>
      </c>
      <c r="R186" s="53"/>
      <c r="S186" s="1211">
        <f t="shared" si="56"/>
        <v>0.41332613465067186</v>
      </c>
      <c r="T186" s="1198">
        <f t="shared" si="57"/>
        <v>0.44860818131405655</v>
      </c>
      <c r="U186" s="1199">
        <f t="shared" si="57"/>
        <v>23.881423505879212</v>
      </c>
      <c r="V186" s="1199">
        <f t="shared" si="57"/>
        <v>0</v>
      </c>
      <c r="W186" s="1200">
        <f t="shared" si="57"/>
        <v>1.4328854103527526</v>
      </c>
    </row>
    <row r="187" spans="1:23">
      <c r="A187" s="123">
        <f>'Input data'!A121</f>
        <v>2021</v>
      </c>
      <c r="B187" s="1208">
        <f>'Recycling - Case 2'!AI101</f>
        <v>5830.9633715541659</v>
      </c>
      <c r="C187" s="1209">
        <f t="shared" si="61"/>
        <v>0.09</v>
      </c>
      <c r="D187" s="1209">
        <f t="shared" si="58"/>
        <v>0.91</v>
      </c>
      <c r="E187" s="53">
        <v>0</v>
      </c>
      <c r="F187" s="53">
        <v>0</v>
      </c>
      <c r="G187" s="776">
        <f t="shared" si="51"/>
        <v>0.41982936275189991</v>
      </c>
      <c r="H187" s="519">
        <f t="shared" si="52"/>
        <v>21.224706672457163</v>
      </c>
      <c r="I187" s="53"/>
      <c r="J187" s="776">
        <f t="shared" si="53"/>
        <v>1.2734824003474299</v>
      </c>
      <c r="K187" s="1210">
        <f>'Recycling - Case 3'!Z141</f>
        <v>2253.4740718925086</v>
      </c>
      <c r="L187" s="1209">
        <f t="shared" si="62"/>
        <v>0.1</v>
      </c>
      <c r="M187" s="1209">
        <f t="shared" si="59"/>
        <v>0.9</v>
      </c>
      <c r="N187" s="53">
        <f t="shared" si="60"/>
        <v>0</v>
      </c>
      <c r="O187" s="53">
        <f t="shared" si="60"/>
        <v>0</v>
      </c>
      <c r="P187" s="776">
        <f t="shared" si="54"/>
        <v>0.18027792575140072</v>
      </c>
      <c r="Q187" s="519">
        <f t="shared" si="55"/>
        <v>8.1125066588130306</v>
      </c>
      <c r="R187" s="53"/>
      <c r="S187" s="1211">
        <f t="shared" si="56"/>
        <v>0.48675039952878191</v>
      </c>
      <c r="T187" s="1198">
        <f t="shared" si="57"/>
        <v>0.60010728850330064</v>
      </c>
      <c r="U187" s="1199">
        <f t="shared" si="57"/>
        <v>29.337213331270192</v>
      </c>
      <c r="V187" s="1199">
        <f t="shared" si="57"/>
        <v>0</v>
      </c>
      <c r="W187" s="1200">
        <f t="shared" si="57"/>
        <v>1.7602327998762117</v>
      </c>
    </row>
    <row r="188" spans="1:23">
      <c r="A188" s="123">
        <f>'Input data'!A122</f>
        <v>2022</v>
      </c>
      <c r="B188" s="1208">
        <f>'Recycling - Case 2'!AI102</f>
        <v>6437.6604656145792</v>
      </c>
      <c r="C188" s="1209">
        <f>'Recycling - Case 2'!E31</f>
        <v>0.1</v>
      </c>
      <c r="D188" s="1209">
        <f t="shared" si="58"/>
        <v>0.9</v>
      </c>
      <c r="E188" s="53">
        <v>0</v>
      </c>
      <c r="F188" s="53">
        <v>0</v>
      </c>
      <c r="G188" s="776">
        <f t="shared" si="51"/>
        <v>0.51501283724916636</v>
      </c>
      <c r="H188" s="519">
        <f t="shared" si="52"/>
        <v>23.175577676212484</v>
      </c>
      <c r="I188" s="53"/>
      <c r="J188" s="776">
        <f t="shared" si="53"/>
        <v>1.3905346605727491</v>
      </c>
      <c r="K188" s="1210">
        <f>'Recycling - Case 3'!Z142</f>
        <v>2440.3869088169668</v>
      </c>
      <c r="L188" s="1209">
        <f>'Recycling - Case 2'!E31</f>
        <v>0.1</v>
      </c>
      <c r="M188" s="1209">
        <f t="shared" si="59"/>
        <v>0.9</v>
      </c>
      <c r="N188" s="53">
        <f t="shared" si="60"/>
        <v>0</v>
      </c>
      <c r="O188" s="53">
        <f t="shared" si="60"/>
        <v>0</v>
      </c>
      <c r="P188" s="776">
        <f t="shared" si="54"/>
        <v>0.19523095270535737</v>
      </c>
      <c r="Q188" s="519">
        <f t="shared" si="55"/>
        <v>8.7853928717410792</v>
      </c>
      <c r="R188" s="53"/>
      <c r="S188" s="1211">
        <f t="shared" si="56"/>
        <v>0.52712357230446483</v>
      </c>
      <c r="T188" s="1198">
        <f t="shared" si="57"/>
        <v>0.71024378995452375</v>
      </c>
      <c r="U188" s="1199">
        <f t="shared" si="57"/>
        <v>31.960970547953565</v>
      </c>
      <c r="V188" s="1199">
        <f t="shared" si="57"/>
        <v>0</v>
      </c>
      <c r="W188" s="1200">
        <f t="shared" si="57"/>
        <v>1.9176582328772138</v>
      </c>
    </row>
    <row r="189" spans="1:23">
      <c r="A189" s="123">
        <f>'Input data'!A123</f>
        <v>2023</v>
      </c>
      <c r="B189" s="1208">
        <f>'Recycling - Case 2'!AI103</f>
        <v>6437.6604656145792</v>
      </c>
      <c r="C189" s="1209">
        <f>C188</f>
        <v>0.1</v>
      </c>
      <c r="D189" s="1209">
        <f t="shared" si="58"/>
        <v>0.9</v>
      </c>
      <c r="E189" s="53">
        <v>0</v>
      </c>
      <c r="F189" s="53">
        <v>0</v>
      </c>
      <c r="G189" s="776">
        <f t="shared" si="51"/>
        <v>0.51501283724916636</v>
      </c>
      <c r="H189" s="519">
        <f t="shared" si="52"/>
        <v>23.175577676212484</v>
      </c>
      <c r="I189" s="53"/>
      <c r="J189" s="776">
        <f t="shared" si="53"/>
        <v>1.3905346605727491</v>
      </c>
      <c r="K189" s="1210">
        <f>'Recycling - Case 3'!Z143</f>
        <v>2473.3341767241886</v>
      </c>
      <c r="L189" s="1209">
        <f>L188</f>
        <v>0.1</v>
      </c>
      <c r="M189" s="1209">
        <f t="shared" si="59"/>
        <v>0.9</v>
      </c>
      <c r="N189" s="53">
        <f t="shared" si="60"/>
        <v>0</v>
      </c>
      <c r="O189" s="53">
        <f t="shared" si="60"/>
        <v>0</v>
      </c>
      <c r="P189" s="776">
        <f t="shared" si="54"/>
        <v>0.19786673413793515</v>
      </c>
      <c r="Q189" s="519">
        <f t="shared" si="55"/>
        <v>8.9040030362070794</v>
      </c>
      <c r="R189" s="53"/>
      <c r="S189" s="1211">
        <f t="shared" si="56"/>
        <v>0.53424018217242475</v>
      </c>
      <c r="T189" s="1198">
        <f t="shared" si="57"/>
        <v>0.71287957138710145</v>
      </c>
      <c r="U189" s="1199">
        <f t="shared" si="57"/>
        <v>32.079580712419563</v>
      </c>
      <c r="V189" s="1199">
        <f t="shared" si="57"/>
        <v>0</v>
      </c>
      <c r="W189" s="1200">
        <f t="shared" si="57"/>
        <v>1.9247748427451739</v>
      </c>
    </row>
    <row r="190" spans="1:23">
      <c r="A190" s="123">
        <f>'Input data'!A124</f>
        <v>2024</v>
      </c>
      <c r="B190" s="1208">
        <f>'Recycling - Case 2'!AI104</f>
        <v>6437.6604656145792</v>
      </c>
      <c r="C190" s="1209">
        <f t="shared" ref="C190:C216" si="63">C189</f>
        <v>0.1</v>
      </c>
      <c r="D190" s="1209">
        <f t="shared" si="58"/>
        <v>0.9</v>
      </c>
      <c r="E190" s="53">
        <v>0</v>
      </c>
      <c r="F190" s="53">
        <v>0</v>
      </c>
      <c r="G190" s="776">
        <f t="shared" si="51"/>
        <v>0.51501283724916636</v>
      </c>
      <c r="H190" s="519">
        <f t="shared" si="52"/>
        <v>23.175577676212484</v>
      </c>
      <c r="I190" s="53"/>
      <c r="J190" s="776">
        <f t="shared" si="53"/>
        <v>1.3905346605727491</v>
      </c>
      <c r="K190" s="1210">
        <f>'Recycling - Case 3'!Z144</f>
        <v>2510.4923620654172</v>
      </c>
      <c r="L190" s="1209">
        <f t="shared" ref="L190:L216" si="64">L189</f>
        <v>0.1</v>
      </c>
      <c r="M190" s="1209">
        <f t="shared" si="59"/>
        <v>0.9</v>
      </c>
      <c r="N190" s="53">
        <f t="shared" si="60"/>
        <v>0</v>
      </c>
      <c r="O190" s="53">
        <f t="shared" si="60"/>
        <v>0</v>
      </c>
      <c r="P190" s="776">
        <f t="shared" si="54"/>
        <v>0.2008393889652334</v>
      </c>
      <c r="Q190" s="519">
        <f t="shared" si="55"/>
        <v>9.0377725034355034</v>
      </c>
      <c r="R190" s="53"/>
      <c r="S190" s="1211">
        <f t="shared" si="56"/>
        <v>0.54226635020613012</v>
      </c>
      <c r="T190" s="1198">
        <f t="shared" si="57"/>
        <v>0.71585222621439981</v>
      </c>
      <c r="U190" s="1199">
        <f t="shared" si="57"/>
        <v>32.213350179647989</v>
      </c>
      <c r="V190" s="1199">
        <f t="shared" si="57"/>
        <v>0</v>
      </c>
      <c r="W190" s="1200">
        <f t="shared" si="57"/>
        <v>1.9328010107788791</v>
      </c>
    </row>
    <row r="191" spans="1:23">
      <c r="A191" s="123">
        <f>'Input data'!A125</f>
        <v>2025</v>
      </c>
      <c r="B191" s="1208">
        <f>'Recycling - Case 2'!AI105</f>
        <v>6437.6604656145792</v>
      </c>
      <c r="C191" s="1209">
        <f t="shared" si="63"/>
        <v>0.1</v>
      </c>
      <c r="D191" s="1209">
        <f t="shared" si="58"/>
        <v>0.9</v>
      </c>
      <c r="E191" s="53">
        <v>0</v>
      </c>
      <c r="F191" s="53">
        <v>0</v>
      </c>
      <c r="G191" s="776">
        <f t="shared" si="51"/>
        <v>0.51501283724916636</v>
      </c>
      <c r="H191" s="519">
        <f t="shared" si="52"/>
        <v>23.175577676212484</v>
      </c>
      <c r="I191" s="53"/>
      <c r="J191" s="776">
        <f t="shared" si="53"/>
        <v>1.3905346605727491</v>
      </c>
      <c r="K191" s="1210">
        <f>'Recycling - Case 3'!Z145</f>
        <v>2543.9978590052256</v>
      </c>
      <c r="L191" s="1209">
        <f t="shared" si="64"/>
        <v>0.1</v>
      </c>
      <c r="M191" s="1209">
        <f t="shared" si="59"/>
        <v>0.9</v>
      </c>
      <c r="N191" s="53">
        <f t="shared" si="60"/>
        <v>0</v>
      </c>
      <c r="O191" s="53">
        <f t="shared" si="60"/>
        <v>0</v>
      </c>
      <c r="P191" s="776">
        <f t="shared" si="54"/>
        <v>0.20351982872041807</v>
      </c>
      <c r="Q191" s="519">
        <f t="shared" si="55"/>
        <v>9.1583922924188119</v>
      </c>
      <c r="R191" s="53"/>
      <c r="S191" s="1211">
        <f t="shared" si="56"/>
        <v>0.54950353754512871</v>
      </c>
      <c r="T191" s="1198">
        <f t="shared" si="57"/>
        <v>0.71853266596958443</v>
      </c>
      <c r="U191" s="1199">
        <f t="shared" si="57"/>
        <v>32.333969968631294</v>
      </c>
      <c r="V191" s="1199">
        <f t="shared" si="57"/>
        <v>0</v>
      </c>
      <c r="W191" s="1200">
        <f t="shared" si="57"/>
        <v>1.9400381981178778</v>
      </c>
    </row>
    <row r="192" spans="1:23">
      <c r="A192" s="123">
        <f>'Input data'!A126</f>
        <v>2026</v>
      </c>
      <c r="B192" s="1208">
        <f>'Recycling - Case 2'!AI106</f>
        <v>6437.6604656145792</v>
      </c>
      <c r="C192" s="1209">
        <f t="shared" si="63"/>
        <v>0.1</v>
      </c>
      <c r="D192" s="1209">
        <f t="shared" si="58"/>
        <v>0.9</v>
      </c>
      <c r="E192" s="53">
        <v>0</v>
      </c>
      <c r="F192" s="53">
        <v>0</v>
      </c>
      <c r="G192" s="776">
        <f t="shared" si="51"/>
        <v>0.51501283724916636</v>
      </c>
      <c r="H192" s="519">
        <f t="shared" si="52"/>
        <v>23.175577676212484</v>
      </c>
      <c r="I192" s="53"/>
      <c r="J192" s="776">
        <f t="shared" si="53"/>
        <v>1.3905346605727491</v>
      </c>
      <c r="K192" s="1210">
        <f>'Recycling - Case 3'!Z146</f>
        <v>2582.1853446322916</v>
      </c>
      <c r="L192" s="1209">
        <f t="shared" si="64"/>
        <v>0.1</v>
      </c>
      <c r="M192" s="1209">
        <f t="shared" si="59"/>
        <v>0.9</v>
      </c>
      <c r="N192" s="53">
        <f t="shared" si="60"/>
        <v>0</v>
      </c>
      <c r="O192" s="53">
        <f t="shared" si="60"/>
        <v>0</v>
      </c>
      <c r="P192" s="776">
        <f t="shared" si="54"/>
        <v>0.20657482757058337</v>
      </c>
      <c r="Q192" s="519">
        <f t="shared" si="55"/>
        <v>9.2958672406762499</v>
      </c>
      <c r="R192" s="53"/>
      <c r="S192" s="1211">
        <f t="shared" si="56"/>
        <v>0.55775203444057497</v>
      </c>
      <c r="T192" s="1198">
        <f t="shared" si="57"/>
        <v>0.72158766481974967</v>
      </c>
      <c r="U192" s="1199">
        <f t="shared" si="57"/>
        <v>32.471444916888736</v>
      </c>
      <c r="V192" s="1199">
        <f t="shared" si="57"/>
        <v>0</v>
      </c>
      <c r="W192" s="1200">
        <f t="shared" si="57"/>
        <v>1.9482866950133242</v>
      </c>
    </row>
    <row r="193" spans="1:23">
      <c r="A193" s="123">
        <f>'Input data'!A127</f>
        <v>2027</v>
      </c>
      <c r="B193" s="1208">
        <f>'Recycling - Case 2'!AI107</f>
        <v>6437.6604656145792</v>
      </c>
      <c r="C193" s="1209">
        <f t="shared" si="63"/>
        <v>0.1</v>
      </c>
      <c r="D193" s="1209">
        <f t="shared" si="58"/>
        <v>0.9</v>
      </c>
      <c r="E193" s="53">
        <v>0</v>
      </c>
      <c r="F193" s="53">
        <v>0</v>
      </c>
      <c r="G193" s="776">
        <f t="shared" si="51"/>
        <v>0.51501283724916636</v>
      </c>
      <c r="H193" s="519">
        <f t="shared" si="52"/>
        <v>23.175577676212484</v>
      </c>
      <c r="I193" s="53"/>
      <c r="J193" s="776">
        <f t="shared" si="53"/>
        <v>1.3905346605727491</v>
      </c>
      <c r="K193" s="1210">
        <f>'Recycling - Case 3'!Z147</f>
        <v>2620.2270434897314</v>
      </c>
      <c r="L193" s="1209">
        <f t="shared" si="64"/>
        <v>0.1</v>
      </c>
      <c r="M193" s="1209">
        <f t="shared" si="59"/>
        <v>0.9</v>
      </c>
      <c r="N193" s="53">
        <f t="shared" si="60"/>
        <v>0</v>
      </c>
      <c r="O193" s="53">
        <f t="shared" si="60"/>
        <v>0</v>
      </c>
      <c r="P193" s="776">
        <f t="shared" si="54"/>
        <v>0.20961816347917855</v>
      </c>
      <c r="Q193" s="519">
        <f t="shared" si="55"/>
        <v>9.4328173565630333</v>
      </c>
      <c r="R193" s="53"/>
      <c r="S193" s="1211">
        <f t="shared" si="56"/>
        <v>0.5659690413937819</v>
      </c>
      <c r="T193" s="1198">
        <f t="shared" si="57"/>
        <v>0.72463100072834497</v>
      </c>
      <c r="U193" s="1199">
        <f t="shared" si="57"/>
        <v>32.608395032775519</v>
      </c>
      <c r="V193" s="1199">
        <f t="shared" si="57"/>
        <v>0</v>
      </c>
      <c r="W193" s="1200">
        <f t="shared" si="57"/>
        <v>1.956503701966531</v>
      </c>
    </row>
    <row r="194" spans="1:23">
      <c r="A194" s="123">
        <f>'Input data'!A128</f>
        <v>2028</v>
      </c>
      <c r="B194" s="1208">
        <f>'Recycling - Case 2'!AI108</f>
        <v>6437.6604656145792</v>
      </c>
      <c r="C194" s="1209">
        <f t="shared" si="63"/>
        <v>0.1</v>
      </c>
      <c r="D194" s="1209">
        <f t="shared" si="58"/>
        <v>0.9</v>
      </c>
      <c r="E194" s="53">
        <v>0</v>
      </c>
      <c r="F194" s="53">
        <v>0</v>
      </c>
      <c r="G194" s="776">
        <f t="shared" si="51"/>
        <v>0.51501283724916636</v>
      </c>
      <c r="H194" s="519">
        <f t="shared" si="52"/>
        <v>23.175577676212484</v>
      </c>
      <c r="I194" s="53"/>
      <c r="J194" s="776">
        <f t="shared" si="53"/>
        <v>1.3905346605727491</v>
      </c>
      <c r="K194" s="1210">
        <f>'Recycling - Case 3'!Z148</f>
        <v>2646.7585380287851</v>
      </c>
      <c r="L194" s="1209">
        <f t="shared" si="64"/>
        <v>0.1</v>
      </c>
      <c r="M194" s="1209">
        <f t="shared" si="59"/>
        <v>0.9</v>
      </c>
      <c r="N194" s="53">
        <f t="shared" si="60"/>
        <v>0</v>
      </c>
      <c r="O194" s="53">
        <f t="shared" si="60"/>
        <v>0</v>
      </c>
      <c r="P194" s="776">
        <f t="shared" si="54"/>
        <v>0.21174068304230287</v>
      </c>
      <c r="Q194" s="519">
        <f t="shared" si="55"/>
        <v>9.5283307369036265</v>
      </c>
      <c r="R194" s="53"/>
      <c r="S194" s="1211">
        <f t="shared" si="56"/>
        <v>0.5716998442142176</v>
      </c>
      <c r="T194" s="1198">
        <f t="shared" si="57"/>
        <v>0.72675352029146922</v>
      </c>
      <c r="U194" s="1199">
        <f t="shared" si="57"/>
        <v>32.70390841311611</v>
      </c>
      <c r="V194" s="1199">
        <f t="shared" si="57"/>
        <v>0</v>
      </c>
      <c r="W194" s="1200">
        <f t="shared" si="57"/>
        <v>1.9622345047869667</v>
      </c>
    </row>
    <row r="195" spans="1:23">
      <c r="A195" s="123">
        <f>'Input data'!A129</f>
        <v>2029</v>
      </c>
      <c r="B195" s="1208">
        <f>'Recycling - Case 2'!AI109</f>
        <v>6437.6604656145792</v>
      </c>
      <c r="C195" s="1209">
        <f t="shared" si="63"/>
        <v>0.1</v>
      </c>
      <c r="D195" s="1209">
        <f t="shared" si="58"/>
        <v>0.9</v>
      </c>
      <c r="E195" s="53">
        <v>0</v>
      </c>
      <c r="F195" s="53">
        <v>0</v>
      </c>
      <c r="G195" s="776">
        <f t="shared" si="51"/>
        <v>0.51501283724916636</v>
      </c>
      <c r="H195" s="519">
        <f t="shared" si="52"/>
        <v>23.175577676212484</v>
      </c>
      <c r="I195" s="53"/>
      <c r="J195" s="776">
        <f t="shared" si="53"/>
        <v>1.3905346605727491</v>
      </c>
      <c r="K195" s="1210">
        <f>'Recycling - Case 3'!Z149</f>
        <v>2675.3394274160801</v>
      </c>
      <c r="L195" s="1209">
        <f t="shared" si="64"/>
        <v>0.1</v>
      </c>
      <c r="M195" s="1209">
        <f t="shared" si="59"/>
        <v>0.9</v>
      </c>
      <c r="N195" s="53">
        <f t="shared" si="60"/>
        <v>0</v>
      </c>
      <c r="O195" s="53">
        <f t="shared" si="60"/>
        <v>0</v>
      </c>
      <c r="P195" s="776">
        <f t="shared" si="54"/>
        <v>0.21402715419328644</v>
      </c>
      <c r="Q195" s="519">
        <f t="shared" si="55"/>
        <v>9.6312219386978892</v>
      </c>
      <c r="R195" s="53"/>
      <c r="S195" s="1211">
        <f t="shared" si="56"/>
        <v>0.57787331632187333</v>
      </c>
      <c r="T195" s="1198">
        <f t="shared" si="57"/>
        <v>0.72903999144245279</v>
      </c>
      <c r="U195" s="1199">
        <f t="shared" si="57"/>
        <v>32.806799614910375</v>
      </c>
      <c r="V195" s="1199">
        <f t="shared" si="57"/>
        <v>0</v>
      </c>
      <c r="W195" s="1200">
        <f t="shared" si="57"/>
        <v>1.9684079768946225</v>
      </c>
    </row>
    <row r="196" spans="1:23">
      <c r="A196" s="123">
        <f>'Input data'!A130</f>
        <v>2030</v>
      </c>
      <c r="B196" s="1208">
        <f>'Recycling - Case 2'!AI110</f>
        <v>6437.6604656145792</v>
      </c>
      <c r="C196" s="1209">
        <f t="shared" si="63"/>
        <v>0.1</v>
      </c>
      <c r="D196" s="1209">
        <f t="shared" si="58"/>
        <v>0.9</v>
      </c>
      <c r="E196" s="53">
        <v>0</v>
      </c>
      <c r="F196" s="53">
        <v>0</v>
      </c>
      <c r="G196" s="776">
        <f t="shared" si="51"/>
        <v>0.51501283724916636</v>
      </c>
      <c r="H196" s="519">
        <f t="shared" si="52"/>
        <v>23.175577676212484</v>
      </c>
      <c r="I196" s="53"/>
      <c r="J196" s="776">
        <f t="shared" si="53"/>
        <v>1.3905346605727491</v>
      </c>
      <c r="K196" s="1210">
        <f>'Recycling - Case 3'!Z150</f>
        <v>2709.795875944686</v>
      </c>
      <c r="L196" s="1209">
        <f t="shared" si="64"/>
        <v>0.1</v>
      </c>
      <c r="M196" s="1209">
        <f t="shared" si="59"/>
        <v>0.9</v>
      </c>
      <c r="N196" s="53">
        <f t="shared" si="60"/>
        <v>0</v>
      </c>
      <c r="O196" s="53">
        <f t="shared" si="60"/>
        <v>0</v>
      </c>
      <c r="P196" s="776">
        <f t="shared" si="54"/>
        <v>0.21678367007557492</v>
      </c>
      <c r="Q196" s="519">
        <f t="shared" si="55"/>
        <v>9.7552651534008685</v>
      </c>
      <c r="R196" s="53"/>
      <c r="S196" s="1211">
        <f t="shared" si="56"/>
        <v>0.58531590920405219</v>
      </c>
      <c r="T196" s="1198">
        <f t="shared" si="57"/>
        <v>0.73179650732474122</v>
      </c>
      <c r="U196" s="1199">
        <f t="shared" si="57"/>
        <v>32.930842829613354</v>
      </c>
      <c r="V196" s="1199">
        <f t="shared" si="57"/>
        <v>0</v>
      </c>
      <c r="W196" s="1200">
        <f t="shared" si="57"/>
        <v>1.9758505697768012</v>
      </c>
    </row>
    <row r="197" spans="1:23">
      <c r="A197" s="123">
        <f>'Input data'!A131</f>
        <v>2031</v>
      </c>
      <c r="B197" s="1208">
        <f>'Recycling - Case 2'!AI111</f>
        <v>6437.6604656145792</v>
      </c>
      <c r="C197" s="1209">
        <f t="shared" si="63"/>
        <v>0.1</v>
      </c>
      <c r="D197" s="1209">
        <f t="shared" si="58"/>
        <v>0.9</v>
      </c>
      <c r="E197" s="53">
        <v>0</v>
      </c>
      <c r="F197" s="53">
        <v>0</v>
      </c>
      <c r="G197" s="776">
        <f t="shared" si="51"/>
        <v>0.51501283724916636</v>
      </c>
      <c r="H197" s="519">
        <f t="shared" si="52"/>
        <v>23.175577676212484</v>
      </c>
      <c r="I197" s="53"/>
      <c r="J197" s="776">
        <f t="shared" si="53"/>
        <v>1.3905346605727491</v>
      </c>
      <c r="K197" s="1210">
        <f>'Recycling - Case 3'!Z151</f>
        <v>2757.7445965802553</v>
      </c>
      <c r="L197" s="1209">
        <f t="shared" si="64"/>
        <v>0.1</v>
      </c>
      <c r="M197" s="1209">
        <f t="shared" si="59"/>
        <v>0.9</v>
      </c>
      <c r="N197" s="53">
        <f t="shared" si="60"/>
        <v>0</v>
      </c>
      <c r="O197" s="53">
        <f t="shared" si="60"/>
        <v>0</v>
      </c>
      <c r="P197" s="776">
        <f t="shared" si="54"/>
        <v>0.2206195677264205</v>
      </c>
      <c r="Q197" s="519">
        <f t="shared" si="55"/>
        <v>9.92788054768892</v>
      </c>
      <c r="R197" s="53"/>
      <c r="S197" s="1211">
        <f t="shared" si="56"/>
        <v>0.5956728328613351</v>
      </c>
      <c r="T197" s="1198">
        <f t="shared" si="57"/>
        <v>0.73563240497558691</v>
      </c>
      <c r="U197" s="1199">
        <f t="shared" si="57"/>
        <v>33.103458223901406</v>
      </c>
      <c r="V197" s="1199">
        <f t="shared" si="57"/>
        <v>0</v>
      </c>
      <c r="W197" s="1200">
        <f t="shared" si="57"/>
        <v>1.9862074934340841</v>
      </c>
    </row>
    <row r="198" spans="1:23">
      <c r="A198" s="123">
        <f>'Input data'!A132</f>
        <v>2032</v>
      </c>
      <c r="B198" s="1208">
        <f>'Recycling - Case 2'!AI112</f>
        <v>6437.6604656145792</v>
      </c>
      <c r="C198" s="1209">
        <f t="shared" si="63"/>
        <v>0.1</v>
      </c>
      <c r="D198" s="1209">
        <f t="shared" si="58"/>
        <v>0.9</v>
      </c>
      <c r="E198" s="53">
        <v>0</v>
      </c>
      <c r="F198" s="53">
        <v>0</v>
      </c>
      <c r="G198" s="776">
        <f t="shared" si="51"/>
        <v>0.51501283724916636</v>
      </c>
      <c r="H198" s="519">
        <f t="shared" si="52"/>
        <v>23.175577676212484</v>
      </c>
      <c r="I198" s="53"/>
      <c r="J198" s="776">
        <f t="shared" si="53"/>
        <v>1.3905346605727491</v>
      </c>
      <c r="K198" s="1210">
        <f>'Recycling - Case 3'!Z152</f>
        <v>2802.0956343307598</v>
      </c>
      <c r="L198" s="1209">
        <f t="shared" si="64"/>
        <v>0.1</v>
      </c>
      <c r="M198" s="1209">
        <f t="shared" si="59"/>
        <v>0.9</v>
      </c>
      <c r="N198" s="53">
        <f t="shared" si="60"/>
        <v>0</v>
      </c>
      <c r="O198" s="53">
        <f t="shared" si="60"/>
        <v>0</v>
      </c>
      <c r="P198" s="776">
        <f t="shared" si="54"/>
        <v>0.22416765074646083</v>
      </c>
      <c r="Q198" s="519">
        <f t="shared" si="55"/>
        <v>10.087544283590736</v>
      </c>
      <c r="R198" s="53"/>
      <c r="S198" s="1211">
        <f t="shared" si="56"/>
        <v>0.60525265701544417</v>
      </c>
      <c r="T198" s="1198">
        <f t="shared" si="57"/>
        <v>0.73918048799562719</v>
      </c>
      <c r="U198" s="1199">
        <f t="shared" si="57"/>
        <v>33.263121959803222</v>
      </c>
      <c r="V198" s="1199">
        <f t="shared" si="57"/>
        <v>0</v>
      </c>
      <c r="W198" s="1200">
        <f t="shared" si="57"/>
        <v>1.9957873175881933</v>
      </c>
    </row>
    <row r="199" spans="1:23">
      <c r="A199" s="123">
        <f>'Input data'!A133</f>
        <v>2033</v>
      </c>
      <c r="B199" s="1208">
        <f>'Recycling - Case 2'!AI113</f>
        <v>6437.6604656145792</v>
      </c>
      <c r="C199" s="1209">
        <f t="shared" si="63"/>
        <v>0.1</v>
      </c>
      <c r="D199" s="1209">
        <f t="shared" si="58"/>
        <v>0.9</v>
      </c>
      <c r="E199" s="53">
        <v>0</v>
      </c>
      <c r="F199" s="53">
        <v>0</v>
      </c>
      <c r="G199" s="776">
        <f t="shared" si="51"/>
        <v>0.51501283724916636</v>
      </c>
      <c r="H199" s="519">
        <f t="shared" si="52"/>
        <v>23.175577676212484</v>
      </c>
      <c r="I199" s="53"/>
      <c r="J199" s="776">
        <f t="shared" si="53"/>
        <v>1.3905346605727491</v>
      </c>
      <c r="K199" s="1210">
        <f>'Recycling - Case 3'!Z153</f>
        <v>2854.5920843191443</v>
      </c>
      <c r="L199" s="1209">
        <f t="shared" si="64"/>
        <v>0.1</v>
      </c>
      <c r="M199" s="1209">
        <f t="shared" si="59"/>
        <v>0.9</v>
      </c>
      <c r="N199" s="53">
        <f t="shared" si="60"/>
        <v>0</v>
      </c>
      <c r="O199" s="53">
        <f t="shared" si="60"/>
        <v>0</v>
      </c>
      <c r="P199" s="776">
        <f t="shared" si="54"/>
        <v>0.2283673667455316</v>
      </c>
      <c r="Q199" s="519">
        <f t="shared" si="55"/>
        <v>10.27653150354892</v>
      </c>
      <c r="R199" s="53"/>
      <c r="S199" s="1211">
        <f t="shared" si="56"/>
        <v>0.61659189021293515</v>
      </c>
      <c r="T199" s="1198">
        <f t="shared" si="57"/>
        <v>0.74338020399469795</v>
      </c>
      <c r="U199" s="1199">
        <f t="shared" si="57"/>
        <v>33.452109179761408</v>
      </c>
      <c r="V199" s="1199">
        <f t="shared" si="57"/>
        <v>0</v>
      </c>
      <c r="W199" s="1200">
        <f t="shared" si="57"/>
        <v>2.0071265507856841</v>
      </c>
    </row>
    <row r="200" spans="1:23">
      <c r="A200" s="123">
        <f>'Input data'!A134</f>
        <v>2034</v>
      </c>
      <c r="B200" s="1208">
        <f>'Recycling - Case 2'!AI114</f>
        <v>6437.6604656145792</v>
      </c>
      <c r="C200" s="1209">
        <f t="shared" si="63"/>
        <v>0.1</v>
      </c>
      <c r="D200" s="1209">
        <f t="shared" si="58"/>
        <v>0.9</v>
      </c>
      <c r="E200" s="53">
        <v>0</v>
      </c>
      <c r="F200" s="53">
        <v>0</v>
      </c>
      <c r="G200" s="776">
        <f t="shared" si="51"/>
        <v>0.51501283724916636</v>
      </c>
      <c r="H200" s="519">
        <f t="shared" si="52"/>
        <v>23.175577676212484</v>
      </c>
      <c r="I200" s="53"/>
      <c r="J200" s="776">
        <f t="shared" si="53"/>
        <v>1.3905346605727491</v>
      </c>
      <c r="K200" s="1210">
        <f>'Recycling - Case 3'!Z154</f>
        <v>2920.4880245072482</v>
      </c>
      <c r="L200" s="1209">
        <f t="shared" si="64"/>
        <v>0.1</v>
      </c>
      <c r="M200" s="1209">
        <f t="shared" si="59"/>
        <v>0.9</v>
      </c>
      <c r="N200" s="53">
        <f t="shared" si="60"/>
        <v>0</v>
      </c>
      <c r="O200" s="53">
        <f t="shared" si="60"/>
        <v>0</v>
      </c>
      <c r="P200" s="776">
        <f t="shared" si="54"/>
        <v>0.23363904196057991</v>
      </c>
      <c r="Q200" s="519">
        <f t="shared" si="55"/>
        <v>10.513756888226093</v>
      </c>
      <c r="R200" s="53"/>
      <c r="S200" s="1211">
        <f t="shared" si="56"/>
        <v>0.63082541329356556</v>
      </c>
      <c r="T200" s="1198">
        <f t="shared" si="57"/>
        <v>0.7486518792097463</v>
      </c>
      <c r="U200" s="1199">
        <f t="shared" si="57"/>
        <v>33.689334564438575</v>
      </c>
      <c r="V200" s="1199">
        <f t="shared" si="57"/>
        <v>0</v>
      </c>
      <c r="W200" s="1200">
        <f t="shared" si="57"/>
        <v>2.0213600738663144</v>
      </c>
    </row>
    <row r="201" spans="1:23">
      <c r="A201" s="123">
        <f>'Input data'!A135</f>
        <v>2035</v>
      </c>
      <c r="B201" s="1208">
        <f>'Recycling - Case 2'!AI115</f>
        <v>6437.6604656145792</v>
      </c>
      <c r="C201" s="1209">
        <f t="shared" si="63"/>
        <v>0.1</v>
      </c>
      <c r="D201" s="1209">
        <f t="shared" si="58"/>
        <v>0.9</v>
      </c>
      <c r="E201" s="53">
        <v>0</v>
      </c>
      <c r="F201" s="53">
        <v>0</v>
      </c>
      <c r="G201" s="776">
        <f t="shared" si="51"/>
        <v>0.51501283724916636</v>
      </c>
      <c r="H201" s="519">
        <f t="shared" si="52"/>
        <v>23.175577676212484</v>
      </c>
      <c r="I201" s="53"/>
      <c r="J201" s="776">
        <f t="shared" si="53"/>
        <v>1.3905346605727491</v>
      </c>
      <c r="K201" s="1210">
        <f>'Recycling - Case 3'!Z155</f>
        <v>2974.4882959863826</v>
      </c>
      <c r="L201" s="1209">
        <f t="shared" si="64"/>
        <v>0.1</v>
      </c>
      <c r="M201" s="1209">
        <f t="shared" si="59"/>
        <v>0.9</v>
      </c>
      <c r="N201" s="53">
        <f t="shared" ref="N201:O216" si="65">N199</f>
        <v>0</v>
      </c>
      <c r="O201" s="53">
        <f t="shared" si="65"/>
        <v>0</v>
      </c>
      <c r="P201" s="776">
        <f t="shared" si="54"/>
        <v>0.23795906367891068</v>
      </c>
      <c r="Q201" s="519">
        <f t="shared" si="55"/>
        <v>10.708157865550978</v>
      </c>
      <c r="R201" s="53"/>
      <c r="S201" s="1211">
        <f t="shared" si="56"/>
        <v>0.64248947193305872</v>
      </c>
      <c r="T201" s="1198">
        <f t="shared" si="57"/>
        <v>0.75297190092807709</v>
      </c>
      <c r="U201" s="1199">
        <f t="shared" si="57"/>
        <v>33.883735541763464</v>
      </c>
      <c r="V201" s="1199">
        <f t="shared" si="57"/>
        <v>0</v>
      </c>
      <c r="W201" s="1200">
        <f t="shared" si="57"/>
        <v>2.0330241325058078</v>
      </c>
    </row>
    <row r="202" spans="1:23">
      <c r="A202" s="123">
        <f>'Input data'!A136</f>
        <v>2036</v>
      </c>
      <c r="B202" s="1208">
        <f>'Recycling - Case 2'!AI116</f>
        <v>6437.6604656145792</v>
      </c>
      <c r="C202" s="1209">
        <f t="shared" si="63"/>
        <v>0.1</v>
      </c>
      <c r="D202" s="1209">
        <f t="shared" si="58"/>
        <v>0.9</v>
      </c>
      <c r="E202" s="53">
        <v>0</v>
      </c>
      <c r="F202" s="53">
        <v>0</v>
      </c>
      <c r="G202" s="776">
        <f t="shared" si="51"/>
        <v>0.51501283724916636</v>
      </c>
      <c r="H202" s="519">
        <f t="shared" si="52"/>
        <v>23.175577676212484</v>
      </c>
      <c r="I202" s="53"/>
      <c r="J202" s="776">
        <f t="shared" si="53"/>
        <v>1.3905346605727491</v>
      </c>
      <c r="K202" s="1210">
        <f>'Recycling - Case 3'!Z156</f>
        <v>3028.9302231111574</v>
      </c>
      <c r="L202" s="1209">
        <f t="shared" si="64"/>
        <v>0.1</v>
      </c>
      <c r="M202" s="1209">
        <f t="shared" si="59"/>
        <v>0.9</v>
      </c>
      <c r="N202" s="53">
        <f t="shared" si="65"/>
        <v>0</v>
      </c>
      <c r="O202" s="53">
        <f t="shared" si="65"/>
        <v>0</v>
      </c>
      <c r="P202" s="776">
        <f t="shared" si="54"/>
        <v>0.24231441784889265</v>
      </c>
      <c r="Q202" s="519">
        <f t="shared" si="55"/>
        <v>10.904148803200167</v>
      </c>
      <c r="R202" s="53"/>
      <c r="S202" s="1211">
        <f t="shared" si="56"/>
        <v>0.65424892819200997</v>
      </c>
      <c r="T202" s="1198">
        <f t="shared" si="57"/>
        <v>0.75732725509805898</v>
      </c>
      <c r="U202" s="1199">
        <f t="shared" si="57"/>
        <v>34.079726479412649</v>
      </c>
      <c r="V202" s="1199">
        <f t="shared" si="57"/>
        <v>0</v>
      </c>
      <c r="W202" s="1200">
        <f t="shared" si="57"/>
        <v>2.044783588764759</v>
      </c>
    </row>
    <row r="203" spans="1:23">
      <c r="A203" s="123">
        <f>'Input data'!A137</f>
        <v>2037</v>
      </c>
      <c r="B203" s="1208">
        <f>'Recycling - Case 2'!AI117</f>
        <v>6437.6604656145792</v>
      </c>
      <c r="C203" s="1209">
        <f t="shared" si="63"/>
        <v>0.1</v>
      </c>
      <c r="D203" s="1209">
        <f t="shared" si="58"/>
        <v>0.9</v>
      </c>
      <c r="E203" s="53">
        <v>0</v>
      </c>
      <c r="F203" s="53">
        <v>0</v>
      </c>
      <c r="G203" s="776">
        <f t="shared" si="51"/>
        <v>0.51501283724916636</v>
      </c>
      <c r="H203" s="519">
        <f t="shared" si="52"/>
        <v>23.175577676212484</v>
      </c>
      <c r="I203" s="53"/>
      <c r="J203" s="776">
        <f t="shared" si="53"/>
        <v>1.3905346605727491</v>
      </c>
      <c r="K203" s="1210">
        <f>'Recycling - Case 3'!Z157</f>
        <v>3094.3681649355021</v>
      </c>
      <c r="L203" s="1209">
        <f t="shared" si="64"/>
        <v>0.1</v>
      </c>
      <c r="M203" s="1209">
        <f t="shared" si="59"/>
        <v>0.9</v>
      </c>
      <c r="N203" s="53">
        <f t="shared" si="65"/>
        <v>0</v>
      </c>
      <c r="O203" s="53">
        <f t="shared" si="65"/>
        <v>0</v>
      </c>
      <c r="P203" s="776">
        <f t="shared" si="54"/>
        <v>0.24754945319484023</v>
      </c>
      <c r="Q203" s="519">
        <f t="shared" si="55"/>
        <v>11.139725393767808</v>
      </c>
      <c r="R203" s="53"/>
      <c r="S203" s="1211">
        <f t="shared" si="56"/>
        <v>0.66838352362606845</v>
      </c>
      <c r="T203" s="1198">
        <f t="shared" si="57"/>
        <v>0.76256229044400659</v>
      </c>
      <c r="U203" s="1199">
        <f t="shared" si="57"/>
        <v>34.315303069980288</v>
      </c>
      <c r="V203" s="1199">
        <f t="shared" si="57"/>
        <v>0</v>
      </c>
      <c r="W203" s="1200">
        <f t="shared" si="57"/>
        <v>2.0589181841988173</v>
      </c>
    </row>
    <row r="204" spans="1:23">
      <c r="A204" s="123">
        <f>'Input data'!A138</f>
        <v>2038</v>
      </c>
      <c r="B204" s="1208">
        <f>'Recycling - Case 2'!AI118</f>
        <v>6437.6604656145792</v>
      </c>
      <c r="C204" s="1209">
        <f t="shared" si="63"/>
        <v>0.1</v>
      </c>
      <c r="D204" s="1209">
        <f t="shared" si="58"/>
        <v>0.9</v>
      </c>
      <c r="E204" s="53">
        <v>0</v>
      </c>
      <c r="F204" s="53">
        <v>0</v>
      </c>
      <c r="G204" s="776">
        <f t="shared" si="51"/>
        <v>0.51501283724916636</v>
      </c>
      <c r="H204" s="519">
        <f t="shared" si="52"/>
        <v>23.175577676212484</v>
      </c>
      <c r="I204" s="53"/>
      <c r="J204" s="776">
        <f t="shared" si="53"/>
        <v>1.3905346605727491</v>
      </c>
      <c r="K204" s="1210">
        <f>'Recycling - Case 3'!Z158</f>
        <v>3164.033992993629</v>
      </c>
      <c r="L204" s="1209">
        <f t="shared" si="64"/>
        <v>0.1</v>
      </c>
      <c r="M204" s="1209">
        <f t="shared" si="59"/>
        <v>0.9</v>
      </c>
      <c r="N204" s="53">
        <f t="shared" si="65"/>
        <v>0</v>
      </c>
      <c r="O204" s="53">
        <f t="shared" si="65"/>
        <v>0</v>
      </c>
      <c r="P204" s="776">
        <f t="shared" si="54"/>
        <v>0.25312271943949038</v>
      </c>
      <c r="Q204" s="519">
        <f t="shared" si="55"/>
        <v>11.390522374777065</v>
      </c>
      <c r="R204" s="53"/>
      <c r="S204" s="1211">
        <f t="shared" si="56"/>
        <v>0.68343134248662385</v>
      </c>
      <c r="T204" s="1198">
        <f t="shared" si="57"/>
        <v>0.76813555668865674</v>
      </c>
      <c r="U204" s="1199">
        <f t="shared" si="57"/>
        <v>34.566100050989547</v>
      </c>
      <c r="V204" s="1199">
        <f t="shared" si="57"/>
        <v>0</v>
      </c>
      <c r="W204" s="1200">
        <f t="shared" si="57"/>
        <v>2.0739660030593727</v>
      </c>
    </row>
    <row r="205" spans="1:23">
      <c r="A205" s="123">
        <f>'Input data'!A139</f>
        <v>2039</v>
      </c>
      <c r="B205" s="1208">
        <f>'Recycling - Case 2'!AI119</f>
        <v>6437.6604656145792</v>
      </c>
      <c r="C205" s="1209">
        <f t="shared" si="63"/>
        <v>0.1</v>
      </c>
      <c r="D205" s="1209">
        <f t="shared" si="58"/>
        <v>0.9</v>
      </c>
      <c r="E205" s="53">
        <v>0</v>
      </c>
      <c r="F205" s="53">
        <v>0</v>
      </c>
      <c r="G205" s="776">
        <f t="shared" si="51"/>
        <v>0.51501283724916636</v>
      </c>
      <c r="H205" s="519">
        <f t="shared" si="52"/>
        <v>23.175577676212484</v>
      </c>
      <c r="I205" s="53"/>
      <c r="J205" s="776">
        <f t="shared" si="53"/>
        <v>1.3905346605727491</v>
      </c>
      <c r="K205" s="1210">
        <f>'Recycling - Case 3'!Z159</f>
        <v>3238.0089949574353</v>
      </c>
      <c r="L205" s="1209">
        <f t="shared" si="64"/>
        <v>0.1</v>
      </c>
      <c r="M205" s="1209">
        <f t="shared" si="59"/>
        <v>0.9</v>
      </c>
      <c r="N205" s="53">
        <f t="shared" si="65"/>
        <v>0</v>
      </c>
      <c r="O205" s="53">
        <f t="shared" si="65"/>
        <v>0</v>
      </c>
      <c r="P205" s="776">
        <f t="shared" si="54"/>
        <v>0.25904071959659491</v>
      </c>
      <c r="Q205" s="519">
        <f t="shared" si="55"/>
        <v>11.656832381846767</v>
      </c>
      <c r="R205" s="53"/>
      <c r="S205" s="1211">
        <f t="shared" si="56"/>
        <v>0.69940994291080605</v>
      </c>
      <c r="T205" s="1198">
        <f t="shared" si="57"/>
        <v>0.77405355684576127</v>
      </c>
      <c r="U205" s="1199">
        <f t="shared" si="57"/>
        <v>34.832410058059253</v>
      </c>
      <c r="V205" s="1199">
        <f t="shared" si="57"/>
        <v>0</v>
      </c>
      <c r="W205" s="1200">
        <f t="shared" si="57"/>
        <v>2.0899446034835552</v>
      </c>
    </row>
    <row r="206" spans="1:23">
      <c r="A206" s="123">
        <f>'Input data'!A140</f>
        <v>2040</v>
      </c>
      <c r="B206" s="1208">
        <f>'Recycling - Case 2'!AI120</f>
        <v>6437.6604656145792</v>
      </c>
      <c r="C206" s="1209">
        <f t="shared" si="63"/>
        <v>0.1</v>
      </c>
      <c r="D206" s="1209">
        <f t="shared" si="58"/>
        <v>0.9</v>
      </c>
      <c r="E206" s="53">
        <v>0</v>
      </c>
      <c r="F206" s="53">
        <v>0</v>
      </c>
      <c r="G206" s="776">
        <f t="shared" si="51"/>
        <v>0.51501283724916636</v>
      </c>
      <c r="H206" s="519">
        <f t="shared" si="52"/>
        <v>23.175577676212484</v>
      </c>
      <c r="I206" s="53"/>
      <c r="J206" s="776">
        <f t="shared" si="53"/>
        <v>1.3905346605727491</v>
      </c>
      <c r="K206" s="1210">
        <f>'Recycling - Case 3'!Z160</f>
        <v>3315.2894651604388</v>
      </c>
      <c r="L206" s="1209">
        <f t="shared" si="64"/>
        <v>0.1</v>
      </c>
      <c r="M206" s="1209">
        <f t="shared" si="59"/>
        <v>0.9</v>
      </c>
      <c r="N206" s="53">
        <f t="shared" si="65"/>
        <v>0</v>
      </c>
      <c r="O206" s="53">
        <f t="shared" si="65"/>
        <v>0</v>
      </c>
      <c r="P206" s="776">
        <f t="shared" si="54"/>
        <v>0.26522315721283513</v>
      </c>
      <c r="Q206" s="519">
        <f t="shared" si="55"/>
        <v>11.935042074577579</v>
      </c>
      <c r="R206" s="53"/>
      <c r="S206" s="1211">
        <f t="shared" si="56"/>
        <v>0.71610252447465472</v>
      </c>
      <c r="T206" s="1198">
        <f t="shared" si="57"/>
        <v>0.78023599446200143</v>
      </c>
      <c r="U206" s="1199">
        <f t="shared" si="57"/>
        <v>35.110619750790065</v>
      </c>
      <c r="V206" s="1199">
        <f t="shared" si="57"/>
        <v>0</v>
      </c>
      <c r="W206" s="1200">
        <f t="shared" si="57"/>
        <v>2.1066371850474037</v>
      </c>
    </row>
    <row r="207" spans="1:23">
      <c r="A207" s="123">
        <f>'Input data'!A141</f>
        <v>2041</v>
      </c>
      <c r="B207" s="1208">
        <f>'Recycling - Case 2'!AI121</f>
        <v>6437.6604656145792</v>
      </c>
      <c r="C207" s="1209">
        <f t="shared" si="63"/>
        <v>0.1</v>
      </c>
      <c r="D207" s="1209">
        <f t="shared" si="58"/>
        <v>0.9</v>
      </c>
      <c r="E207" s="53">
        <v>0</v>
      </c>
      <c r="F207" s="53">
        <v>0</v>
      </c>
      <c r="G207" s="776">
        <f t="shared" si="51"/>
        <v>0.51501283724916636</v>
      </c>
      <c r="H207" s="519">
        <f t="shared" si="52"/>
        <v>23.175577676212484</v>
      </c>
      <c r="I207" s="53"/>
      <c r="J207" s="776">
        <f t="shared" si="53"/>
        <v>1.3905346605727491</v>
      </c>
      <c r="K207" s="1210">
        <f>'Recycling - Case 3'!Z161</f>
        <v>3395.1557266364357</v>
      </c>
      <c r="L207" s="1209">
        <f t="shared" si="64"/>
        <v>0.1</v>
      </c>
      <c r="M207" s="1209">
        <f t="shared" si="59"/>
        <v>0.9</v>
      </c>
      <c r="N207" s="53">
        <f t="shared" si="65"/>
        <v>0</v>
      </c>
      <c r="O207" s="53">
        <f t="shared" si="65"/>
        <v>0</v>
      </c>
      <c r="P207" s="776">
        <f t="shared" si="54"/>
        <v>0.27161245813091489</v>
      </c>
      <c r="Q207" s="519">
        <f t="shared" si="55"/>
        <v>12.222560615891169</v>
      </c>
      <c r="R207" s="53"/>
      <c r="S207" s="1211">
        <f t="shared" si="56"/>
        <v>0.73335363695347011</v>
      </c>
      <c r="T207" s="1198">
        <f t="shared" si="57"/>
        <v>0.78662529538008119</v>
      </c>
      <c r="U207" s="1199">
        <f t="shared" si="57"/>
        <v>35.398138292103653</v>
      </c>
      <c r="V207" s="1199">
        <f t="shared" si="57"/>
        <v>0</v>
      </c>
      <c r="W207" s="1200">
        <f t="shared" si="57"/>
        <v>2.1238882975262192</v>
      </c>
    </row>
    <row r="208" spans="1:23">
      <c r="A208" s="123">
        <f>'Input data'!A142</f>
        <v>2042</v>
      </c>
      <c r="B208" s="1208">
        <f>'Recycling - Case 2'!AI122</f>
        <v>6437.6604656145792</v>
      </c>
      <c r="C208" s="1209">
        <f t="shared" si="63"/>
        <v>0.1</v>
      </c>
      <c r="D208" s="1209">
        <f t="shared" si="58"/>
        <v>0.9</v>
      </c>
      <c r="E208" s="53">
        <v>0</v>
      </c>
      <c r="F208" s="53">
        <v>0</v>
      </c>
      <c r="G208" s="776">
        <f t="shared" si="51"/>
        <v>0.51501283724916636</v>
      </c>
      <c r="H208" s="519">
        <f t="shared" si="52"/>
        <v>23.175577676212484</v>
      </c>
      <c r="I208" s="53"/>
      <c r="J208" s="776">
        <f t="shared" si="53"/>
        <v>1.3905346605727491</v>
      </c>
      <c r="K208" s="1210">
        <f>'Recycling - Case 3'!Z162</f>
        <v>3470.1008403756309</v>
      </c>
      <c r="L208" s="1209">
        <f t="shared" si="64"/>
        <v>0.1</v>
      </c>
      <c r="M208" s="1209">
        <f t="shared" si="59"/>
        <v>0.9</v>
      </c>
      <c r="N208" s="53">
        <f t="shared" si="65"/>
        <v>0</v>
      </c>
      <c r="O208" s="53">
        <f t="shared" si="65"/>
        <v>0</v>
      </c>
      <c r="P208" s="776">
        <f t="shared" si="54"/>
        <v>0.27760806723005055</v>
      </c>
      <c r="Q208" s="519">
        <f t="shared" si="55"/>
        <v>12.492363025352272</v>
      </c>
      <c r="R208" s="53"/>
      <c r="S208" s="1211">
        <f t="shared" si="56"/>
        <v>0.74954178152113626</v>
      </c>
      <c r="T208" s="1198">
        <f t="shared" si="57"/>
        <v>0.79262090447921696</v>
      </c>
      <c r="U208" s="1199">
        <f t="shared" si="57"/>
        <v>35.66794070156476</v>
      </c>
      <c r="V208" s="1199">
        <f t="shared" si="57"/>
        <v>0</v>
      </c>
      <c r="W208" s="1200">
        <f t="shared" si="57"/>
        <v>2.1400764420938856</v>
      </c>
    </row>
    <row r="209" spans="1:23">
      <c r="A209" s="123">
        <f>'Input data'!A143</f>
        <v>2043</v>
      </c>
      <c r="B209" s="1208">
        <f>'Recycling - Case 2'!AI123</f>
        <v>6437.6604656145792</v>
      </c>
      <c r="C209" s="1209">
        <f t="shared" si="63"/>
        <v>0.1</v>
      </c>
      <c r="D209" s="1209">
        <f t="shared" si="58"/>
        <v>0.9</v>
      </c>
      <c r="E209" s="53">
        <v>0</v>
      </c>
      <c r="F209" s="53">
        <v>0</v>
      </c>
      <c r="G209" s="776">
        <f t="shared" si="51"/>
        <v>0.51501283724916636</v>
      </c>
      <c r="H209" s="519">
        <f t="shared" si="52"/>
        <v>23.175577676212484</v>
      </c>
      <c r="I209" s="53"/>
      <c r="J209" s="776">
        <f t="shared" si="53"/>
        <v>1.3905346605727491</v>
      </c>
      <c r="K209" s="1210">
        <f>'Recycling - Case 3'!Z163</f>
        <v>3546.6332077594516</v>
      </c>
      <c r="L209" s="1209">
        <f t="shared" si="64"/>
        <v>0.1</v>
      </c>
      <c r="M209" s="1209">
        <f t="shared" si="59"/>
        <v>0.9</v>
      </c>
      <c r="N209" s="53">
        <f t="shared" si="65"/>
        <v>0</v>
      </c>
      <c r="O209" s="53">
        <f t="shared" si="65"/>
        <v>0</v>
      </c>
      <c r="P209" s="776">
        <f t="shared" si="54"/>
        <v>0.28373065662075619</v>
      </c>
      <c r="Q209" s="519">
        <f t="shared" si="55"/>
        <v>12.767879547934026</v>
      </c>
      <c r="R209" s="53"/>
      <c r="S209" s="1211">
        <f t="shared" si="56"/>
        <v>0.76607277287604159</v>
      </c>
      <c r="T209" s="1198">
        <f t="shared" si="57"/>
        <v>0.79874349386992249</v>
      </c>
      <c r="U209" s="1199">
        <f t="shared" si="57"/>
        <v>35.943457224146513</v>
      </c>
      <c r="V209" s="1199">
        <f t="shared" si="57"/>
        <v>0</v>
      </c>
      <c r="W209" s="1200">
        <f t="shared" si="57"/>
        <v>2.1566074334487908</v>
      </c>
    </row>
    <row r="210" spans="1:23">
      <c r="A210" s="123">
        <f>'Input data'!A144</f>
        <v>2044</v>
      </c>
      <c r="B210" s="1208">
        <f>'Recycling - Case 2'!AI124</f>
        <v>6437.6604656145792</v>
      </c>
      <c r="C210" s="1209">
        <f t="shared" si="63"/>
        <v>0.1</v>
      </c>
      <c r="D210" s="1209">
        <f t="shared" si="58"/>
        <v>0.9</v>
      </c>
      <c r="E210" s="53">
        <v>0</v>
      </c>
      <c r="F210" s="53">
        <v>0</v>
      </c>
      <c r="G210" s="776">
        <f t="shared" si="51"/>
        <v>0.51501283724916636</v>
      </c>
      <c r="H210" s="519">
        <f t="shared" si="52"/>
        <v>23.175577676212484</v>
      </c>
      <c r="I210" s="53"/>
      <c r="J210" s="776">
        <f t="shared" si="53"/>
        <v>1.3905346605727491</v>
      </c>
      <c r="K210" s="1210">
        <f>'Recycling - Case 3'!Z164</f>
        <v>3624.8360532382567</v>
      </c>
      <c r="L210" s="1209">
        <f t="shared" si="64"/>
        <v>0.1</v>
      </c>
      <c r="M210" s="1209">
        <f t="shared" si="59"/>
        <v>0.9</v>
      </c>
      <c r="N210" s="53">
        <f t="shared" si="65"/>
        <v>0</v>
      </c>
      <c r="O210" s="53">
        <f t="shared" si="65"/>
        <v>0</v>
      </c>
      <c r="P210" s="776">
        <f t="shared" si="54"/>
        <v>0.28998688425906061</v>
      </c>
      <c r="Q210" s="519">
        <f t="shared" si="55"/>
        <v>13.049409791657725</v>
      </c>
      <c r="R210" s="53"/>
      <c r="S210" s="1211">
        <f t="shared" si="56"/>
        <v>0.7829645874994634</v>
      </c>
      <c r="T210" s="1198">
        <f t="shared" si="57"/>
        <v>0.80499972150822696</v>
      </c>
      <c r="U210" s="1199">
        <f t="shared" si="57"/>
        <v>36.224987467870207</v>
      </c>
      <c r="V210" s="1199">
        <f t="shared" si="57"/>
        <v>0</v>
      </c>
      <c r="W210" s="1200">
        <f t="shared" si="57"/>
        <v>2.1734992480722126</v>
      </c>
    </row>
    <row r="211" spans="1:23">
      <c r="A211" s="123">
        <f>'Input data'!A145</f>
        <v>2045</v>
      </c>
      <c r="B211" s="1208">
        <f>'Recycling - Case 2'!AI125</f>
        <v>6437.6604656145792</v>
      </c>
      <c r="C211" s="1209">
        <f t="shared" si="63"/>
        <v>0.1</v>
      </c>
      <c r="D211" s="1209">
        <f t="shared" si="58"/>
        <v>0.9</v>
      </c>
      <c r="E211" s="53">
        <v>0</v>
      </c>
      <c r="F211" s="53">
        <v>0</v>
      </c>
      <c r="G211" s="776">
        <f t="shared" si="51"/>
        <v>0.51501283724916636</v>
      </c>
      <c r="H211" s="519">
        <f t="shared" si="52"/>
        <v>23.175577676212484</v>
      </c>
      <c r="I211" s="53"/>
      <c r="J211" s="776">
        <f t="shared" si="53"/>
        <v>1.3905346605727491</v>
      </c>
      <c r="K211" s="1210">
        <f>'Recycling - Case 3'!Z165</f>
        <v>3706.6083970608752</v>
      </c>
      <c r="L211" s="1209">
        <f t="shared" si="64"/>
        <v>0.1</v>
      </c>
      <c r="M211" s="1209">
        <f t="shared" si="59"/>
        <v>0.9</v>
      </c>
      <c r="N211" s="53">
        <f t="shared" si="65"/>
        <v>0</v>
      </c>
      <c r="O211" s="53">
        <f t="shared" si="65"/>
        <v>0</v>
      </c>
      <c r="P211" s="776">
        <f t="shared" si="54"/>
        <v>0.29652867176487008</v>
      </c>
      <c r="Q211" s="519">
        <f t="shared" si="55"/>
        <v>13.343790229419152</v>
      </c>
      <c r="R211" s="53"/>
      <c r="S211" s="1211">
        <f t="shared" si="56"/>
        <v>0.80062741376514912</v>
      </c>
      <c r="T211" s="1198">
        <f t="shared" si="57"/>
        <v>0.81154150901403643</v>
      </c>
      <c r="U211" s="1199">
        <f t="shared" si="57"/>
        <v>36.51936790563164</v>
      </c>
      <c r="V211" s="1199">
        <f t="shared" si="57"/>
        <v>0</v>
      </c>
      <c r="W211" s="1200">
        <f t="shared" si="57"/>
        <v>2.1911620743378983</v>
      </c>
    </row>
    <row r="212" spans="1:23">
      <c r="A212" s="123">
        <f>'Input data'!A146</f>
        <v>2046</v>
      </c>
      <c r="B212" s="1208">
        <f>'Recycling - Case 2'!AI126</f>
        <v>6437.6604656145792</v>
      </c>
      <c r="C212" s="1209">
        <f t="shared" si="63"/>
        <v>0.1</v>
      </c>
      <c r="D212" s="1209">
        <f t="shared" si="58"/>
        <v>0.9</v>
      </c>
      <c r="E212" s="53">
        <v>0</v>
      </c>
      <c r="F212" s="53">
        <v>0</v>
      </c>
      <c r="G212" s="776">
        <f t="shared" si="51"/>
        <v>0.51501283724916636</v>
      </c>
      <c r="H212" s="519">
        <f t="shared" si="52"/>
        <v>23.175577676212484</v>
      </c>
      <c r="I212" s="53"/>
      <c r="J212" s="776">
        <f t="shared" si="53"/>
        <v>1.3905346605727491</v>
      </c>
      <c r="K212" s="1210">
        <f>'Recycling - Case 3'!Z166</f>
        <v>3790.5155384385994</v>
      </c>
      <c r="L212" s="1209">
        <f t="shared" si="64"/>
        <v>0.1</v>
      </c>
      <c r="M212" s="1209">
        <f t="shared" si="59"/>
        <v>0.9</v>
      </c>
      <c r="N212" s="53">
        <f t="shared" si="65"/>
        <v>0</v>
      </c>
      <c r="O212" s="53">
        <f t="shared" si="65"/>
        <v>0</v>
      </c>
      <c r="P212" s="776">
        <f t="shared" si="54"/>
        <v>0.30324124307508799</v>
      </c>
      <c r="Q212" s="519">
        <f t="shared" si="55"/>
        <v>13.645855938378958</v>
      </c>
      <c r="R212" s="53"/>
      <c r="S212" s="1211">
        <f t="shared" si="56"/>
        <v>0.81875135630273743</v>
      </c>
      <c r="T212" s="1198">
        <f t="shared" si="57"/>
        <v>0.8182540803242544</v>
      </c>
      <c r="U212" s="1199">
        <f t="shared" si="57"/>
        <v>36.821433614591442</v>
      </c>
      <c r="V212" s="1199">
        <f t="shared" si="57"/>
        <v>0</v>
      </c>
      <c r="W212" s="1200">
        <f t="shared" si="57"/>
        <v>2.2092860168754864</v>
      </c>
    </row>
    <row r="213" spans="1:23">
      <c r="A213" s="123">
        <f>'Input data'!A147</f>
        <v>2047</v>
      </c>
      <c r="B213" s="1208">
        <f>'Recycling - Case 2'!AI127</f>
        <v>6437.6604656145792</v>
      </c>
      <c r="C213" s="1209">
        <f t="shared" si="63"/>
        <v>0.1</v>
      </c>
      <c r="D213" s="1209">
        <f t="shared" si="58"/>
        <v>0.9</v>
      </c>
      <c r="E213" s="53">
        <v>0</v>
      </c>
      <c r="F213" s="53">
        <v>0</v>
      </c>
      <c r="G213" s="776">
        <f t="shared" si="51"/>
        <v>0.51501283724916636</v>
      </c>
      <c r="H213" s="519">
        <f t="shared" si="52"/>
        <v>23.175577676212484</v>
      </c>
      <c r="I213" s="53"/>
      <c r="J213" s="776">
        <f t="shared" si="53"/>
        <v>1.3905346605727491</v>
      </c>
      <c r="K213" s="1210">
        <f>'Recycling - Case 3'!Z167</f>
        <v>3842.0800669387309</v>
      </c>
      <c r="L213" s="1209">
        <f t="shared" si="64"/>
        <v>0.1</v>
      </c>
      <c r="M213" s="1209">
        <f t="shared" si="59"/>
        <v>0.9</v>
      </c>
      <c r="N213" s="53">
        <f t="shared" si="65"/>
        <v>0</v>
      </c>
      <c r="O213" s="53">
        <f t="shared" si="65"/>
        <v>0</v>
      </c>
      <c r="P213" s="776">
        <f t="shared" si="54"/>
        <v>0.30736640535509857</v>
      </c>
      <c r="Q213" s="519">
        <f t="shared" si="55"/>
        <v>13.831488240979432</v>
      </c>
      <c r="R213" s="53"/>
      <c r="S213" s="1211">
        <f t="shared" si="56"/>
        <v>0.82988929445876591</v>
      </c>
      <c r="T213" s="1198">
        <f t="shared" si="57"/>
        <v>0.82237924260426487</v>
      </c>
      <c r="U213" s="1199">
        <f t="shared" si="57"/>
        <v>37.007065917191916</v>
      </c>
      <c r="V213" s="1199">
        <f t="shared" si="57"/>
        <v>0</v>
      </c>
      <c r="W213" s="1200">
        <f t="shared" si="57"/>
        <v>2.220423955031515</v>
      </c>
    </row>
    <row r="214" spans="1:23">
      <c r="A214" s="123">
        <f>'Input data'!A148</f>
        <v>2048</v>
      </c>
      <c r="B214" s="1208">
        <f>'Recycling - Case 2'!AI128</f>
        <v>6437.6604656145792</v>
      </c>
      <c r="C214" s="1209">
        <f t="shared" si="63"/>
        <v>0.1</v>
      </c>
      <c r="D214" s="1209">
        <f t="shared" si="58"/>
        <v>0.9</v>
      </c>
      <c r="E214" s="53">
        <v>0</v>
      </c>
      <c r="F214" s="53">
        <v>0</v>
      </c>
      <c r="G214" s="776">
        <f t="shared" si="51"/>
        <v>0.51501283724916636</v>
      </c>
      <c r="H214" s="519">
        <f t="shared" si="52"/>
        <v>23.175577676212484</v>
      </c>
      <c r="I214" s="53"/>
      <c r="J214" s="776">
        <f t="shared" si="53"/>
        <v>1.3905346605727491</v>
      </c>
      <c r="K214" s="1210">
        <f>'Recycling - Case 3'!Z168</f>
        <v>3888.8597695942517</v>
      </c>
      <c r="L214" s="1209">
        <f t="shared" si="64"/>
        <v>0.1</v>
      </c>
      <c r="M214" s="1209">
        <f t="shared" si="59"/>
        <v>0.9</v>
      </c>
      <c r="N214" s="53">
        <f t="shared" si="65"/>
        <v>0</v>
      </c>
      <c r="O214" s="53">
        <f t="shared" si="65"/>
        <v>0</v>
      </c>
      <c r="P214" s="776">
        <f t="shared" si="54"/>
        <v>0.31110878156754018</v>
      </c>
      <c r="Q214" s="519">
        <f t="shared" si="55"/>
        <v>13.999895170539306</v>
      </c>
      <c r="R214" s="53"/>
      <c r="S214" s="1211">
        <f t="shared" si="56"/>
        <v>0.83999371023235836</v>
      </c>
      <c r="T214" s="1198">
        <f t="shared" si="57"/>
        <v>0.82612161881670654</v>
      </c>
      <c r="U214" s="1199">
        <f t="shared" si="57"/>
        <v>37.175472846751788</v>
      </c>
      <c r="V214" s="1199">
        <f t="shared" si="57"/>
        <v>0</v>
      </c>
      <c r="W214" s="1200">
        <f t="shared" si="57"/>
        <v>2.2305283708051076</v>
      </c>
    </row>
    <row r="215" spans="1:23">
      <c r="A215" s="123">
        <f>'Input data'!A149</f>
        <v>2049</v>
      </c>
      <c r="B215" s="1208">
        <f>'Recycling - Case 2'!AI129</f>
        <v>6437.6604656145792</v>
      </c>
      <c r="C215" s="1209">
        <f t="shared" si="63"/>
        <v>0.1</v>
      </c>
      <c r="D215" s="1209">
        <f t="shared" si="58"/>
        <v>0.9</v>
      </c>
      <c r="E215" s="53">
        <v>0</v>
      </c>
      <c r="F215" s="53">
        <v>0</v>
      </c>
      <c r="G215" s="776">
        <f t="shared" si="51"/>
        <v>0.51501283724916636</v>
      </c>
      <c r="H215" s="519">
        <f t="shared" si="52"/>
        <v>23.175577676212484</v>
      </c>
      <c r="I215" s="53"/>
      <c r="J215" s="776">
        <f t="shared" si="53"/>
        <v>1.3905346605727491</v>
      </c>
      <c r="K215" s="1210">
        <f>'Recycling - Case 3'!Z169</f>
        <v>3938.7085361162012</v>
      </c>
      <c r="L215" s="1209">
        <f t="shared" si="64"/>
        <v>0.1</v>
      </c>
      <c r="M215" s="1209">
        <f t="shared" si="59"/>
        <v>0.9</v>
      </c>
      <c r="N215" s="53">
        <f t="shared" si="65"/>
        <v>0</v>
      </c>
      <c r="O215" s="53">
        <f t="shared" si="65"/>
        <v>0</v>
      </c>
      <c r="P215" s="776">
        <f t="shared" si="54"/>
        <v>0.31509668288929615</v>
      </c>
      <c r="Q215" s="519">
        <f t="shared" si="55"/>
        <v>14.179350730018324</v>
      </c>
      <c r="R215" s="53"/>
      <c r="S215" s="1211">
        <f t="shared" si="56"/>
        <v>0.85076104380109951</v>
      </c>
      <c r="T215" s="1198">
        <f t="shared" si="57"/>
        <v>0.83010952013846251</v>
      </c>
      <c r="U215" s="1199">
        <f t="shared" si="57"/>
        <v>37.354928406230812</v>
      </c>
      <c r="V215" s="1199">
        <f t="shared" si="57"/>
        <v>0</v>
      </c>
      <c r="W215" s="1200">
        <f t="shared" si="57"/>
        <v>2.2412957043738486</v>
      </c>
    </row>
    <row r="216" spans="1:23" ht="15.75" thickBot="1">
      <c r="A216" s="123">
        <f>'Input data'!A150</f>
        <v>2050</v>
      </c>
      <c r="B216" s="1208">
        <f>'Recycling - Case 2'!AI130</f>
        <v>6437.6604656145792</v>
      </c>
      <c r="C216" s="578">
        <f t="shared" si="63"/>
        <v>0.1</v>
      </c>
      <c r="D216" s="578">
        <f t="shared" si="58"/>
        <v>0.9</v>
      </c>
      <c r="E216" s="1212">
        <v>0</v>
      </c>
      <c r="F216" s="1212">
        <v>0</v>
      </c>
      <c r="G216" s="1213">
        <f t="shared" si="51"/>
        <v>0.51501283724916636</v>
      </c>
      <c r="H216" s="1144">
        <f t="shared" si="52"/>
        <v>23.175577676212484</v>
      </c>
      <c r="I216" s="1212"/>
      <c r="J216" s="1213">
        <f t="shared" si="53"/>
        <v>1.3905346605727491</v>
      </c>
      <c r="K216" s="1210">
        <f>'Recycling - Case 3'!Z170</f>
        <v>3985.2140129658874</v>
      </c>
      <c r="L216" s="578">
        <f t="shared" si="64"/>
        <v>0.1</v>
      </c>
      <c r="M216" s="578">
        <f t="shared" si="59"/>
        <v>0.9</v>
      </c>
      <c r="N216" s="1212">
        <f t="shared" si="65"/>
        <v>0</v>
      </c>
      <c r="O216" s="1212">
        <f t="shared" si="65"/>
        <v>0</v>
      </c>
      <c r="P216" s="1213">
        <f t="shared" si="54"/>
        <v>0.31881712103727106</v>
      </c>
      <c r="Q216" s="1144">
        <f t="shared" si="55"/>
        <v>14.346770446677196</v>
      </c>
      <c r="R216" s="1212"/>
      <c r="S216" s="1214">
        <f t="shared" si="56"/>
        <v>0.86080622680063168</v>
      </c>
      <c r="T216" s="1215">
        <f t="shared" si="57"/>
        <v>0.83382995828643747</v>
      </c>
      <c r="U216" s="1216">
        <f t="shared" si="57"/>
        <v>37.522348122889682</v>
      </c>
      <c r="V216" s="1216">
        <f t="shared" si="57"/>
        <v>0</v>
      </c>
      <c r="W216" s="1217">
        <f t="shared" si="57"/>
        <v>2.2513408873733809</v>
      </c>
    </row>
    <row r="217" spans="1:23">
      <c r="A217" s="1202" t="s">
        <v>659</v>
      </c>
      <c r="B217" s="1203"/>
      <c r="C217" s="1218"/>
      <c r="D217" s="1218"/>
      <c r="E217" s="1219"/>
      <c r="F217" s="1219"/>
      <c r="G217" s="1220"/>
      <c r="H217" s="1221"/>
      <c r="I217" s="1222"/>
      <c r="J217" s="1220"/>
      <c r="K217" s="1223"/>
      <c r="L217" s="1218"/>
      <c r="M217" s="1218"/>
      <c r="N217" s="1219"/>
      <c r="O217" s="1219"/>
      <c r="P217" s="1220"/>
      <c r="Q217" s="1221"/>
      <c r="R217" s="1219"/>
      <c r="S217" s="1224"/>
      <c r="T217" s="1194"/>
      <c r="U217" s="1195"/>
      <c r="V217" s="1195"/>
      <c r="W217" s="1196"/>
    </row>
    <row r="218" spans="1:23">
      <c r="A218" s="123">
        <f>'Input data'!A118</f>
        <v>2018</v>
      </c>
      <c r="B218" s="1208">
        <f>'Recycling - Case 3'!AI98</f>
        <v>3707.5235423427162</v>
      </c>
      <c r="C218" s="1209">
        <f>($C$222-$C$80)/($A$222-$A$80)+C80</f>
        <v>0.14000000000000001</v>
      </c>
      <c r="D218" s="1209">
        <f>1-C218</f>
        <v>0.86</v>
      </c>
      <c r="E218" s="53">
        <v>0</v>
      </c>
      <c r="F218" s="53">
        <v>0</v>
      </c>
      <c r="G218" s="776">
        <f>C218*$D$5*B218/1000-E218</f>
        <v>0.41524263674238426</v>
      </c>
      <c r="H218" s="519">
        <f>D218*$D$4*B218/1000-F218</f>
        <v>12.753880985658943</v>
      </c>
      <c r="I218" s="53"/>
      <c r="J218" s="776">
        <f>D218*$D$7*B218/1000</f>
        <v>0.76523285913953654</v>
      </c>
      <c r="K218" s="1210">
        <f>'Recycling - Case 3'!Z138</f>
        <v>1789.9687605419947</v>
      </c>
      <c r="L218" s="1209">
        <f>($L$222-$L$80)/($A$222-$A$80)+L80</f>
        <v>0.18</v>
      </c>
      <c r="M218" s="1209">
        <f>($M$222-$M$80)/($A$222-$A$80)+M80</f>
        <v>0.82000000000000006</v>
      </c>
      <c r="N218" s="53">
        <f t="shared" ref="N218:O233" si="66">N80</f>
        <v>0</v>
      </c>
      <c r="O218" s="53">
        <f t="shared" si="66"/>
        <v>0</v>
      </c>
      <c r="P218" s="776">
        <f t="shared" ref="P218:P250" si="67">L218*$D$5*K218/1000-N218</f>
        <v>0.25775550151804721</v>
      </c>
      <c r="Q218" s="519">
        <f t="shared" ref="Q218:Q250" si="68">M218*$D$4*K218/1000-O218</f>
        <v>5.8710975345777436</v>
      </c>
      <c r="R218" s="53"/>
      <c r="S218" s="1211">
        <f t="shared" ref="S218:S250" si="69">M218*$D$7*K218/1000</f>
        <v>0.35226585207466454</v>
      </c>
      <c r="T218" s="1198">
        <f t="shared" ref="T218:W250" si="70">G218+P218</f>
        <v>0.67299813826043153</v>
      </c>
      <c r="U218" s="1199">
        <f t="shared" si="70"/>
        <v>18.624978520236688</v>
      </c>
      <c r="V218" s="1199">
        <f t="shared" si="70"/>
        <v>0</v>
      </c>
      <c r="W218" s="1200">
        <f t="shared" si="70"/>
        <v>1.1174987112142012</v>
      </c>
    </row>
    <row r="219" spans="1:23">
      <c r="A219" s="123">
        <f>'Input data'!A119</f>
        <v>2019</v>
      </c>
      <c r="B219" s="1208">
        <f>'Recycling - Case 3'!AI99</f>
        <v>4010.8720893729233</v>
      </c>
      <c r="C219" s="1209">
        <f>($C$222-$C$80)/($A$222-$A$80)+C218</f>
        <v>0.23</v>
      </c>
      <c r="D219" s="1209">
        <f t="shared" ref="D219:D221" si="71">1-C219</f>
        <v>0.77</v>
      </c>
      <c r="E219" s="53">
        <v>0</v>
      </c>
      <c r="F219" s="53">
        <v>0</v>
      </c>
      <c r="G219" s="776">
        <f t="shared" ref="G219:G250" si="72">C219*$D$5*B219/1000-E219</f>
        <v>0.73800046444461798</v>
      </c>
      <c r="H219" s="519">
        <f t="shared" ref="H219:H250" si="73">D219*$D$4*B219/1000-F219</f>
        <v>12.353486035268604</v>
      </c>
      <c r="I219" s="53"/>
      <c r="J219" s="776">
        <f t="shared" ref="J219:J250" si="74">D219*$D$7*B219/1000</f>
        <v>0.7412091621161162</v>
      </c>
      <c r="K219" s="1210">
        <f>'Recycling - Case 3'!Z139</f>
        <v>1870.6618877196547</v>
      </c>
      <c r="L219" s="1209">
        <f>($L$222-$L$80)/($A$222-$A$80)+L218</f>
        <v>0.26</v>
      </c>
      <c r="M219" s="1209">
        <f>($M$222-$M$80)/($A$222-$A$80)+M218</f>
        <v>0.7400000000000001</v>
      </c>
      <c r="N219" s="53">
        <f t="shared" si="66"/>
        <v>0</v>
      </c>
      <c r="O219" s="53">
        <f t="shared" si="66"/>
        <v>0</v>
      </c>
      <c r="P219" s="776">
        <f t="shared" si="67"/>
        <v>0.38909767264568818</v>
      </c>
      <c r="Q219" s="519">
        <f t="shared" si="68"/>
        <v>5.5371591876501789</v>
      </c>
      <c r="R219" s="53"/>
      <c r="S219" s="1211">
        <f t="shared" si="69"/>
        <v>0.33222955125901071</v>
      </c>
      <c r="T219" s="1198">
        <f t="shared" si="70"/>
        <v>1.1270981370903062</v>
      </c>
      <c r="U219" s="1199">
        <f t="shared" si="70"/>
        <v>17.890645222918785</v>
      </c>
      <c r="V219" s="1199">
        <f t="shared" si="70"/>
        <v>0</v>
      </c>
      <c r="W219" s="1200">
        <f t="shared" si="70"/>
        <v>1.0734387133751269</v>
      </c>
    </row>
    <row r="220" spans="1:23">
      <c r="A220" s="123">
        <f>'Input data'!A120</f>
        <v>2020</v>
      </c>
      <c r="B220" s="1208">
        <f>'Recycling - Case 3'!AI100</f>
        <v>4617.5691834333375</v>
      </c>
      <c r="C220" s="1209">
        <f>($C$222-$C$80)/($A$222-$A$80)+C219</f>
        <v>0.32</v>
      </c>
      <c r="D220" s="1209">
        <f t="shared" si="71"/>
        <v>0.67999999999999994</v>
      </c>
      <c r="E220" s="53">
        <v>0</v>
      </c>
      <c r="F220" s="53">
        <v>0</v>
      </c>
      <c r="G220" s="776">
        <f t="shared" si="72"/>
        <v>1.1820977109589343</v>
      </c>
      <c r="H220" s="519">
        <f t="shared" si="73"/>
        <v>12.559788178938678</v>
      </c>
      <c r="I220" s="53"/>
      <c r="J220" s="776">
        <f t="shared" si="74"/>
        <v>0.75358729073632058</v>
      </c>
      <c r="K220" s="1210">
        <f>'Recycling - Case 3'!Z140</f>
        <v>1913.5469196790364</v>
      </c>
      <c r="L220" s="1209">
        <f>($L$222-$L$80)/($A$222-$A$80)+L219</f>
        <v>0.34</v>
      </c>
      <c r="M220" s="1209">
        <f>($M$222-$M$80)/($A$222-$A$80)+M219</f>
        <v>0.66000000000000014</v>
      </c>
      <c r="N220" s="53">
        <f t="shared" si="66"/>
        <v>0</v>
      </c>
      <c r="O220" s="53">
        <f t="shared" si="66"/>
        <v>0</v>
      </c>
      <c r="P220" s="776">
        <f t="shared" si="67"/>
        <v>0.5204847621526979</v>
      </c>
      <c r="Q220" s="519">
        <f t="shared" si="68"/>
        <v>5.0517638679526575</v>
      </c>
      <c r="R220" s="53"/>
      <c r="S220" s="1211">
        <f t="shared" si="69"/>
        <v>0.30310583207715946</v>
      </c>
      <c r="T220" s="1198">
        <f t="shared" si="70"/>
        <v>1.7025824731116321</v>
      </c>
      <c r="U220" s="1199">
        <f t="shared" si="70"/>
        <v>17.611552046891337</v>
      </c>
      <c r="V220" s="1199">
        <f t="shared" si="70"/>
        <v>0</v>
      </c>
      <c r="W220" s="1200">
        <f t="shared" si="70"/>
        <v>1.0566931228134799</v>
      </c>
    </row>
    <row r="221" spans="1:23">
      <c r="A221" s="123">
        <f>'Input data'!A121</f>
        <v>2021</v>
      </c>
      <c r="B221" s="1208">
        <f>'Recycling - Case 3'!AI101</f>
        <v>5830.9633715541659</v>
      </c>
      <c r="C221" s="1209">
        <f>($C$222-$C$80)/($A$222-$A$80)+C220</f>
        <v>0.41000000000000003</v>
      </c>
      <c r="D221" s="1209">
        <f t="shared" si="71"/>
        <v>0.59</v>
      </c>
      <c r="E221" s="53">
        <v>0</v>
      </c>
      <c r="F221" s="53">
        <v>0</v>
      </c>
      <c r="G221" s="776">
        <f t="shared" si="72"/>
        <v>1.9125559858697667</v>
      </c>
      <c r="H221" s="519">
        <f t="shared" si="73"/>
        <v>13.76107355686783</v>
      </c>
      <c r="I221" s="53"/>
      <c r="J221" s="776">
        <f t="shared" si="74"/>
        <v>0.82566441341206975</v>
      </c>
      <c r="K221" s="1210">
        <f>'Recycling - Case 3'!Z141</f>
        <v>2253.4740718925086</v>
      </c>
      <c r="L221" s="1209">
        <f>($L$222-$L$80)/($A$222-$A$80)+L220</f>
        <v>0.42000000000000004</v>
      </c>
      <c r="M221" s="1209">
        <f>($M$222-$M$80)/($A$222-$A$80)+M220</f>
        <v>0.58000000000000018</v>
      </c>
      <c r="N221" s="53">
        <f t="shared" si="66"/>
        <v>0</v>
      </c>
      <c r="O221" s="53">
        <f t="shared" si="66"/>
        <v>0</v>
      </c>
      <c r="P221" s="776">
        <f t="shared" si="67"/>
        <v>0.75716728815588308</v>
      </c>
      <c r="Q221" s="519">
        <f t="shared" si="68"/>
        <v>5.2280598467906216</v>
      </c>
      <c r="R221" s="53"/>
      <c r="S221" s="1211">
        <f t="shared" si="69"/>
        <v>0.31368359080743735</v>
      </c>
      <c r="T221" s="1198">
        <f t="shared" si="70"/>
        <v>2.6697232740256496</v>
      </c>
      <c r="U221" s="1199">
        <f t="shared" si="70"/>
        <v>18.98913340365845</v>
      </c>
      <c r="V221" s="1199">
        <f t="shared" si="70"/>
        <v>0</v>
      </c>
      <c r="W221" s="1200">
        <f t="shared" si="70"/>
        <v>1.139348004219507</v>
      </c>
    </row>
    <row r="222" spans="1:23">
      <c r="A222" s="123">
        <f>'Input data'!A122</f>
        <v>2022</v>
      </c>
      <c r="B222" s="1208">
        <f>'Recycling - Case 3'!AI102</f>
        <v>6437.6604656145792</v>
      </c>
      <c r="C222" s="1209">
        <f>'Recycling - Case 3'!G31</f>
        <v>0.5</v>
      </c>
      <c r="D222" s="1209">
        <f>'Recycling - Case 3'!H31</f>
        <v>0.5</v>
      </c>
      <c r="E222" s="53">
        <v>0</v>
      </c>
      <c r="F222" s="53">
        <v>0</v>
      </c>
      <c r="G222" s="776">
        <f t="shared" si="72"/>
        <v>2.5750641862458319</v>
      </c>
      <c r="H222" s="519">
        <f t="shared" si="73"/>
        <v>12.875320931229158</v>
      </c>
      <c r="I222" s="53"/>
      <c r="J222" s="776">
        <f t="shared" si="74"/>
        <v>0.77251925587374948</v>
      </c>
      <c r="K222" s="1210">
        <f>'Recycling - Case 3'!Z142</f>
        <v>2440.3869088169668</v>
      </c>
      <c r="L222" s="1209">
        <f>'Recycling - Case 3'!G31</f>
        <v>0.5</v>
      </c>
      <c r="M222" s="1209">
        <f>'Recycling - Case 3'!H31</f>
        <v>0.5</v>
      </c>
      <c r="N222" s="53">
        <f t="shared" si="66"/>
        <v>0</v>
      </c>
      <c r="O222" s="53">
        <f t="shared" si="66"/>
        <v>0</v>
      </c>
      <c r="P222" s="776">
        <f t="shared" si="67"/>
        <v>0.97615476352678676</v>
      </c>
      <c r="Q222" s="519">
        <f t="shared" si="68"/>
        <v>4.8807738176339335</v>
      </c>
      <c r="R222" s="53"/>
      <c r="S222" s="1211">
        <f t="shared" si="69"/>
        <v>0.29284642905803598</v>
      </c>
      <c r="T222" s="1198">
        <f t="shared" si="70"/>
        <v>3.5512189497726188</v>
      </c>
      <c r="U222" s="1199">
        <f t="shared" si="70"/>
        <v>17.756094748863092</v>
      </c>
      <c r="V222" s="1199">
        <f t="shared" si="70"/>
        <v>0</v>
      </c>
      <c r="W222" s="1200">
        <f t="shared" si="70"/>
        <v>1.0653656849317854</v>
      </c>
    </row>
    <row r="223" spans="1:23">
      <c r="A223" s="123">
        <f>'Input data'!A123</f>
        <v>2023</v>
      </c>
      <c r="B223" s="1208">
        <f>'Recycling - Case 3'!AI103</f>
        <v>6437.6604656145792</v>
      </c>
      <c r="C223" s="1209">
        <f>C222</f>
        <v>0.5</v>
      </c>
      <c r="D223" s="1209">
        <f>D222</f>
        <v>0.5</v>
      </c>
      <c r="E223" s="53">
        <v>0</v>
      </c>
      <c r="F223" s="53">
        <v>0</v>
      </c>
      <c r="G223" s="776">
        <f t="shared" si="72"/>
        <v>2.5750641862458319</v>
      </c>
      <c r="H223" s="519">
        <f t="shared" si="73"/>
        <v>12.875320931229158</v>
      </c>
      <c r="I223" s="53"/>
      <c r="J223" s="776">
        <f t="shared" si="74"/>
        <v>0.77251925587374948</v>
      </c>
      <c r="K223" s="1210">
        <f>'Recycling - Case 3'!Z143</f>
        <v>2473.3341767241886</v>
      </c>
      <c r="L223" s="1209">
        <f>L222</f>
        <v>0.5</v>
      </c>
      <c r="M223" s="1209">
        <f>M222</f>
        <v>0.5</v>
      </c>
      <c r="N223" s="53">
        <f t="shared" si="66"/>
        <v>0</v>
      </c>
      <c r="O223" s="53">
        <f t="shared" si="66"/>
        <v>0</v>
      </c>
      <c r="P223" s="776">
        <f t="shared" si="67"/>
        <v>0.98933367068967548</v>
      </c>
      <c r="Q223" s="519">
        <f t="shared" si="68"/>
        <v>4.9466683534483771</v>
      </c>
      <c r="R223" s="53"/>
      <c r="S223" s="1211">
        <f t="shared" si="69"/>
        <v>0.29680010120690264</v>
      </c>
      <c r="T223" s="1198">
        <f t="shared" si="70"/>
        <v>3.5643978569355075</v>
      </c>
      <c r="U223" s="1199">
        <f t="shared" si="70"/>
        <v>17.821989284677535</v>
      </c>
      <c r="V223" s="1199">
        <f t="shared" si="70"/>
        <v>0</v>
      </c>
      <c r="W223" s="1200">
        <f t="shared" si="70"/>
        <v>1.0693193570806521</v>
      </c>
    </row>
    <row r="224" spans="1:23">
      <c r="A224" s="123">
        <f>'Input data'!A124</f>
        <v>2024</v>
      </c>
      <c r="B224" s="1208">
        <f>'Recycling - Case 3'!AI104</f>
        <v>6437.6604656145792</v>
      </c>
      <c r="C224" s="1209">
        <f t="shared" ref="C224:D239" si="75">C223</f>
        <v>0.5</v>
      </c>
      <c r="D224" s="1209">
        <f t="shared" si="75"/>
        <v>0.5</v>
      </c>
      <c r="E224" s="53">
        <v>0</v>
      </c>
      <c r="F224" s="53">
        <v>0</v>
      </c>
      <c r="G224" s="776">
        <f t="shared" si="72"/>
        <v>2.5750641862458319</v>
      </c>
      <c r="H224" s="519">
        <f t="shared" si="73"/>
        <v>12.875320931229158</v>
      </c>
      <c r="I224" s="53"/>
      <c r="J224" s="776">
        <f t="shared" si="74"/>
        <v>0.77251925587374948</v>
      </c>
      <c r="K224" s="1210">
        <f>'Recycling - Case 3'!Z144</f>
        <v>2510.4923620654172</v>
      </c>
      <c r="L224" s="1209">
        <f t="shared" ref="L224:M239" si="76">L223</f>
        <v>0.5</v>
      </c>
      <c r="M224" s="1209">
        <f t="shared" si="76"/>
        <v>0.5</v>
      </c>
      <c r="N224" s="53">
        <f t="shared" si="66"/>
        <v>0</v>
      </c>
      <c r="O224" s="53">
        <f t="shared" si="66"/>
        <v>0</v>
      </c>
      <c r="P224" s="776">
        <f t="shared" si="67"/>
        <v>1.0041969448261669</v>
      </c>
      <c r="Q224" s="519">
        <f t="shared" si="68"/>
        <v>5.0209847241308347</v>
      </c>
      <c r="R224" s="53"/>
      <c r="S224" s="1211">
        <f t="shared" si="69"/>
        <v>0.30125908344785007</v>
      </c>
      <c r="T224" s="1198">
        <f t="shared" si="70"/>
        <v>3.5792611310719988</v>
      </c>
      <c r="U224" s="1199">
        <f t="shared" si="70"/>
        <v>17.896305655359992</v>
      </c>
      <c r="V224" s="1199">
        <f t="shared" si="70"/>
        <v>0</v>
      </c>
      <c r="W224" s="1200">
        <f t="shared" si="70"/>
        <v>1.0737783393215996</v>
      </c>
    </row>
    <row r="225" spans="1:23">
      <c r="A225" s="123">
        <f>'Input data'!A125</f>
        <v>2025</v>
      </c>
      <c r="B225" s="1208">
        <f>'Recycling - Case 3'!AI105</f>
        <v>6437.6604656145792</v>
      </c>
      <c r="C225" s="1209">
        <f t="shared" si="75"/>
        <v>0.5</v>
      </c>
      <c r="D225" s="1209">
        <f t="shared" si="75"/>
        <v>0.5</v>
      </c>
      <c r="E225" s="53">
        <v>0</v>
      </c>
      <c r="F225" s="53">
        <v>0</v>
      </c>
      <c r="G225" s="776">
        <f t="shared" si="72"/>
        <v>2.5750641862458319</v>
      </c>
      <c r="H225" s="519">
        <f t="shared" si="73"/>
        <v>12.875320931229158</v>
      </c>
      <c r="I225" s="53"/>
      <c r="J225" s="776">
        <f t="shared" si="74"/>
        <v>0.77251925587374948</v>
      </c>
      <c r="K225" s="1210">
        <f>'Recycling - Case 3'!Z145</f>
        <v>2543.9978590052256</v>
      </c>
      <c r="L225" s="1209">
        <f t="shared" si="76"/>
        <v>0.5</v>
      </c>
      <c r="M225" s="1209">
        <f t="shared" si="76"/>
        <v>0.5</v>
      </c>
      <c r="N225" s="53">
        <f t="shared" si="66"/>
        <v>0</v>
      </c>
      <c r="O225" s="53">
        <f t="shared" si="66"/>
        <v>0</v>
      </c>
      <c r="P225" s="776">
        <f t="shared" si="67"/>
        <v>1.0175991436020904</v>
      </c>
      <c r="Q225" s="519">
        <f t="shared" si="68"/>
        <v>5.0879957180104514</v>
      </c>
      <c r="R225" s="53"/>
      <c r="S225" s="1211">
        <f t="shared" si="69"/>
        <v>0.30527974308062705</v>
      </c>
      <c r="T225" s="1198">
        <f t="shared" si="70"/>
        <v>3.5926633298479222</v>
      </c>
      <c r="U225" s="1199">
        <f t="shared" si="70"/>
        <v>17.963316649239609</v>
      </c>
      <c r="V225" s="1199">
        <f t="shared" si="70"/>
        <v>0</v>
      </c>
      <c r="W225" s="1200">
        <f t="shared" si="70"/>
        <v>1.0777989989543766</v>
      </c>
    </row>
    <row r="226" spans="1:23">
      <c r="A226" s="123">
        <f>'Input data'!A126</f>
        <v>2026</v>
      </c>
      <c r="B226" s="1208">
        <f>'Recycling - Case 3'!AI106</f>
        <v>6437.6604656145792</v>
      </c>
      <c r="C226" s="1209">
        <f t="shared" si="75"/>
        <v>0.5</v>
      </c>
      <c r="D226" s="1209">
        <f t="shared" si="75"/>
        <v>0.5</v>
      </c>
      <c r="E226" s="53">
        <v>0</v>
      </c>
      <c r="F226" s="53">
        <v>0</v>
      </c>
      <c r="G226" s="776">
        <f t="shared" si="72"/>
        <v>2.5750641862458319</v>
      </c>
      <c r="H226" s="519">
        <f t="shared" si="73"/>
        <v>12.875320931229158</v>
      </c>
      <c r="I226" s="53"/>
      <c r="J226" s="776">
        <f t="shared" si="74"/>
        <v>0.77251925587374948</v>
      </c>
      <c r="K226" s="1210">
        <f>'Recycling - Case 3'!Z146</f>
        <v>2582.1853446322916</v>
      </c>
      <c r="L226" s="1209">
        <f t="shared" si="76"/>
        <v>0.5</v>
      </c>
      <c r="M226" s="1209">
        <f t="shared" si="76"/>
        <v>0.5</v>
      </c>
      <c r="N226" s="53">
        <f t="shared" si="66"/>
        <v>0</v>
      </c>
      <c r="O226" s="53">
        <f t="shared" si="66"/>
        <v>0</v>
      </c>
      <c r="P226" s="776">
        <f t="shared" si="67"/>
        <v>1.0328741378529167</v>
      </c>
      <c r="Q226" s="519">
        <f t="shared" si="68"/>
        <v>5.1643706892645831</v>
      </c>
      <c r="R226" s="53"/>
      <c r="S226" s="1211">
        <f t="shared" si="69"/>
        <v>0.30986224135587498</v>
      </c>
      <c r="T226" s="1198">
        <f t="shared" si="70"/>
        <v>3.6079383240987486</v>
      </c>
      <c r="U226" s="1199">
        <f t="shared" si="70"/>
        <v>18.039691620493741</v>
      </c>
      <c r="V226" s="1199">
        <f t="shared" si="70"/>
        <v>0</v>
      </c>
      <c r="W226" s="1200">
        <f t="shared" si="70"/>
        <v>1.0823814972296244</v>
      </c>
    </row>
    <row r="227" spans="1:23">
      <c r="A227" s="123">
        <f>'Input data'!A127</f>
        <v>2027</v>
      </c>
      <c r="B227" s="1208">
        <f>'Recycling - Case 3'!AI107</f>
        <v>6437.6604656145792</v>
      </c>
      <c r="C227" s="1209">
        <f t="shared" si="75"/>
        <v>0.5</v>
      </c>
      <c r="D227" s="1209">
        <f t="shared" si="75"/>
        <v>0.5</v>
      </c>
      <c r="E227" s="53">
        <v>0</v>
      </c>
      <c r="F227" s="53">
        <v>0</v>
      </c>
      <c r="G227" s="776">
        <f t="shared" si="72"/>
        <v>2.5750641862458319</v>
      </c>
      <c r="H227" s="519">
        <f t="shared" si="73"/>
        <v>12.875320931229158</v>
      </c>
      <c r="I227" s="53"/>
      <c r="J227" s="776">
        <f t="shared" si="74"/>
        <v>0.77251925587374948</v>
      </c>
      <c r="K227" s="1210">
        <f>'Recycling - Case 3'!Z147</f>
        <v>2620.2270434897314</v>
      </c>
      <c r="L227" s="1209">
        <f t="shared" si="76"/>
        <v>0.5</v>
      </c>
      <c r="M227" s="1209">
        <f t="shared" si="76"/>
        <v>0.5</v>
      </c>
      <c r="N227" s="53">
        <f t="shared" si="66"/>
        <v>0</v>
      </c>
      <c r="O227" s="53">
        <f t="shared" si="66"/>
        <v>0</v>
      </c>
      <c r="P227" s="776">
        <f t="shared" si="67"/>
        <v>1.0480908173958925</v>
      </c>
      <c r="Q227" s="519">
        <f t="shared" si="68"/>
        <v>5.2404540869794625</v>
      </c>
      <c r="R227" s="53"/>
      <c r="S227" s="1211">
        <f t="shared" si="69"/>
        <v>0.3144272452187678</v>
      </c>
      <c r="T227" s="1198">
        <f t="shared" si="70"/>
        <v>3.6231550036417244</v>
      </c>
      <c r="U227" s="1199">
        <f t="shared" si="70"/>
        <v>18.11577501820862</v>
      </c>
      <c r="V227" s="1199">
        <f t="shared" si="70"/>
        <v>0</v>
      </c>
      <c r="W227" s="1200">
        <f t="shared" si="70"/>
        <v>1.0869465010925172</v>
      </c>
    </row>
    <row r="228" spans="1:23">
      <c r="A228" s="123">
        <f>'Input data'!A128</f>
        <v>2028</v>
      </c>
      <c r="B228" s="1208">
        <f>'Recycling - Case 3'!AI108</f>
        <v>6437.6604656145792</v>
      </c>
      <c r="C228" s="1209">
        <f t="shared" si="75"/>
        <v>0.5</v>
      </c>
      <c r="D228" s="1209">
        <f t="shared" si="75"/>
        <v>0.5</v>
      </c>
      <c r="E228" s="53">
        <v>0</v>
      </c>
      <c r="F228" s="53">
        <v>0</v>
      </c>
      <c r="G228" s="776">
        <f t="shared" si="72"/>
        <v>2.5750641862458319</v>
      </c>
      <c r="H228" s="519">
        <f t="shared" si="73"/>
        <v>12.875320931229158</v>
      </c>
      <c r="I228" s="53"/>
      <c r="J228" s="776">
        <f t="shared" si="74"/>
        <v>0.77251925587374948</v>
      </c>
      <c r="K228" s="1210">
        <f>'Recycling - Case 3'!Z148</f>
        <v>2646.7585380287851</v>
      </c>
      <c r="L228" s="1209">
        <f t="shared" si="76"/>
        <v>0.5</v>
      </c>
      <c r="M228" s="1209">
        <f t="shared" si="76"/>
        <v>0.5</v>
      </c>
      <c r="N228" s="53">
        <f t="shared" si="66"/>
        <v>0</v>
      </c>
      <c r="O228" s="53">
        <f t="shared" si="66"/>
        <v>0</v>
      </c>
      <c r="P228" s="776">
        <f t="shared" si="67"/>
        <v>1.058703415211514</v>
      </c>
      <c r="Q228" s="519">
        <f t="shared" si="68"/>
        <v>5.2935170760575705</v>
      </c>
      <c r="R228" s="53"/>
      <c r="S228" s="1211">
        <f t="shared" si="69"/>
        <v>0.31761102456345419</v>
      </c>
      <c r="T228" s="1198">
        <f t="shared" si="70"/>
        <v>3.6337676014573459</v>
      </c>
      <c r="U228" s="1199">
        <f t="shared" si="70"/>
        <v>18.16883800728673</v>
      </c>
      <c r="V228" s="1199">
        <f t="shared" si="70"/>
        <v>0</v>
      </c>
      <c r="W228" s="1200">
        <f t="shared" si="70"/>
        <v>1.0901302804372037</v>
      </c>
    </row>
    <row r="229" spans="1:23">
      <c r="A229" s="123">
        <f>'Input data'!A129</f>
        <v>2029</v>
      </c>
      <c r="B229" s="1208">
        <f>'Recycling - Case 3'!AI109</f>
        <v>6437.6604656145792</v>
      </c>
      <c r="C229" s="1209">
        <f t="shared" si="75"/>
        <v>0.5</v>
      </c>
      <c r="D229" s="1209">
        <f t="shared" si="75"/>
        <v>0.5</v>
      </c>
      <c r="E229" s="53">
        <v>0</v>
      </c>
      <c r="F229" s="53">
        <v>0</v>
      </c>
      <c r="G229" s="776">
        <f t="shared" si="72"/>
        <v>2.5750641862458319</v>
      </c>
      <c r="H229" s="519">
        <f t="shared" si="73"/>
        <v>12.875320931229158</v>
      </c>
      <c r="I229" s="53"/>
      <c r="J229" s="776">
        <f t="shared" si="74"/>
        <v>0.77251925587374948</v>
      </c>
      <c r="K229" s="1210">
        <f>'Recycling - Case 3'!Z149</f>
        <v>2675.3394274160801</v>
      </c>
      <c r="L229" s="1209">
        <f t="shared" si="76"/>
        <v>0.5</v>
      </c>
      <c r="M229" s="1209">
        <f t="shared" si="76"/>
        <v>0.5</v>
      </c>
      <c r="N229" s="53">
        <f t="shared" si="66"/>
        <v>0</v>
      </c>
      <c r="O229" s="53">
        <f t="shared" si="66"/>
        <v>0</v>
      </c>
      <c r="P229" s="776">
        <f t="shared" si="67"/>
        <v>1.0701357709664321</v>
      </c>
      <c r="Q229" s="519">
        <f t="shared" si="68"/>
        <v>5.35067885483216</v>
      </c>
      <c r="R229" s="53"/>
      <c r="S229" s="1211">
        <f t="shared" si="69"/>
        <v>0.3210407312899296</v>
      </c>
      <c r="T229" s="1198">
        <f t="shared" si="70"/>
        <v>3.645199957212264</v>
      </c>
      <c r="U229" s="1199">
        <f t="shared" si="70"/>
        <v>18.225999786061319</v>
      </c>
      <c r="V229" s="1199">
        <f t="shared" si="70"/>
        <v>0</v>
      </c>
      <c r="W229" s="1200">
        <f t="shared" si="70"/>
        <v>1.0935599871636792</v>
      </c>
    </row>
    <row r="230" spans="1:23">
      <c r="A230" s="123">
        <f>'Input data'!A130</f>
        <v>2030</v>
      </c>
      <c r="B230" s="1208">
        <f>'Recycling - Case 3'!AI110</f>
        <v>6437.6604656145792</v>
      </c>
      <c r="C230" s="1209">
        <f t="shared" si="75"/>
        <v>0.5</v>
      </c>
      <c r="D230" s="1209">
        <f t="shared" si="75"/>
        <v>0.5</v>
      </c>
      <c r="E230" s="53">
        <v>0</v>
      </c>
      <c r="F230" s="53">
        <v>0</v>
      </c>
      <c r="G230" s="776">
        <f t="shared" si="72"/>
        <v>2.5750641862458319</v>
      </c>
      <c r="H230" s="519">
        <f t="shared" si="73"/>
        <v>12.875320931229158</v>
      </c>
      <c r="I230" s="53"/>
      <c r="J230" s="776">
        <f t="shared" si="74"/>
        <v>0.77251925587374948</v>
      </c>
      <c r="K230" s="1210">
        <f>'Recycling - Case 3'!Z150</f>
        <v>2709.795875944686</v>
      </c>
      <c r="L230" s="1209">
        <f t="shared" si="76"/>
        <v>0.5</v>
      </c>
      <c r="M230" s="1209">
        <f t="shared" si="76"/>
        <v>0.5</v>
      </c>
      <c r="N230" s="53">
        <f t="shared" si="66"/>
        <v>0</v>
      </c>
      <c r="O230" s="53">
        <f t="shared" si="66"/>
        <v>0</v>
      </c>
      <c r="P230" s="776">
        <f t="shared" si="67"/>
        <v>1.0839183503778744</v>
      </c>
      <c r="Q230" s="519">
        <f t="shared" si="68"/>
        <v>5.4195917518893717</v>
      </c>
      <c r="R230" s="53"/>
      <c r="S230" s="1211">
        <f t="shared" si="69"/>
        <v>0.3251755051133623</v>
      </c>
      <c r="T230" s="1198">
        <f t="shared" si="70"/>
        <v>3.6589825366237063</v>
      </c>
      <c r="U230" s="1199">
        <f t="shared" si="70"/>
        <v>18.294912683118529</v>
      </c>
      <c r="V230" s="1199">
        <f t="shared" si="70"/>
        <v>0</v>
      </c>
      <c r="W230" s="1200">
        <f t="shared" si="70"/>
        <v>1.0976947609871117</v>
      </c>
    </row>
    <row r="231" spans="1:23">
      <c r="A231" s="123">
        <f>'Input data'!A131</f>
        <v>2031</v>
      </c>
      <c r="B231" s="1208">
        <f>'Recycling - Case 3'!AI111</f>
        <v>6437.6604656145792</v>
      </c>
      <c r="C231" s="1209">
        <f t="shared" si="75"/>
        <v>0.5</v>
      </c>
      <c r="D231" s="1209">
        <f t="shared" si="75"/>
        <v>0.5</v>
      </c>
      <c r="E231" s="53">
        <v>0</v>
      </c>
      <c r="F231" s="53">
        <v>0</v>
      </c>
      <c r="G231" s="776">
        <f t="shared" si="72"/>
        <v>2.5750641862458319</v>
      </c>
      <c r="H231" s="519">
        <f t="shared" si="73"/>
        <v>12.875320931229158</v>
      </c>
      <c r="I231" s="53"/>
      <c r="J231" s="776">
        <f t="shared" si="74"/>
        <v>0.77251925587374948</v>
      </c>
      <c r="K231" s="1210">
        <f>'Recycling - Case 3'!Z151</f>
        <v>2757.7445965802553</v>
      </c>
      <c r="L231" s="1209">
        <f t="shared" si="76"/>
        <v>0.5</v>
      </c>
      <c r="M231" s="1209">
        <f t="shared" si="76"/>
        <v>0.5</v>
      </c>
      <c r="N231" s="53">
        <f t="shared" si="66"/>
        <v>0</v>
      </c>
      <c r="O231" s="53">
        <f t="shared" si="66"/>
        <v>0</v>
      </c>
      <c r="P231" s="776">
        <f t="shared" si="67"/>
        <v>1.1030978386321022</v>
      </c>
      <c r="Q231" s="519">
        <f t="shared" si="68"/>
        <v>5.5154891931605103</v>
      </c>
      <c r="R231" s="53"/>
      <c r="S231" s="1211">
        <f t="shared" si="69"/>
        <v>0.33092935158963066</v>
      </c>
      <c r="T231" s="1198">
        <f t="shared" si="70"/>
        <v>3.6781620248779339</v>
      </c>
      <c r="U231" s="1199">
        <f t="shared" si="70"/>
        <v>18.390810124389667</v>
      </c>
      <c r="V231" s="1199">
        <f t="shared" si="70"/>
        <v>0</v>
      </c>
      <c r="W231" s="1200">
        <f t="shared" si="70"/>
        <v>1.1034486074633802</v>
      </c>
    </row>
    <row r="232" spans="1:23">
      <c r="A232" s="123">
        <f>'Input data'!A132</f>
        <v>2032</v>
      </c>
      <c r="B232" s="1208">
        <f>'Recycling - Case 3'!AI112</f>
        <v>6437.6604656145792</v>
      </c>
      <c r="C232" s="1209">
        <f t="shared" si="75"/>
        <v>0.5</v>
      </c>
      <c r="D232" s="1209">
        <f t="shared" si="75"/>
        <v>0.5</v>
      </c>
      <c r="E232" s="53">
        <v>0</v>
      </c>
      <c r="F232" s="53">
        <v>0</v>
      </c>
      <c r="G232" s="776">
        <f t="shared" si="72"/>
        <v>2.5750641862458319</v>
      </c>
      <c r="H232" s="519">
        <f t="shared" si="73"/>
        <v>12.875320931229158</v>
      </c>
      <c r="I232" s="53"/>
      <c r="J232" s="776">
        <f t="shared" si="74"/>
        <v>0.77251925587374948</v>
      </c>
      <c r="K232" s="1210">
        <f>'Recycling - Case 3'!Z152</f>
        <v>2802.0956343307598</v>
      </c>
      <c r="L232" s="1209">
        <f t="shared" si="76"/>
        <v>0.5</v>
      </c>
      <c r="M232" s="1209">
        <f t="shared" si="76"/>
        <v>0.5</v>
      </c>
      <c r="N232" s="53">
        <f t="shared" si="66"/>
        <v>0</v>
      </c>
      <c r="O232" s="53">
        <f t="shared" si="66"/>
        <v>0</v>
      </c>
      <c r="P232" s="776">
        <f t="shared" si="67"/>
        <v>1.1208382537323038</v>
      </c>
      <c r="Q232" s="519">
        <f t="shared" si="68"/>
        <v>5.6041912686615198</v>
      </c>
      <c r="R232" s="53"/>
      <c r="S232" s="1211">
        <f t="shared" si="69"/>
        <v>0.33625147611969119</v>
      </c>
      <c r="T232" s="1198">
        <f t="shared" si="70"/>
        <v>3.6959024399781359</v>
      </c>
      <c r="U232" s="1199">
        <f t="shared" si="70"/>
        <v>18.479512199890678</v>
      </c>
      <c r="V232" s="1199">
        <f t="shared" si="70"/>
        <v>0</v>
      </c>
      <c r="W232" s="1200">
        <f t="shared" si="70"/>
        <v>1.1087707319934408</v>
      </c>
    </row>
    <row r="233" spans="1:23">
      <c r="A233" s="123">
        <f>'Input data'!A133</f>
        <v>2033</v>
      </c>
      <c r="B233" s="1208">
        <f>'Recycling - Case 3'!AI113</f>
        <v>6437.6604656145792</v>
      </c>
      <c r="C233" s="1209">
        <f t="shared" si="75"/>
        <v>0.5</v>
      </c>
      <c r="D233" s="1209">
        <f t="shared" si="75"/>
        <v>0.5</v>
      </c>
      <c r="E233" s="53">
        <v>0</v>
      </c>
      <c r="F233" s="53">
        <v>0</v>
      </c>
      <c r="G233" s="776">
        <f t="shared" si="72"/>
        <v>2.5750641862458319</v>
      </c>
      <c r="H233" s="519">
        <f t="shared" si="73"/>
        <v>12.875320931229158</v>
      </c>
      <c r="I233" s="53"/>
      <c r="J233" s="776">
        <f t="shared" si="74"/>
        <v>0.77251925587374948</v>
      </c>
      <c r="K233" s="1210">
        <f>'Recycling - Case 3'!Z153</f>
        <v>2854.5920843191443</v>
      </c>
      <c r="L233" s="1209">
        <f t="shared" si="76"/>
        <v>0.5</v>
      </c>
      <c r="M233" s="1209">
        <f t="shared" si="76"/>
        <v>0.5</v>
      </c>
      <c r="N233" s="53">
        <f t="shared" si="66"/>
        <v>0</v>
      </c>
      <c r="O233" s="53">
        <f t="shared" si="66"/>
        <v>0</v>
      </c>
      <c r="P233" s="776">
        <f t="shared" si="67"/>
        <v>1.1418368337276577</v>
      </c>
      <c r="Q233" s="519">
        <f t="shared" si="68"/>
        <v>5.7091841686382887</v>
      </c>
      <c r="R233" s="53"/>
      <c r="S233" s="1211">
        <f t="shared" si="69"/>
        <v>0.34255105011829734</v>
      </c>
      <c r="T233" s="1198">
        <f t="shared" si="70"/>
        <v>3.7169010199734895</v>
      </c>
      <c r="U233" s="1199">
        <f t="shared" si="70"/>
        <v>18.584505099867446</v>
      </c>
      <c r="V233" s="1199">
        <f t="shared" si="70"/>
        <v>0</v>
      </c>
      <c r="W233" s="1200">
        <f t="shared" si="70"/>
        <v>1.1150703059920468</v>
      </c>
    </row>
    <row r="234" spans="1:23">
      <c r="A234" s="123">
        <f>'Input data'!A134</f>
        <v>2034</v>
      </c>
      <c r="B234" s="1208">
        <f>'Recycling - Case 3'!AI114</f>
        <v>6437.6604656145792</v>
      </c>
      <c r="C234" s="1209">
        <f t="shared" si="75"/>
        <v>0.5</v>
      </c>
      <c r="D234" s="1209">
        <f t="shared" si="75"/>
        <v>0.5</v>
      </c>
      <c r="E234" s="53">
        <v>0</v>
      </c>
      <c r="F234" s="53">
        <v>0</v>
      </c>
      <c r="G234" s="776">
        <f t="shared" si="72"/>
        <v>2.5750641862458319</v>
      </c>
      <c r="H234" s="519">
        <f t="shared" si="73"/>
        <v>12.875320931229158</v>
      </c>
      <c r="I234" s="53"/>
      <c r="J234" s="776">
        <f t="shared" si="74"/>
        <v>0.77251925587374948</v>
      </c>
      <c r="K234" s="1210">
        <f>'Recycling - Case 3'!Z154</f>
        <v>2920.4880245072482</v>
      </c>
      <c r="L234" s="1209">
        <f t="shared" si="76"/>
        <v>0.5</v>
      </c>
      <c r="M234" s="1209">
        <f t="shared" si="76"/>
        <v>0.5</v>
      </c>
      <c r="N234" s="53">
        <f t="shared" ref="N234:O249" si="77">N96</f>
        <v>0</v>
      </c>
      <c r="O234" s="53">
        <f t="shared" si="77"/>
        <v>0</v>
      </c>
      <c r="P234" s="776">
        <f t="shared" si="67"/>
        <v>1.1681952098028994</v>
      </c>
      <c r="Q234" s="519">
        <f t="shared" si="68"/>
        <v>5.840976049014496</v>
      </c>
      <c r="R234" s="53"/>
      <c r="S234" s="1211">
        <f t="shared" si="69"/>
        <v>0.35045856294086974</v>
      </c>
      <c r="T234" s="1198">
        <f t="shared" si="70"/>
        <v>3.7432593960487313</v>
      </c>
      <c r="U234" s="1199">
        <f t="shared" si="70"/>
        <v>18.716296980243655</v>
      </c>
      <c r="V234" s="1199">
        <f t="shared" si="70"/>
        <v>0</v>
      </c>
      <c r="W234" s="1200">
        <f t="shared" si="70"/>
        <v>1.1229778188146193</v>
      </c>
    </row>
    <row r="235" spans="1:23">
      <c r="A235" s="123">
        <f>'Input data'!A135</f>
        <v>2035</v>
      </c>
      <c r="B235" s="1208">
        <f>'Recycling - Case 3'!AI115</f>
        <v>6437.6604656145792</v>
      </c>
      <c r="C235" s="1209">
        <f t="shared" si="75"/>
        <v>0.5</v>
      </c>
      <c r="D235" s="1209">
        <f t="shared" si="75"/>
        <v>0.5</v>
      </c>
      <c r="E235" s="53">
        <v>0</v>
      </c>
      <c r="F235" s="53">
        <v>0</v>
      </c>
      <c r="G235" s="776">
        <f t="shared" si="72"/>
        <v>2.5750641862458319</v>
      </c>
      <c r="H235" s="519">
        <f t="shared" si="73"/>
        <v>12.875320931229158</v>
      </c>
      <c r="I235" s="53"/>
      <c r="J235" s="776">
        <f t="shared" si="74"/>
        <v>0.77251925587374948</v>
      </c>
      <c r="K235" s="1210">
        <f>'Recycling - Case 3'!Z155</f>
        <v>2974.4882959863826</v>
      </c>
      <c r="L235" s="1209">
        <f t="shared" si="76"/>
        <v>0.5</v>
      </c>
      <c r="M235" s="1209">
        <f t="shared" si="76"/>
        <v>0.5</v>
      </c>
      <c r="N235" s="53">
        <f t="shared" si="77"/>
        <v>0</v>
      </c>
      <c r="O235" s="53">
        <f t="shared" si="77"/>
        <v>0</v>
      </c>
      <c r="P235" s="776">
        <f t="shared" si="67"/>
        <v>1.1897953183945531</v>
      </c>
      <c r="Q235" s="519">
        <f t="shared" si="68"/>
        <v>5.9489765919727651</v>
      </c>
      <c r="R235" s="53"/>
      <c r="S235" s="1211">
        <f t="shared" si="69"/>
        <v>0.35693859551836588</v>
      </c>
      <c r="T235" s="1198">
        <f t="shared" si="70"/>
        <v>3.764859504640385</v>
      </c>
      <c r="U235" s="1199">
        <f t="shared" si="70"/>
        <v>18.824297523201924</v>
      </c>
      <c r="V235" s="1199">
        <f t="shared" si="70"/>
        <v>0</v>
      </c>
      <c r="W235" s="1200">
        <f t="shared" si="70"/>
        <v>1.1294578513921154</v>
      </c>
    </row>
    <row r="236" spans="1:23">
      <c r="A236" s="123">
        <f>'Input data'!A136</f>
        <v>2036</v>
      </c>
      <c r="B236" s="1208">
        <f>'Recycling - Case 3'!AI116</f>
        <v>6437.6604656145792</v>
      </c>
      <c r="C236" s="1209">
        <f t="shared" si="75"/>
        <v>0.5</v>
      </c>
      <c r="D236" s="1209">
        <f t="shared" si="75"/>
        <v>0.5</v>
      </c>
      <c r="E236" s="53">
        <v>0</v>
      </c>
      <c r="F236" s="53">
        <v>0</v>
      </c>
      <c r="G236" s="776">
        <f t="shared" si="72"/>
        <v>2.5750641862458319</v>
      </c>
      <c r="H236" s="519">
        <f t="shared" si="73"/>
        <v>12.875320931229158</v>
      </c>
      <c r="I236" s="53"/>
      <c r="J236" s="776">
        <f t="shared" si="74"/>
        <v>0.77251925587374948</v>
      </c>
      <c r="K236" s="1210">
        <f>'Recycling - Case 3'!Z156</f>
        <v>3028.9302231111574</v>
      </c>
      <c r="L236" s="1209">
        <f t="shared" si="76"/>
        <v>0.5</v>
      </c>
      <c r="M236" s="1209">
        <f t="shared" si="76"/>
        <v>0.5</v>
      </c>
      <c r="N236" s="53">
        <f t="shared" si="77"/>
        <v>0</v>
      </c>
      <c r="O236" s="53">
        <f t="shared" si="77"/>
        <v>0</v>
      </c>
      <c r="P236" s="776">
        <f t="shared" si="67"/>
        <v>1.211572089244463</v>
      </c>
      <c r="Q236" s="519">
        <f t="shared" si="68"/>
        <v>6.0578604462223149</v>
      </c>
      <c r="R236" s="53"/>
      <c r="S236" s="1211">
        <f t="shared" si="69"/>
        <v>0.36347162677333889</v>
      </c>
      <c r="T236" s="1198">
        <f t="shared" si="70"/>
        <v>3.7866362754902951</v>
      </c>
      <c r="U236" s="1199">
        <f t="shared" si="70"/>
        <v>18.933181377451472</v>
      </c>
      <c r="V236" s="1199">
        <f t="shared" si="70"/>
        <v>0</v>
      </c>
      <c r="W236" s="1200">
        <f t="shared" si="70"/>
        <v>1.1359908826470884</v>
      </c>
    </row>
    <row r="237" spans="1:23">
      <c r="A237" s="123">
        <f>'Input data'!A137</f>
        <v>2037</v>
      </c>
      <c r="B237" s="1208">
        <f>'Recycling - Case 3'!AI117</f>
        <v>6437.6604656145792</v>
      </c>
      <c r="C237" s="1209">
        <f t="shared" si="75"/>
        <v>0.5</v>
      </c>
      <c r="D237" s="1209">
        <f t="shared" si="75"/>
        <v>0.5</v>
      </c>
      <c r="E237" s="53">
        <v>0</v>
      </c>
      <c r="F237" s="53">
        <v>0</v>
      </c>
      <c r="G237" s="776">
        <f t="shared" si="72"/>
        <v>2.5750641862458319</v>
      </c>
      <c r="H237" s="519">
        <f t="shared" si="73"/>
        <v>12.875320931229158</v>
      </c>
      <c r="I237" s="53"/>
      <c r="J237" s="776">
        <f t="shared" si="74"/>
        <v>0.77251925587374948</v>
      </c>
      <c r="K237" s="1210">
        <f>'Recycling - Case 3'!Z157</f>
        <v>3094.3681649355021</v>
      </c>
      <c r="L237" s="1209">
        <f t="shared" si="76"/>
        <v>0.5</v>
      </c>
      <c r="M237" s="1209">
        <f t="shared" si="76"/>
        <v>0.5</v>
      </c>
      <c r="N237" s="53">
        <f t="shared" si="77"/>
        <v>0</v>
      </c>
      <c r="O237" s="53">
        <f t="shared" si="77"/>
        <v>0</v>
      </c>
      <c r="P237" s="776">
        <f t="shared" si="67"/>
        <v>1.2377472659742008</v>
      </c>
      <c r="Q237" s="519">
        <f t="shared" si="68"/>
        <v>6.1887363298710039</v>
      </c>
      <c r="R237" s="53"/>
      <c r="S237" s="1211">
        <f t="shared" si="69"/>
        <v>0.37132417979226023</v>
      </c>
      <c r="T237" s="1198">
        <f t="shared" si="70"/>
        <v>3.8128114522200329</v>
      </c>
      <c r="U237" s="1199">
        <f t="shared" si="70"/>
        <v>19.06405726110016</v>
      </c>
      <c r="V237" s="1199">
        <f t="shared" si="70"/>
        <v>0</v>
      </c>
      <c r="W237" s="1200">
        <f t="shared" si="70"/>
        <v>1.1438434356660097</v>
      </c>
    </row>
    <row r="238" spans="1:23">
      <c r="A238" s="123">
        <f>'Input data'!A138</f>
        <v>2038</v>
      </c>
      <c r="B238" s="1208">
        <f>'Recycling - Case 3'!AI118</f>
        <v>6437.6604656145792</v>
      </c>
      <c r="C238" s="1209">
        <f t="shared" si="75"/>
        <v>0.5</v>
      </c>
      <c r="D238" s="1209">
        <f t="shared" si="75"/>
        <v>0.5</v>
      </c>
      <c r="E238" s="53">
        <v>0</v>
      </c>
      <c r="F238" s="53">
        <v>0</v>
      </c>
      <c r="G238" s="776">
        <f t="shared" si="72"/>
        <v>2.5750641862458319</v>
      </c>
      <c r="H238" s="519">
        <f t="shared" si="73"/>
        <v>12.875320931229158</v>
      </c>
      <c r="I238" s="53"/>
      <c r="J238" s="776">
        <f t="shared" si="74"/>
        <v>0.77251925587374948</v>
      </c>
      <c r="K238" s="1210">
        <f>'Recycling - Case 3'!Z158</f>
        <v>3164.033992993629</v>
      </c>
      <c r="L238" s="1209">
        <f t="shared" si="76"/>
        <v>0.5</v>
      </c>
      <c r="M238" s="1209">
        <f t="shared" si="76"/>
        <v>0.5</v>
      </c>
      <c r="N238" s="53">
        <f t="shared" si="77"/>
        <v>0</v>
      </c>
      <c r="O238" s="53">
        <f t="shared" si="77"/>
        <v>0</v>
      </c>
      <c r="P238" s="776">
        <f t="shared" si="67"/>
        <v>1.2656135971974518</v>
      </c>
      <c r="Q238" s="519">
        <f t="shared" si="68"/>
        <v>6.3280679859872579</v>
      </c>
      <c r="R238" s="53"/>
      <c r="S238" s="1211">
        <f t="shared" si="69"/>
        <v>0.37968407915923547</v>
      </c>
      <c r="T238" s="1198">
        <f t="shared" si="70"/>
        <v>3.8406777834432839</v>
      </c>
      <c r="U238" s="1199">
        <f t="shared" si="70"/>
        <v>19.203388917216415</v>
      </c>
      <c r="V238" s="1199">
        <f t="shared" si="70"/>
        <v>0</v>
      </c>
      <c r="W238" s="1200">
        <f t="shared" si="70"/>
        <v>1.152203335032985</v>
      </c>
    </row>
    <row r="239" spans="1:23">
      <c r="A239" s="123">
        <f>'Input data'!A139</f>
        <v>2039</v>
      </c>
      <c r="B239" s="1208">
        <f>'Recycling - Case 3'!AI119</f>
        <v>6437.6604656145792</v>
      </c>
      <c r="C239" s="1209">
        <f t="shared" si="75"/>
        <v>0.5</v>
      </c>
      <c r="D239" s="1209">
        <f t="shared" si="75"/>
        <v>0.5</v>
      </c>
      <c r="E239" s="53">
        <v>0</v>
      </c>
      <c r="F239" s="53">
        <v>0</v>
      </c>
      <c r="G239" s="776">
        <f t="shared" si="72"/>
        <v>2.5750641862458319</v>
      </c>
      <c r="H239" s="519">
        <f t="shared" si="73"/>
        <v>12.875320931229158</v>
      </c>
      <c r="I239" s="53"/>
      <c r="J239" s="776">
        <f t="shared" si="74"/>
        <v>0.77251925587374948</v>
      </c>
      <c r="K239" s="1210">
        <f>'Recycling - Case 3'!Z159</f>
        <v>3238.0089949574353</v>
      </c>
      <c r="L239" s="1209">
        <f t="shared" si="76"/>
        <v>0.5</v>
      </c>
      <c r="M239" s="1209">
        <f t="shared" si="76"/>
        <v>0.5</v>
      </c>
      <c r="N239" s="53">
        <f t="shared" si="77"/>
        <v>0</v>
      </c>
      <c r="O239" s="53">
        <f t="shared" si="77"/>
        <v>0</v>
      </c>
      <c r="P239" s="776">
        <f t="shared" si="67"/>
        <v>1.2952035979829744</v>
      </c>
      <c r="Q239" s="519">
        <f t="shared" si="68"/>
        <v>6.4760179899148707</v>
      </c>
      <c r="R239" s="53"/>
      <c r="S239" s="1211">
        <f t="shared" si="69"/>
        <v>0.38856107939489221</v>
      </c>
      <c r="T239" s="1198">
        <f t="shared" si="70"/>
        <v>3.8702677842288065</v>
      </c>
      <c r="U239" s="1199">
        <f t="shared" si="70"/>
        <v>19.351338921144027</v>
      </c>
      <c r="V239" s="1199">
        <f t="shared" si="70"/>
        <v>0</v>
      </c>
      <c r="W239" s="1200">
        <f t="shared" si="70"/>
        <v>1.1610803352686416</v>
      </c>
    </row>
    <row r="240" spans="1:23">
      <c r="A240" s="123">
        <f>'Input data'!A140</f>
        <v>2040</v>
      </c>
      <c r="B240" s="1208">
        <f>'Recycling - Case 3'!AI120</f>
        <v>6437.6604656145792</v>
      </c>
      <c r="C240" s="1209">
        <f t="shared" ref="C240:D250" si="78">C239</f>
        <v>0.5</v>
      </c>
      <c r="D240" s="1209">
        <f t="shared" si="78"/>
        <v>0.5</v>
      </c>
      <c r="E240" s="53">
        <v>0</v>
      </c>
      <c r="F240" s="53">
        <v>0</v>
      </c>
      <c r="G240" s="776">
        <f t="shared" si="72"/>
        <v>2.5750641862458319</v>
      </c>
      <c r="H240" s="519">
        <f t="shared" si="73"/>
        <v>12.875320931229158</v>
      </c>
      <c r="I240" s="53"/>
      <c r="J240" s="776">
        <f t="shared" si="74"/>
        <v>0.77251925587374948</v>
      </c>
      <c r="K240" s="1210">
        <f>'Recycling - Case 3'!Z160</f>
        <v>3315.2894651604388</v>
      </c>
      <c r="L240" s="1209">
        <f t="shared" ref="L240:M250" si="79">L239</f>
        <v>0.5</v>
      </c>
      <c r="M240" s="1209">
        <f t="shared" si="79"/>
        <v>0.5</v>
      </c>
      <c r="N240" s="53">
        <f t="shared" si="77"/>
        <v>0</v>
      </c>
      <c r="O240" s="53">
        <f t="shared" si="77"/>
        <v>0</v>
      </c>
      <c r="P240" s="776">
        <f t="shared" si="67"/>
        <v>1.3261157860641757</v>
      </c>
      <c r="Q240" s="519">
        <f t="shared" si="68"/>
        <v>6.630578930320878</v>
      </c>
      <c r="R240" s="53"/>
      <c r="S240" s="1211">
        <f t="shared" si="69"/>
        <v>0.39783473581925261</v>
      </c>
      <c r="T240" s="1198">
        <f t="shared" si="70"/>
        <v>3.9011799723100076</v>
      </c>
      <c r="U240" s="1199">
        <f t="shared" si="70"/>
        <v>19.505899861550034</v>
      </c>
      <c r="V240" s="1199">
        <f t="shared" si="70"/>
        <v>0</v>
      </c>
      <c r="W240" s="1200">
        <f t="shared" si="70"/>
        <v>1.1703539916930021</v>
      </c>
    </row>
    <row r="241" spans="1:23">
      <c r="A241" s="123">
        <f>'Input data'!A141</f>
        <v>2041</v>
      </c>
      <c r="B241" s="1208">
        <f>'Recycling - Case 3'!AI121</f>
        <v>6437.6604656145792</v>
      </c>
      <c r="C241" s="1209">
        <f t="shared" si="78"/>
        <v>0.5</v>
      </c>
      <c r="D241" s="1209">
        <f t="shared" si="78"/>
        <v>0.5</v>
      </c>
      <c r="E241" s="53">
        <v>0</v>
      </c>
      <c r="F241" s="53">
        <v>0</v>
      </c>
      <c r="G241" s="776">
        <f t="shared" si="72"/>
        <v>2.5750641862458319</v>
      </c>
      <c r="H241" s="519">
        <f t="shared" si="73"/>
        <v>12.875320931229158</v>
      </c>
      <c r="I241" s="53"/>
      <c r="J241" s="776">
        <f t="shared" si="74"/>
        <v>0.77251925587374948</v>
      </c>
      <c r="K241" s="1210">
        <f>'Recycling - Case 3'!Z161</f>
        <v>3395.1557266364357</v>
      </c>
      <c r="L241" s="1209">
        <f t="shared" si="79"/>
        <v>0.5</v>
      </c>
      <c r="M241" s="1209">
        <f t="shared" si="79"/>
        <v>0.5</v>
      </c>
      <c r="N241" s="53">
        <f t="shared" si="77"/>
        <v>0</v>
      </c>
      <c r="O241" s="53">
        <f t="shared" si="77"/>
        <v>0</v>
      </c>
      <c r="P241" s="776">
        <f t="shared" si="67"/>
        <v>1.3580622906545743</v>
      </c>
      <c r="Q241" s="519">
        <f t="shared" si="68"/>
        <v>6.7903114532728717</v>
      </c>
      <c r="R241" s="53"/>
      <c r="S241" s="1211">
        <f t="shared" si="69"/>
        <v>0.40741868719637225</v>
      </c>
      <c r="T241" s="1198">
        <f t="shared" si="70"/>
        <v>3.933126476900406</v>
      </c>
      <c r="U241" s="1199">
        <f t="shared" si="70"/>
        <v>19.665632384502029</v>
      </c>
      <c r="V241" s="1199">
        <f t="shared" si="70"/>
        <v>0</v>
      </c>
      <c r="W241" s="1200">
        <f t="shared" si="70"/>
        <v>1.1799379430701218</v>
      </c>
    </row>
    <row r="242" spans="1:23">
      <c r="A242" s="123">
        <f>'Input data'!A142</f>
        <v>2042</v>
      </c>
      <c r="B242" s="1208">
        <f>'Recycling - Case 3'!AI122</f>
        <v>6437.6604656145792</v>
      </c>
      <c r="C242" s="1209">
        <f t="shared" si="78"/>
        <v>0.5</v>
      </c>
      <c r="D242" s="1209">
        <f t="shared" si="78"/>
        <v>0.5</v>
      </c>
      <c r="E242" s="53">
        <v>0</v>
      </c>
      <c r="F242" s="53">
        <v>0</v>
      </c>
      <c r="G242" s="776">
        <f t="shared" si="72"/>
        <v>2.5750641862458319</v>
      </c>
      <c r="H242" s="519">
        <f t="shared" si="73"/>
        <v>12.875320931229158</v>
      </c>
      <c r="I242" s="53"/>
      <c r="J242" s="776">
        <f t="shared" si="74"/>
        <v>0.77251925587374948</v>
      </c>
      <c r="K242" s="1210">
        <f>'Recycling - Case 3'!Z162</f>
        <v>3470.1008403756309</v>
      </c>
      <c r="L242" s="1209">
        <f t="shared" si="79"/>
        <v>0.5</v>
      </c>
      <c r="M242" s="1209">
        <f t="shared" si="79"/>
        <v>0.5</v>
      </c>
      <c r="N242" s="53">
        <f t="shared" si="77"/>
        <v>0</v>
      </c>
      <c r="O242" s="53">
        <f t="shared" si="77"/>
        <v>0</v>
      </c>
      <c r="P242" s="776">
        <f t="shared" si="67"/>
        <v>1.3880403361502525</v>
      </c>
      <c r="Q242" s="519">
        <f t="shared" si="68"/>
        <v>6.9402016807512616</v>
      </c>
      <c r="R242" s="53"/>
      <c r="S242" s="1211">
        <f t="shared" si="69"/>
        <v>0.41641210084507574</v>
      </c>
      <c r="T242" s="1198">
        <f t="shared" si="70"/>
        <v>3.9631045223960841</v>
      </c>
      <c r="U242" s="1199">
        <f t="shared" si="70"/>
        <v>19.81552261198042</v>
      </c>
      <c r="V242" s="1199">
        <f t="shared" si="70"/>
        <v>0</v>
      </c>
      <c r="W242" s="1200">
        <f t="shared" si="70"/>
        <v>1.1889313567188253</v>
      </c>
    </row>
    <row r="243" spans="1:23">
      <c r="A243" s="123">
        <f>'Input data'!A143</f>
        <v>2043</v>
      </c>
      <c r="B243" s="1208">
        <f>'Recycling - Case 3'!AI123</f>
        <v>6437.6604656145792</v>
      </c>
      <c r="C243" s="1209">
        <f t="shared" si="78"/>
        <v>0.5</v>
      </c>
      <c r="D243" s="1209">
        <f t="shared" si="78"/>
        <v>0.5</v>
      </c>
      <c r="E243" s="53">
        <v>0</v>
      </c>
      <c r="F243" s="53">
        <v>0</v>
      </c>
      <c r="G243" s="776">
        <f t="shared" si="72"/>
        <v>2.5750641862458319</v>
      </c>
      <c r="H243" s="519">
        <f t="shared" si="73"/>
        <v>12.875320931229158</v>
      </c>
      <c r="I243" s="53"/>
      <c r="J243" s="776">
        <f t="shared" si="74"/>
        <v>0.77251925587374948</v>
      </c>
      <c r="K243" s="1210">
        <f>'Recycling - Case 3'!Z163</f>
        <v>3546.6332077594516</v>
      </c>
      <c r="L243" s="1209">
        <f t="shared" si="79"/>
        <v>0.5</v>
      </c>
      <c r="M243" s="1209">
        <f t="shared" si="79"/>
        <v>0.5</v>
      </c>
      <c r="N243" s="53">
        <f t="shared" si="77"/>
        <v>0</v>
      </c>
      <c r="O243" s="53">
        <f t="shared" si="77"/>
        <v>0</v>
      </c>
      <c r="P243" s="776">
        <f t="shared" si="67"/>
        <v>1.4186532831037808</v>
      </c>
      <c r="Q243" s="519">
        <f t="shared" si="68"/>
        <v>7.0932664155189036</v>
      </c>
      <c r="R243" s="53"/>
      <c r="S243" s="1211">
        <f t="shared" si="69"/>
        <v>0.42559598493113421</v>
      </c>
      <c r="T243" s="1198">
        <f t="shared" si="70"/>
        <v>3.9937174693496127</v>
      </c>
      <c r="U243" s="1199">
        <f t="shared" si="70"/>
        <v>19.968587346748063</v>
      </c>
      <c r="V243" s="1199">
        <f t="shared" si="70"/>
        <v>0</v>
      </c>
      <c r="W243" s="1200">
        <f t="shared" si="70"/>
        <v>1.1981152408048836</v>
      </c>
    </row>
    <row r="244" spans="1:23">
      <c r="A244" s="123">
        <f>'Input data'!A144</f>
        <v>2044</v>
      </c>
      <c r="B244" s="1208">
        <f>'Recycling - Case 3'!AI124</f>
        <v>6437.6604656145792</v>
      </c>
      <c r="C244" s="1209">
        <f t="shared" si="78"/>
        <v>0.5</v>
      </c>
      <c r="D244" s="1209">
        <f t="shared" si="78"/>
        <v>0.5</v>
      </c>
      <c r="E244" s="53">
        <v>0</v>
      </c>
      <c r="F244" s="53">
        <v>0</v>
      </c>
      <c r="G244" s="776">
        <f t="shared" si="72"/>
        <v>2.5750641862458319</v>
      </c>
      <c r="H244" s="519">
        <f t="shared" si="73"/>
        <v>12.875320931229158</v>
      </c>
      <c r="I244" s="53"/>
      <c r="J244" s="776">
        <f t="shared" si="74"/>
        <v>0.77251925587374948</v>
      </c>
      <c r="K244" s="1210">
        <f>'Recycling - Case 3'!Z164</f>
        <v>3624.8360532382567</v>
      </c>
      <c r="L244" s="1209">
        <f t="shared" si="79"/>
        <v>0.5</v>
      </c>
      <c r="M244" s="1209">
        <f t="shared" si="79"/>
        <v>0.5</v>
      </c>
      <c r="N244" s="53">
        <f t="shared" si="77"/>
        <v>0</v>
      </c>
      <c r="O244" s="53">
        <f t="shared" si="77"/>
        <v>0</v>
      </c>
      <c r="P244" s="776">
        <f t="shared" si="67"/>
        <v>1.4499344212953029</v>
      </c>
      <c r="Q244" s="519">
        <f t="shared" si="68"/>
        <v>7.2496721064765133</v>
      </c>
      <c r="R244" s="53"/>
      <c r="S244" s="1211">
        <f t="shared" si="69"/>
        <v>0.4349803263885908</v>
      </c>
      <c r="T244" s="1198">
        <f t="shared" si="70"/>
        <v>4.0249986075411348</v>
      </c>
      <c r="U244" s="1199">
        <f t="shared" si="70"/>
        <v>20.124993037705671</v>
      </c>
      <c r="V244" s="1199">
        <f t="shared" si="70"/>
        <v>0</v>
      </c>
      <c r="W244" s="1200">
        <f t="shared" si="70"/>
        <v>1.2074995822623402</v>
      </c>
    </row>
    <row r="245" spans="1:23">
      <c r="A245" s="123">
        <f>'Input data'!A145</f>
        <v>2045</v>
      </c>
      <c r="B245" s="1208">
        <f>'Recycling - Case 3'!AI125</f>
        <v>6437.6604656145792</v>
      </c>
      <c r="C245" s="1209">
        <f t="shared" si="78"/>
        <v>0.5</v>
      </c>
      <c r="D245" s="1209">
        <f t="shared" si="78"/>
        <v>0.5</v>
      </c>
      <c r="E245" s="53">
        <v>0</v>
      </c>
      <c r="F245" s="53">
        <v>0</v>
      </c>
      <c r="G245" s="776">
        <f t="shared" si="72"/>
        <v>2.5750641862458319</v>
      </c>
      <c r="H245" s="519">
        <f t="shared" si="73"/>
        <v>12.875320931229158</v>
      </c>
      <c r="I245" s="53"/>
      <c r="J245" s="776">
        <f t="shared" si="74"/>
        <v>0.77251925587374948</v>
      </c>
      <c r="K245" s="1210">
        <f>'Recycling - Case 3'!Z165</f>
        <v>3706.6083970608752</v>
      </c>
      <c r="L245" s="1209">
        <f t="shared" si="79"/>
        <v>0.5</v>
      </c>
      <c r="M245" s="1209">
        <f t="shared" si="79"/>
        <v>0.5</v>
      </c>
      <c r="N245" s="53">
        <f t="shared" si="77"/>
        <v>0</v>
      </c>
      <c r="O245" s="53">
        <f t="shared" si="77"/>
        <v>0</v>
      </c>
      <c r="P245" s="776">
        <f t="shared" si="67"/>
        <v>1.4826433588243502</v>
      </c>
      <c r="Q245" s="519">
        <f t="shared" si="68"/>
        <v>7.4132167941217499</v>
      </c>
      <c r="R245" s="53"/>
      <c r="S245" s="1211">
        <f t="shared" si="69"/>
        <v>0.44479300764730501</v>
      </c>
      <c r="T245" s="1198">
        <f t="shared" si="70"/>
        <v>4.0577075450701816</v>
      </c>
      <c r="U245" s="1199">
        <f t="shared" si="70"/>
        <v>20.288537725350906</v>
      </c>
      <c r="V245" s="1199">
        <f t="shared" si="70"/>
        <v>0</v>
      </c>
      <c r="W245" s="1200">
        <f t="shared" si="70"/>
        <v>1.2173122635210545</v>
      </c>
    </row>
    <row r="246" spans="1:23">
      <c r="A246" s="123">
        <f>'Input data'!A146</f>
        <v>2046</v>
      </c>
      <c r="B246" s="1208">
        <f>'Recycling - Case 3'!AI126</f>
        <v>6437.6604656145792</v>
      </c>
      <c r="C246" s="1209">
        <f t="shared" si="78"/>
        <v>0.5</v>
      </c>
      <c r="D246" s="1209">
        <f t="shared" si="78"/>
        <v>0.5</v>
      </c>
      <c r="E246" s="53">
        <v>0</v>
      </c>
      <c r="F246" s="53">
        <v>0</v>
      </c>
      <c r="G246" s="776">
        <f t="shared" si="72"/>
        <v>2.5750641862458319</v>
      </c>
      <c r="H246" s="519">
        <f t="shared" si="73"/>
        <v>12.875320931229158</v>
      </c>
      <c r="I246" s="53"/>
      <c r="J246" s="776">
        <f t="shared" si="74"/>
        <v>0.77251925587374948</v>
      </c>
      <c r="K246" s="1210">
        <f>'Recycling - Case 3'!Z166</f>
        <v>3790.5155384385994</v>
      </c>
      <c r="L246" s="1209">
        <f t="shared" si="79"/>
        <v>0.5</v>
      </c>
      <c r="M246" s="1209">
        <f t="shared" si="79"/>
        <v>0.5</v>
      </c>
      <c r="N246" s="53">
        <f t="shared" si="77"/>
        <v>0</v>
      </c>
      <c r="O246" s="53">
        <f t="shared" si="77"/>
        <v>0</v>
      </c>
      <c r="P246" s="776">
        <f t="shared" si="67"/>
        <v>1.5162062153754399</v>
      </c>
      <c r="Q246" s="519">
        <f t="shared" si="68"/>
        <v>7.5810310768771991</v>
      </c>
      <c r="R246" s="53"/>
      <c r="S246" s="1211">
        <f t="shared" si="69"/>
        <v>0.45486186461263189</v>
      </c>
      <c r="T246" s="1198">
        <f t="shared" si="70"/>
        <v>4.091270401621272</v>
      </c>
      <c r="U246" s="1199">
        <f t="shared" si="70"/>
        <v>20.456352008106357</v>
      </c>
      <c r="V246" s="1199">
        <f t="shared" si="70"/>
        <v>0</v>
      </c>
      <c r="W246" s="1200">
        <f t="shared" si="70"/>
        <v>1.2273811204863814</v>
      </c>
    </row>
    <row r="247" spans="1:23">
      <c r="A247" s="123">
        <f>'Input data'!A147</f>
        <v>2047</v>
      </c>
      <c r="B247" s="1208">
        <f>'Recycling - Case 3'!AI127</f>
        <v>6437.6604656145792</v>
      </c>
      <c r="C247" s="1209">
        <f t="shared" si="78"/>
        <v>0.5</v>
      </c>
      <c r="D247" s="1209">
        <f t="shared" si="78"/>
        <v>0.5</v>
      </c>
      <c r="E247" s="53">
        <v>0</v>
      </c>
      <c r="F247" s="53">
        <v>0</v>
      </c>
      <c r="G247" s="776">
        <f t="shared" si="72"/>
        <v>2.5750641862458319</v>
      </c>
      <c r="H247" s="519">
        <f t="shared" si="73"/>
        <v>12.875320931229158</v>
      </c>
      <c r="I247" s="53"/>
      <c r="J247" s="776">
        <f t="shared" si="74"/>
        <v>0.77251925587374948</v>
      </c>
      <c r="K247" s="1210">
        <f>'Recycling - Case 3'!Z167</f>
        <v>3842.0800669387309</v>
      </c>
      <c r="L247" s="1209">
        <f t="shared" si="79"/>
        <v>0.5</v>
      </c>
      <c r="M247" s="1209">
        <f t="shared" si="79"/>
        <v>0.5</v>
      </c>
      <c r="N247" s="53">
        <f t="shared" si="77"/>
        <v>0</v>
      </c>
      <c r="O247" s="53">
        <f t="shared" si="77"/>
        <v>0</v>
      </c>
      <c r="P247" s="776">
        <f t="shared" si="67"/>
        <v>1.5368320267754925</v>
      </c>
      <c r="Q247" s="519">
        <f t="shared" si="68"/>
        <v>7.6841601338774614</v>
      </c>
      <c r="R247" s="53"/>
      <c r="S247" s="1211">
        <f t="shared" si="69"/>
        <v>0.46104960803264772</v>
      </c>
      <c r="T247" s="1198">
        <f t="shared" si="70"/>
        <v>4.1118962130213248</v>
      </c>
      <c r="U247" s="1199">
        <f t="shared" si="70"/>
        <v>20.55948106510662</v>
      </c>
      <c r="V247" s="1199">
        <f t="shared" si="70"/>
        <v>0</v>
      </c>
      <c r="W247" s="1200">
        <f t="shared" si="70"/>
        <v>1.2335688639063971</v>
      </c>
    </row>
    <row r="248" spans="1:23">
      <c r="A248" s="123">
        <f>'Input data'!A148</f>
        <v>2048</v>
      </c>
      <c r="B248" s="1208">
        <f>'Recycling - Case 3'!AI128</f>
        <v>6437.6604656145792</v>
      </c>
      <c r="C248" s="1209">
        <f t="shared" si="78"/>
        <v>0.5</v>
      </c>
      <c r="D248" s="1209">
        <f t="shared" si="78"/>
        <v>0.5</v>
      </c>
      <c r="E248" s="53">
        <v>0</v>
      </c>
      <c r="F248" s="53">
        <v>0</v>
      </c>
      <c r="G248" s="776">
        <f t="shared" si="72"/>
        <v>2.5750641862458319</v>
      </c>
      <c r="H248" s="519">
        <f t="shared" si="73"/>
        <v>12.875320931229158</v>
      </c>
      <c r="I248" s="53"/>
      <c r="J248" s="776">
        <f t="shared" si="74"/>
        <v>0.77251925587374948</v>
      </c>
      <c r="K248" s="1210">
        <f>'Recycling - Case 3'!Z168</f>
        <v>3888.8597695942517</v>
      </c>
      <c r="L248" s="1209">
        <f t="shared" si="79"/>
        <v>0.5</v>
      </c>
      <c r="M248" s="1209">
        <f t="shared" si="79"/>
        <v>0.5</v>
      </c>
      <c r="N248" s="53">
        <f t="shared" si="77"/>
        <v>0</v>
      </c>
      <c r="O248" s="53">
        <f t="shared" si="77"/>
        <v>0</v>
      </c>
      <c r="P248" s="776">
        <f t="shared" si="67"/>
        <v>1.5555439078377007</v>
      </c>
      <c r="Q248" s="519">
        <f t="shared" si="68"/>
        <v>7.777719539188503</v>
      </c>
      <c r="R248" s="53"/>
      <c r="S248" s="1211">
        <f t="shared" si="69"/>
        <v>0.46666317235131022</v>
      </c>
      <c r="T248" s="1198">
        <f t="shared" si="70"/>
        <v>4.1306080940835326</v>
      </c>
      <c r="U248" s="1199">
        <f t="shared" si="70"/>
        <v>20.653040470417661</v>
      </c>
      <c r="V248" s="1199">
        <f t="shared" si="70"/>
        <v>0</v>
      </c>
      <c r="W248" s="1200">
        <f t="shared" si="70"/>
        <v>1.2391824282250596</v>
      </c>
    </row>
    <row r="249" spans="1:23">
      <c r="A249" s="123">
        <f>'Input data'!A149</f>
        <v>2049</v>
      </c>
      <c r="B249" s="1208">
        <f>'Recycling - Case 3'!AI129</f>
        <v>6437.6604656145792</v>
      </c>
      <c r="C249" s="1209">
        <f t="shared" si="78"/>
        <v>0.5</v>
      </c>
      <c r="D249" s="1209">
        <f t="shared" si="78"/>
        <v>0.5</v>
      </c>
      <c r="E249" s="53">
        <v>0</v>
      </c>
      <c r="F249" s="53">
        <v>0</v>
      </c>
      <c r="G249" s="776">
        <f t="shared" si="72"/>
        <v>2.5750641862458319</v>
      </c>
      <c r="H249" s="519">
        <f t="shared" si="73"/>
        <v>12.875320931229158</v>
      </c>
      <c r="I249" s="53"/>
      <c r="J249" s="776">
        <f t="shared" si="74"/>
        <v>0.77251925587374948</v>
      </c>
      <c r="K249" s="1210">
        <f>'Recycling - Case 3'!Z169</f>
        <v>3938.7085361162012</v>
      </c>
      <c r="L249" s="1209">
        <f t="shared" si="79"/>
        <v>0.5</v>
      </c>
      <c r="M249" s="1209">
        <f t="shared" si="79"/>
        <v>0.5</v>
      </c>
      <c r="N249" s="53">
        <f t="shared" si="77"/>
        <v>0</v>
      </c>
      <c r="O249" s="53">
        <f t="shared" si="77"/>
        <v>0</v>
      </c>
      <c r="P249" s="776">
        <f t="shared" si="67"/>
        <v>1.5754834144464804</v>
      </c>
      <c r="Q249" s="519">
        <f t="shared" si="68"/>
        <v>7.8774170722324026</v>
      </c>
      <c r="R249" s="53"/>
      <c r="S249" s="1211">
        <f t="shared" si="69"/>
        <v>0.47264502433394417</v>
      </c>
      <c r="T249" s="1198">
        <f t="shared" si="70"/>
        <v>4.1505476006923123</v>
      </c>
      <c r="U249" s="1199">
        <f t="shared" si="70"/>
        <v>20.752738003461559</v>
      </c>
      <c r="V249" s="1199">
        <f t="shared" si="70"/>
        <v>0</v>
      </c>
      <c r="W249" s="1200">
        <f t="shared" si="70"/>
        <v>1.2451642802076937</v>
      </c>
    </row>
    <row r="250" spans="1:23" ht="15.75" thickBot="1">
      <c r="A250" s="123">
        <f>'Input data'!A150</f>
        <v>2050</v>
      </c>
      <c r="B250" s="1208">
        <f>'Recycling - Case 3'!AI130</f>
        <v>6437.6604656145792</v>
      </c>
      <c r="C250" s="576">
        <f t="shared" si="78"/>
        <v>0.5</v>
      </c>
      <c r="D250" s="576">
        <f t="shared" si="78"/>
        <v>0.5</v>
      </c>
      <c r="E250" s="58">
        <v>0</v>
      </c>
      <c r="F250" s="58">
        <v>0</v>
      </c>
      <c r="G250" s="1365">
        <f t="shared" si="72"/>
        <v>2.5750641862458319</v>
      </c>
      <c r="H250" s="1102">
        <f t="shared" si="73"/>
        <v>12.875320931229158</v>
      </c>
      <c r="I250" s="58"/>
      <c r="J250" s="1365">
        <f t="shared" si="74"/>
        <v>0.77251925587374948</v>
      </c>
      <c r="K250" s="1210">
        <f>'Recycling - Case 3'!Z170</f>
        <v>3985.2140129658874</v>
      </c>
      <c r="L250" s="578">
        <f t="shared" si="79"/>
        <v>0.5</v>
      </c>
      <c r="M250" s="578">
        <f t="shared" si="79"/>
        <v>0.5</v>
      </c>
      <c r="N250" s="1212">
        <f t="shared" ref="N250:O250" si="80">N112</f>
        <v>0</v>
      </c>
      <c r="O250" s="1212">
        <f t="shared" si="80"/>
        <v>0</v>
      </c>
      <c r="P250" s="1213">
        <f t="shared" si="67"/>
        <v>1.594085605186355</v>
      </c>
      <c r="Q250" s="1144">
        <f t="shared" si="68"/>
        <v>7.970428025931775</v>
      </c>
      <c r="R250" s="1212"/>
      <c r="S250" s="1214">
        <f t="shared" si="69"/>
        <v>0.4782256815559065</v>
      </c>
      <c r="T250" s="1215">
        <f t="shared" si="70"/>
        <v>4.1691497914321864</v>
      </c>
      <c r="U250" s="1216">
        <f t="shared" si="70"/>
        <v>20.845748957160932</v>
      </c>
      <c r="V250" s="1216">
        <f t="shared" si="70"/>
        <v>0</v>
      </c>
      <c r="W250" s="1217">
        <f t="shared" si="70"/>
        <v>1.250744937429656</v>
      </c>
    </row>
    <row r="251" spans="1:23">
      <c r="A251" s="1362" t="s">
        <v>655</v>
      </c>
      <c r="B251" s="1207"/>
      <c r="C251" s="1218"/>
      <c r="D251" s="1218"/>
      <c r="E251" s="1219"/>
      <c r="F251" s="1219"/>
      <c r="G251" s="1220"/>
      <c r="H251" s="1221"/>
      <c r="I251" s="1222"/>
      <c r="J251" s="1224"/>
      <c r="K251" s="1221"/>
      <c r="L251" s="1218"/>
      <c r="M251" s="1218"/>
      <c r="N251" s="1219"/>
      <c r="O251" s="1219"/>
      <c r="P251" s="1220"/>
      <c r="Q251" s="1221"/>
      <c r="R251" s="1219"/>
      <c r="S251" s="1224"/>
      <c r="T251" s="1194"/>
      <c r="U251" s="1195"/>
      <c r="V251" s="1195"/>
      <c r="W251" s="1196"/>
    </row>
    <row r="252" spans="1:23">
      <c r="A252" s="466">
        <f>'Input data'!A118</f>
        <v>2018</v>
      </c>
      <c r="B252" s="1366">
        <f>'Recycling - Case 3'!AI98</f>
        <v>3707.5235423427162</v>
      </c>
      <c r="C252" s="576">
        <f>($C$256-$C$80)/($A$256-$A$80)+C80</f>
        <v>0.14000000000000001</v>
      </c>
      <c r="D252" s="576">
        <f>1-C252</f>
        <v>0.86</v>
      </c>
      <c r="E252" s="58">
        <v>0</v>
      </c>
      <c r="F252" s="58">
        <v>0</v>
      </c>
      <c r="G252" s="1365">
        <f>C252*$D$5*B252/1000-E252</f>
        <v>0.41524263674238426</v>
      </c>
      <c r="H252" s="1102">
        <f>D252*$D$4*B252/1000-F252</f>
        <v>12.753880985658943</v>
      </c>
      <c r="I252" s="58"/>
      <c r="J252" s="1211">
        <f>D252*$D$7*B252/1000</f>
        <v>0.76523285913953654</v>
      </c>
      <c r="K252" s="1364">
        <f>'Recycling - Case 3'!Z178</f>
        <v>1789.9687605419947</v>
      </c>
      <c r="L252" s="576">
        <f>($L$256-$L$80)/($A$256-$A$80)+L80</f>
        <v>0.18</v>
      </c>
      <c r="M252" s="576">
        <f>1-L252</f>
        <v>0.82000000000000006</v>
      </c>
      <c r="N252" s="58">
        <f t="shared" ref="N252:O267" si="81">N114</f>
        <v>0</v>
      </c>
      <c r="O252" s="58">
        <f t="shared" si="81"/>
        <v>0</v>
      </c>
      <c r="P252" s="1365">
        <f t="shared" ref="P252:P284" si="82">L252*$D$5*K252/1000-N252</f>
        <v>0.25775550151804721</v>
      </c>
      <c r="Q252" s="1102">
        <f t="shared" ref="Q252:Q284" si="83">M252*$D$4*K252/1000-O252</f>
        <v>5.8710975345777436</v>
      </c>
      <c r="R252" s="58"/>
      <c r="S252" s="1211">
        <f t="shared" ref="S252:S284" si="84">M252*$D$7*K252/1000</f>
        <v>0.35226585207466454</v>
      </c>
      <c r="T252" s="1198">
        <f t="shared" ref="T252:W284" si="85">G252+P252</f>
        <v>0.67299813826043153</v>
      </c>
      <c r="U252" s="1613">
        <f t="shared" si="85"/>
        <v>18.624978520236688</v>
      </c>
      <c r="V252" s="1613">
        <f t="shared" si="85"/>
        <v>0</v>
      </c>
      <c r="W252" s="1200">
        <f t="shared" si="85"/>
        <v>1.1174987112142012</v>
      </c>
    </row>
    <row r="253" spans="1:23">
      <c r="A253" s="466">
        <f>'Input data'!A119</f>
        <v>2019</v>
      </c>
      <c r="B253" s="1366">
        <f>'Recycling - Case 3'!AI99</f>
        <v>4010.8720893729233</v>
      </c>
      <c r="C253" s="576">
        <f>($C$256-$C$80)/($A$256-$A$80)+C252</f>
        <v>0.23</v>
      </c>
      <c r="D253" s="576">
        <f t="shared" ref="D253:D284" si="86">1-C253</f>
        <v>0.77</v>
      </c>
      <c r="E253" s="58">
        <v>0</v>
      </c>
      <c r="F253" s="58">
        <v>0</v>
      </c>
      <c r="G253" s="1365">
        <f t="shared" ref="G253:G284" si="87">C253*$D$5*B253/1000-E253</f>
        <v>0.73800046444461798</v>
      </c>
      <c r="H253" s="1102">
        <f t="shared" ref="H253:H284" si="88">D253*$D$4*B253/1000-F253</f>
        <v>12.353486035268604</v>
      </c>
      <c r="I253" s="58"/>
      <c r="J253" s="1211">
        <f t="shared" ref="J253:J284" si="89">D253*$D$7*B253/1000</f>
        <v>0.7412091621161162</v>
      </c>
      <c r="K253" s="1364">
        <f>'Recycling - Case 3'!Z179</f>
        <v>1870.6618877196547</v>
      </c>
      <c r="L253" s="576">
        <f>($L$256-$L$80)/($A$256-$A$80)+L252</f>
        <v>0.26</v>
      </c>
      <c r="M253" s="576">
        <f t="shared" ref="M253:M284" si="90">1-L253</f>
        <v>0.74</v>
      </c>
      <c r="N253" s="58">
        <f t="shared" si="81"/>
        <v>0</v>
      </c>
      <c r="O253" s="58">
        <f t="shared" si="81"/>
        <v>0</v>
      </c>
      <c r="P253" s="1365">
        <f t="shared" si="82"/>
        <v>0.38909767264568818</v>
      </c>
      <c r="Q253" s="1102">
        <f t="shared" si="83"/>
        <v>5.537159187650178</v>
      </c>
      <c r="R253" s="58"/>
      <c r="S253" s="1211">
        <f t="shared" si="84"/>
        <v>0.33222955125901066</v>
      </c>
      <c r="T253" s="1198">
        <f t="shared" si="85"/>
        <v>1.1270981370903062</v>
      </c>
      <c r="U253" s="1613">
        <f t="shared" si="85"/>
        <v>17.890645222918781</v>
      </c>
      <c r="V253" s="1613">
        <f t="shared" si="85"/>
        <v>0</v>
      </c>
      <c r="W253" s="1200">
        <f t="shared" si="85"/>
        <v>1.0734387133751269</v>
      </c>
    </row>
    <row r="254" spans="1:23">
      <c r="A254" s="466">
        <f>'Input data'!A120</f>
        <v>2020</v>
      </c>
      <c r="B254" s="1366">
        <f>'Recycling - Case 3'!AI100</f>
        <v>4617.5691834333375</v>
      </c>
      <c r="C254" s="576">
        <f t="shared" ref="C254:C255" si="91">($C$256-$C$80)/($A$256-$A$80)+C253</f>
        <v>0.32</v>
      </c>
      <c r="D254" s="576">
        <f t="shared" si="86"/>
        <v>0.67999999999999994</v>
      </c>
      <c r="E254" s="58">
        <v>0</v>
      </c>
      <c r="F254" s="58">
        <v>0</v>
      </c>
      <c r="G254" s="1365">
        <f t="shared" si="87"/>
        <v>1.1820977109589343</v>
      </c>
      <c r="H254" s="1102">
        <f t="shared" si="88"/>
        <v>12.559788178938678</v>
      </c>
      <c r="I254" s="58"/>
      <c r="J254" s="1211">
        <f t="shared" si="89"/>
        <v>0.75358729073632058</v>
      </c>
      <c r="K254" s="1364">
        <f>'Recycling - Case 3'!Z180</f>
        <v>1913.5469196790364</v>
      </c>
      <c r="L254" s="576">
        <f t="shared" ref="L254:L255" si="92">($L$256-$L$80)/($A$256-$A$80)+L253</f>
        <v>0.34</v>
      </c>
      <c r="M254" s="576">
        <f t="shared" si="90"/>
        <v>0.65999999999999992</v>
      </c>
      <c r="N254" s="58">
        <f t="shared" si="81"/>
        <v>0</v>
      </c>
      <c r="O254" s="58">
        <f t="shared" si="81"/>
        <v>0</v>
      </c>
      <c r="P254" s="1365">
        <f t="shared" si="82"/>
        <v>0.5204847621526979</v>
      </c>
      <c r="Q254" s="1102">
        <f t="shared" si="83"/>
        <v>5.0517638679526558</v>
      </c>
      <c r="R254" s="58"/>
      <c r="S254" s="1211">
        <f t="shared" si="84"/>
        <v>0.30310583207715935</v>
      </c>
      <c r="T254" s="1198">
        <f t="shared" si="85"/>
        <v>1.7025824731116321</v>
      </c>
      <c r="U254" s="1613">
        <f t="shared" si="85"/>
        <v>17.611552046891333</v>
      </c>
      <c r="V254" s="1613">
        <f t="shared" si="85"/>
        <v>0</v>
      </c>
      <c r="W254" s="1200">
        <f t="shared" si="85"/>
        <v>1.0566931228134799</v>
      </c>
    </row>
    <row r="255" spans="1:23">
      <c r="A255" s="466">
        <f>'Input data'!A121</f>
        <v>2021</v>
      </c>
      <c r="B255" s="1366">
        <f>'Recycling - Case 3'!AI101</f>
        <v>5830.9633715541659</v>
      </c>
      <c r="C255" s="576">
        <f t="shared" si="91"/>
        <v>0.41000000000000003</v>
      </c>
      <c r="D255" s="576">
        <f t="shared" si="86"/>
        <v>0.59</v>
      </c>
      <c r="E255" s="58">
        <v>0</v>
      </c>
      <c r="F255" s="58">
        <v>0</v>
      </c>
      <c r="G255" s="1365">
        <f t="shared" si="87"/>
        <v>1.9125559858697667</v>
      </c>
      <c r="H255" s="1102">
        <f t="shared" si="88"/>
        <v>13.76107355686783</v>
      </c>
      <c r="I255" s="58"/>
      <c r="J255" s="1211">
        <f t="shared" si="89"/>
        <v>0.82566441341206975</v>
      </c>
      <c r="K255" s="1364">
        <f>'Recycling - Case 3'!Z181</f>
        <v>2253.4740718925086</v>
      </c>
      <c r="L255" s="576">
        <f t="shared" si="92"/>
        <v>0.42000000000000004</v>
      </c>
      <c r="M255" s="576">
        <f t="shared" si="90"/>
        <v>0.57999999999999996</v>
      </c>
      <c r="N255" s="58">
        <f t="shared" si="81"/>
        <v>0</v>
      </c>
      <c r="O255" s="58">
        <f t="shared" si="81"/>
        <v>0</v>
      </c>
      <c r="P255" s="1365">
        <f t="shared" si="82"/>
        <v>0.75716728815588308</v>
      </c>
      <c r="Q255" s="1102">
        <f t="shared" si="83"/>
        <v>5.228059846790619</v>
      </c>
      <c r="R255" s="58"/>
      <c r="S255" s="1211">
        <f t="shared" si="84"/>
        <v>0.31368359080743713</v>
      </c>
      <c r="T255" s="1198">
        <f t="shared" si="85"/>
        <v>2.6697232740256496</v>
      </c>
      <c r="U255" s="1613">
        <f t="shared" si="85"/>
        <v>18.98913340365845</v>
      </c>
      <c r="V255" s="1613">
        <f t="shared" si="85"/>
        <v>0</v>
      </c>
      <c r="W255" s="1200">
        <f t="shared" si="85"/>
        <v>1.139348004219507</v>
      </c>
    </row>
    <row r="256" spans="1:23">
      <c r="A256" s="466">
        <f>'Input data'!A122</f>
        <v>2022</v>
      </c>
      <c r="B256" s="1366">
        <f>'Recycling - Case 3'!AI102</f>
        <v>6437.6604656145792</v>
      </c>
      <c r="C256" s="576">
        <f>'Recycling - Case 3'!G31</f>
        <v>0.5</v>
      </c>
      <c r="D256" s="576">
        <f t="shared" si="86"/>
        <v>0.5</v>
      </c>
      <c r="E256" s="58">
        <v>0</v>
      </c>
      <c r="F256" s="58">
        <v>0</v>
      </c>
      <c r="G256" s="1365">
        <f t="shared" si="87"/>
        <v>2.5750641862458319</v>
      </c>
      <c r="H256" s="1102">
        <f t="shared" si="88"/>
        <v>12.875320931229158</v>
      </c>
      <c r="I256" s="58"/>
      <c r="J256" s="1211">
        <f t="shared" si="89"/>
        <v>0.77251925587374948</v>
      </c>
      <c r="K256" s="1364">
        <f>'Recycling - Case 3'!Z182</f>
        <v>2440.3869088169668</v>
      </c>
      <c r="L256" s="576">
        <f>'Recycling - Case 3'!G31</f>
        <v>0.5</v>
      </c>
      <c r="M256" s="576">
        <f t="shared" si="90"/>
        <v>0.5</v>
      </c>
      <c r="N256" s="58">
        <f t="shared" si="81"/>
        <v>0</v>
      </c>
      <c r="O256" s="58">
        <f t="shared" si="81"/>
        <v>0</v>
      </c>
      <c r="P256" s="1365">
        <f t="shared" si="82"/>
        <v>0.97615476352678676</v>
      </c>
      <c r="Q256" s="1102">
        <f t="shared" si="83"/>
        <v>4.8807738176339335</v>
      </c>
      <c r="R256" s="58"/>
      <c r="S256" s="1211">
        <f t="shared" si="84"/>
        <v>0.29284642905803598</v>
      </c>
      <c r="T256" s="1198">
        <f t="shared" si="85"/>
        <v>3.5512189497726188</v>
      </c>
      <c r="U256" s="1613">
        <f t="shared" si="85"/>
        <v>17.756094748863092</v>
      </c>
      <c r="V256" s="1613">
        <f t="shared" si="85"/>
        <v>0</v>
      </c>
      <c r="W256" s="1200">
        <f t="shared" si="85"/>
        <v>1.0653656849317854</v>
      </c>
    </row>
    <row r="257" spans="1:23">
      <c r="A257" s="466">
        <f>'Input data'!A123</f>
        <v>2023</v>
      </c>
      <c r="B257" s="1366">
        <f>'Recycling - Case 3'!AI103</f>
        <v>6437.6604656145792</v>
      </c>
      <c r="C257" s="576">
        <f>C256</f>
        <v>0.5</v>
      </c>
      <c r="D257" s="576">
        <f t="shared" si="86"/>
        <v>0.5</v>
      </c>
      <c r="E257" s="58">
        <v>0</v>
      </c>
      <c r="F257" s="58">
        <v>0</v>
      </c>
      <c r="G257" s="1365">
        <f t="shared" si="87"/>
        <v>2.5750641862458319</v>
      </c>
      <c r="H257" s="1102">
        <f t="shared" si="88"/>
        <v>12.875320931229158</v>
      </c>
      <c r="I257" s="58"/>
      <c r="J257" s="1211">
        <f t="shared" si="89"/>
        <v>0.77251925587374948</v>
      </c>
      <c r="K257" s="1364">
        <f>'Recycling - Case 3'!Z183</f>
        <v>2473.3341767241886</v>
      </c>
      <c r="L257" s="576">
        <f>L256</f>
        <v>0.5</v>
      </c>
      <c r="M257" s="576">
        <f t="shared" si="90"/>
        <v>0.5</v>
      </c>
      <c r="N257" s="58">
        <f t="shared" si="81"/>
        <v>0</v>
      </c>
      <c r="O257" s="58">
        <f t="shared" si="81"/>
        <v>0</v>
      </c>
      <c r="P257" s="1365">
        <f t="shared" si="82"/>
        <v>0.98933367068967548</v>
      </c>
      <c r="Q257" s="1102">
        <f t="shared" si="83"/>
        <v>4.9466683534483771</v>
      </c>
      <c r="R257" s="58"/>
      <c r="S257" s="1211">
        <f t="shared" si="84"/>
        <v>0.29680010120690264</v>
      </c>
      <c r="T257" s="1198">
        <f t="shared" si="85"/>
        <v>3.5643978569355075</v>
      </c>
      <c r="U257" s="1613">
        <f t="shared" si="85"/>
        <v>17.821989284677535</v>
      </c>
      <c r="V257" s="1613">
        <f t="shared" si="85"/>
        <v>0</v>
      </c>
      <c r="W257" s="1200">
        <f t="shared" si="85"/>
        <v>1.0693193570806521</v>
      </c>
    </row>
    <row r="258" spans="1:23">
      <c r="A258" s="466">
        <f>'Input data'!A124</f>
        <v>2024</v>
      </c>
      <c r="B258" s="1366">
        <f>'Recycling - Case 3'!AI104</f>
        <v>6437.6604656145792</v>
      </c>
      <c r="C258" s="576">
        <f t="shared" ref="C258:C284" si="93">C257</f>
        <v>0.5</v>
      </c>
      <c r="D258" s="576">
        <f t="shared" si="86"/>
        <v>0.5</v>
      </c>
      <c r="E258" s="58">
        <v>0</v>
      </c>
      <c r="F258" s="58">
        <v>0</v>
      </c>
      <c r="G258" s="1365">
        <f t="shared" si="87"/>
        <v>2.5750641862458319</v>
      </c>
      <c r="H258" s="1102">
        <f t="shared" si="88"/>
        <v>12.875320931229158</v>
      </c>
      <c r="I258" s="58"/>
      <c r="J258" s="1211">
        <f t="shared" si="89"/>
        <v>0.77251925587374948</v>
      </c>
      <c r="K258" s="1364">
        <f>'Recycling - Case 3'!Z184</f>
        <v>2510.4923620654172</v>
      </c>
      <c r="L258" s="576">
        <f t="shared" ref="L258:L284" si="94">L257</f>
        <v>0.5</v>
      </c>
      <c r="M258" s="576">
        <f t="shared" si="90"/>
        <v>0.5</v>
      </c>
      <c r="N258" s="58">
        <f t="shared" si="81"/>
        <v>0</v>
      </c>
      <c r="O258" s="58">
        <f t="shared" si="81"/>
        <v>0</v>
      </c>
      <c r="P258" s="1365">
        <f t="shared" si="82"/>
        <v>1.0041969448261669</v>
      </c>
      <c r="Q258" s="1102">
        <f t="shared" si="83"/>
        <v>5.0209847241308347</v>
      </c>
      <c r="R258" s="58"/>
      <c r="S258" s="1211">
        <f t="shared" si="84"/>
        <v>0.30125908344785007</v>
      </c>
      <c r="T258" s="1198">
        <f t="shared" si="85"/>
        <v>3.5792611310719988</v>
      </c>
      <c r="U258" s="1613">
        <f t="shared" si="85"/>
        <v>17.896305655359992</v>
      </c>
      <c r="V258" s="1613">
        <f t="shared" si="85"/>
        <v>0</v>
      </c>
      <c r="W258" s="1200">
        <f t="shared" si="85"/>
        <v>1.0737783393215996</v>
      </c>
    </row>
    <row r="259" spans="1:23">
      <c r="A259" s="466">
        <f>'Input data'!A125</f>
        <v>2025</v>
      </c>
      <c r="B259" s="1366">
        <f>'Recycling - Case 3'!AI105</f>
        <v>6437.6604656145792</v>
      </c>
      <c r="C259" s="576">
        <f t="shared" si="93"/>
        <v>0.5</v>
      </c>
      <c r="D259" s="576">
        <f t="shared" si="86"/>
        <v>0.5</v>
      </c>
      <c r="E259" s="58">
        <v>0</v>
      </c>
      <c r="F259" s="58">
        <v>0</v>
      </c>
      <c r="G259" s="1365">
        <f t="shared" si="87"/>
        <v>2.5750641862458319</v>
      </c>
      <c r="H259" s="1102">
        <f t="shared" si="88"/>
        <v>12.875320931229158</v>
      </c>
      <c r="I259" s="58"/>
      <c r="J259" s="1211">
        <f t="shared" si="89"/>
        <v>0.77251925587374948</v>
      </c>
      <c r="K259" s="1364">
        <f>'Recycling - Case 3'!Z185</f>
        <v>2543.9978590052256</v>
      </c>
      <c r="L259" s="576">
        <f t="shared" si="94"/>
        <v>0.5</v>
      </c>
      <c r="M259" s="576">
        <f t="shared" si="90"/>
        <v>0.5</v>
      </c>
      <c r="N259" s="58">
        <f t="shared" si="81"/>
        <v>0</v>
      </c>
      <c r="O259" s="58">
        <f t="shared" si="81"/>
        <v>0</v>
      </c>
      <c r="P259" s="1365">
        <f t="shared" si="82"/>
        <v>1.0175991436020904</v>
      </c>
      <c r="Q259" s="1102">
        <f t="shared" si="83"/>
        <v>5.0879957180104514</v>
      </c>
      <c r="R259" s="58"/>
      <c r="S259" s="1211">
        <f t="shared" si="84"/>
        <v>0.30527974308062705</v>
      </c>
      <c r="T259" s="1198">
        <f t="shared" si="85"/>
        <v>3.5926633298479222</v>
      </c>
      <c r="U259" s="1613">
        <f t="shared" si="85"/>
        <v>17.963316649239609</v>
      </c>
      <c r="V259" s="1613">
        <f t="shared" si="85"/>
        <v>0</v>
      </c>
      <c r="W259" s="1200">
        <f t="shared" si="85"/>
        <v>1.0777989989543766</v>
      </c>
    </row>
    <row r="260" spans="1:23">
      <c r="A260" s="466">
        <f>'Input data'!A126</f>
        <v>2026</v>
      </c>
      <c r="B260" s="1366">
        <f>'Recycling - Case 3'!AI106</f>
        <v>6437.6604656145792</v>
      </c>
      <c r="C260" s="576">
        <f t="shared" si="93"/>
        <v>0.5</v>
      </c>
      <c r="D260" s="576">
        <f t="shared" si="86"/>
        <v>0.5</v>
      </c>
      <c r="E260" s="58">
        <v>0</v>
      </c>
      <c r="F260" s="58">
        <v>0</v>
      </c>
      <c r="G260" s="1365">
        <f t="shared" si="87"/>
        <v>2.5750641862458319</v>
      </c>
      <c r="H260" s="1102">
        <f t="shared" si="88"/>
        <v>12.875320931229158</v>
      </c>
      <c r="I260" s="58"/>
      <c r="J260" s="1211">
        <f t="shared" si="89"/>
        <v>0.77251925587374948</v>
      </c>
      <c r="K260" s="1364">
        <f>'Recycling - Case 3'!Z186</f>
        <v>2582.1853446322916</v>
      </c>
      <c r="L260" s="576">
        <f t="shared" si="94"/>
        <v>0.5</v>
      </c>
      <c r="M260" s="576">
        <f t="shared" si="90"/>
        <v>0.5</v>
      </c>
      <c r="N260" s="58">
        <f t="shared" si="81"/>
        <v>0</v>
      </c>
      <c r="O260" s="58">
        <f t="shared" si="81"/>
        <v>0</v>
      </c>
      <c r="P260" s="1365">
        <f t="shared" si="82"/>
        <v>1.0328741378529167</v>
      </c>
      <c r="Q260" s="1102">
        <f t="shared" si="83"/>
        <v>5.1643706892645831</v>
      </c>
      <c r="R260" s="58"/>
      <c r="S260" s="1211">
        <f t="shared" si="84"/>
        <v>0.30986224135587498</v>
      </c>
      <c r="T260" s="1198">
        <f t="shared" si="85"/>
        <v>3.6079383240987486</v>
      </c>
      <c r="U260" s="1613">
        <f t="shared" si="85"/>
        <v>18.039691620493741</v>
      </c>
      <c r="V260" s="1613">
        <f t="shared" si="85"/>
        <v>0</v>
      </c>
      <c r="W260" s="1200">
        <f t="shared" si="85"/>
        <v>1.0823814972296244</v>
      </c>
    </row>
    <row r="261" spans="1:23">
      <c r="A261" s="466">
        <f>'Input data'!A127</f>
        <v>2027</v>
      </c>
      <c r="B261" s="1366">
        <f>'Recycling - Case 3'!AI107</f>
        <v>6437.6604656145792</v>
      </c>
      <c r="C261" s="576">
        <f t="shared" si="93"/>
        <v>0.5</v>
      </c>
      <c r="D261" s="576">
        <f t="shared" si="86"/>
        <v>0.5</v>
      </c>
      <c r="E261" s="58">
        <v>0</v>
      </c>
      <c r="F261" s="58">
        <v>0</v>
      </c>
      <c r="G261" s="1365">
        <f t="shared" si="87"/>
        <v>2.5750641862458319</v>
      </c>
      <c r="H261" s="1102">
        <f t="shared" si="88"/>
        <v>12.875320931229158</v>
      </c>
      <c r="I261" s="58"/>
      <c r="J261" s="1211">
        <f t="shared" si="89"/>
        <v>0.77251925587374948</v>
      </c>
      <c r="K261" s="1364">
        <f>'Recycling - Case 3'!Z187</f>
        <v>2620.2270434897314</v>
      </c>
      <c r="L261" s="576">
        <f t="shared" si="94"/>
        <v>0.5</v>
      </c>
      <c r="M261" s="576">
        <f t="shared" si="90"/>
        <v>0.5</v>
      </c>
      <c r="N261" s="58">
        <f t="shared" si="81"/>
        <v>0</v>
      </c>
      <c r="O261" s="58">
        <f t="shared" si="81"/>
        <v>0</v>
      </c>
      <c r="P261" s="1365">
        <f t="shared" si="82"/>
        <v>1.0480908173958925</v>
      </c>
      <c r="Q261" s="1102">
        <f t="shared" si="83"/>
        <v>5.2404540869794625</v>
      </c>
      <c r="R261" s="58"/>
      <c r="S261" s="1211">
        <f t="shared" si="84"/>
        <v>0.3144272452187678</v>
      </c>
      <c r="T261" s="1198">
        <f t="shared" si="85"/>
        <v>3.6231550036417244</v>
      </c>
      <c r="U261" s="1613">
        <f t="shared" si="85"/>
        <v>18.11577501820862</v>
      </c>
      <c r="V261" s="1613">
        <f t="shared" si="85"/>
        <v>0</v>
      </c>
      <c r="W261" s="1200">
        <f t="shared" si="85"/>
        <v>1.0869465010925172</v>
      </c>
    </row>
    <row r="262" spans="1:23">
      <c r="A262" s="466">
        <f>'Input data'!A128</f>
        <v>2028</v>
      </c>
      <c r="B262" s="1366">
        <f>'Recycling - Case 3'!AI108</f>
        <v>6437.6604656145792</v>
      </c>
      <c r="C262" s="576">
        <f t="shared" si="93"/>
        <v>0.5</v>
      </c>
      <c r="D262" s="576">
        <f t="shared" si="86"/>
        <v>0.5</v>
      </c>
      <c r="E262" s="58">
        <v>0</v>
      </c>
      <c r="F262" s="58">
        <v>0</v>
      </c>
      <c r="G262" s="1365">
        <f t="shared" si="87"/>
        <v>2.5750641862458319</v>
      </c>
      <c r="H262" s="1102">
        <f t="shared" si="88"/>
        <v>12.875320931229158</v>
      </c>
      <c r="I262" s="58"/>
      <c r="J262" s="1211">
        <f t="shared" si="89"/>
        <v>0.77251925587374948</v>
      </c>
      <c r="K262" s="1364">
        <f>'Recycling - Case 3'!Z188</f>
        <v>2646.7585380287851</v>
      </c>
      <c r="L262" s="576">
        <f t="shared" si="94"/>
        <v>0.5</v>
      </c>
      <c r="M262" s="576">
        <f t="shared" si="90"/>
        <v>0.5</v>
      </c>
      <c r="N262" s="58">
        <f t="shared" si="81"/>
        <v>0</v>
      </c>
      <c r="O262" s="58">
        <f t="shared" si="81"/>
        <v>0</v>
      </c>
      <c r="P262" s="1365">
        <f t="shared" si="82"/>
        <v>1.058703415211514</v>
      </c>
      <c r="Q262" s="1102">
        <f t="shared" si="83"/>
        <v>5.2935170760575705</v>
      </c>
      <c r="R262" s="58"/>
      <c r="S262" s="1211">
        <f t="shared" si="84"/>
        <v>0.31761102456345419</v>
      </c>
      <c r="T262" s="1198">
        <f t="shared" si="85"/>
        <v>3.6337676014573459</v>
      </c>
      <c r="U262" s="1613">
        <f t="shared" si="85"/>
        <v>18.16883800728673</v>
      </c>
      <c r="V262" s="1613">
        <f t="shared" si="85"/>
        <v>0</v>
      </c>
      <c r="W262" s="1200">
        <f t="shared" si="85"/>
        <v>1.0901302804372037</v>
      </c>
    </row>
    <row r="263" spans="1:23">
      <c r="A263" s="466">
        <f>'Input data'!A129</f>
        <v>2029</v>
      </c>
      <c r="B263" s="1366">
        <f>'Recycling - Case 3'!AI109</f>
        <v>6437.6604656145792</v>
      </c>
      <c r="C263" s="576">
        <f t="shared" si="93"/>
        <v>0.5</v>
      </c>
      <c r="D263" s="576">
        <f t="shared" si="86"/>
        <v>0.5</v>
      </c>
      <c r="E263" s="58">
        <v>0</v>
      </c>
      <c r="F263" s="58">
        <v>0</v>
      </c>
      <c r="G263" s="1365">
        <f t="shared" si="87"/>
        <v>2.5750641862458319</v>
      </c>
      <c r="H263" s="1102">
        <f t="shared" si="88"/>
        <v>12.875320931229158</v>
      </c>
      <c r="I263" s="58"/>
      <c r="J263" s="1211">
        <f t="shared" si="89"/>
        <v>0.77251925587374948</v>
      </c>
      <c r="K263" s="1364">
        <f>'Recycling - Case 3'!Z189</f>
        <v>2675.3394274160801</v>
      </c>
      <c r="L263" s="576">
        <f t="shared" si="94"/>
        <v>0.5</v>
      </c>
      <c r="M263" s="576">
        <f t="shared" si="90"/>
        <v>0.5</v>
      </c>
      <c r="N263" s="58">
        <f t="shared" si="81"/>
        <v>0</v>
      </c>
      <c r="O263" s="58">
        <f t="shared" si="81"/>
        <v>0</v>
      </c>
      <c r="P263" s="1365">
        <f t="shared" si="82"/>
        <v>1.0701357709664321</v>
      </c>
      <c r="Q263" s="1102">
        <f t="shared" si="83"/>
        <v>5.35067885483216</v>
      </c>
      <c r="R263" s="58"/>
      <c r="S263" s="1211">
        <f t="shared" si="84"/>
        <v>0.3210407312899296</v>
      </c>
      <c r="T263" s="1198">
        <f t="shared" si="85"/>
        <v>3.645199957212264</v>
      </c>
      <c r="U263" s="1613">
        <f t="shared" si="85"/>
        <v>18.225999786061319</v>
      </c>
      <c r="V263" s="1613">
        <f t="shared" si="85"/>
        <v>0</v>
      </c>
      <c r="W263" s="1200">
        <f t="shared" si="85"/>
        <v>1.0935599871636792</v>
      </c>
    </row>
    <row r="264" spans="1:23">
      <c r="A264" s="466">
        <f>'Input data'!A130</f>
        <v>2030</v>
      </c>
      <c r="B264" s="1366">
        <f>'Recycling - Case 3'!AI110</f>
        <v>6437.6604656145792</v>
      </c>
      <c r="C264" s="576">
        <f t="shared" si="93"/>
        <v>0.5</v>
      </c>
      <c r="D264" s="576">
        <f t="shared" si="86"/>
        <v>0.5</v>
      </c>
      <c r="E264" s="58">
        <v>0</v>
      </c>
      <c r="F264" s="58">
        <v>0</v>
      </c>
      <c r="G264" s="1365">
        <f t="shared" si="87"/>
        <v>2.5750641862458319</v>
      </c>
      <c r="H264" s="1102">
        <f t="shared" si="88"/>
        <v>12.875320931229158</v>
      </c>
      <c r="I264" s="58"/>
      <c r="J264" s="1211">
        <f t="shared" si="89"/>
        <v>0.77251925587374948</v>
      </c>
      <c r="K264" s="1364">
        <f>'Recycling - Case 3'!Z190</f>
        <v>2709.795875944686</v>
      </c>
      <c r="L264" s="576">
        <f t="shared" si="94"/>
        <v>0.5</v>
      </c>
      <c r="M264" s="576">
        <f t="shared" si="90"/>
        <v>0.5</v>
      </c>
      <c r="N264" s="58">
        <f t="shared" si="81"/>
        <v>0</v>
      </c>
      <c r="O264" s="58">
        <f t="shared" si="81"/>
        <v>0</v>
      </c>
      <c r="P264" s="1365">
        <f t="shared" si="82"/>
        <v>1.0839183503778744</v>
      </c>
      <c r="Q264" s="1102">
        <f t="shared" si="83"/>
        <v>5.4195917518893717</v>
      </c>
      <c r="R264" s="58"/>
      <c r="S264" s="1211">
        <f t="shared" si="84"/>
        <v>0.3251755051133623</v>
      </c>
      <c r="T264" s="1198">
        <f t="shared" si="85"/>
        <v>3.6589825366237063</v>
      </c>
      <c r="U264" s="1613">
        <f t="shared" si="85"/>
        <v>18.294912683118529</v>
      </c>
      <c r="V264" s="1613">
        <f t="shared" si="85"/>
        <v>0</v>
      </c>
      <c r="W264" s="1200">
        <f t="shared" si="85"/>
        <v>1.0976947609871117</v>
      </c>
    </row>
    <row r="265" spans="1:23">
      <c r="A265" s="466">
        <f>'Input data'!A131</f>
        <v>2031</v>
      </c>
      <c r="B265" s="1366">
        <f>'Recycling - Case 3'!AI111</f>
        <v>6437.6604656145792</v>
      </c>
      <c r="C265" s="576">
        <f t="shared" si="93"/>
        <v>0.5</v>
      </c>
      <c r="D265" s="576">
        <f t="shared" si="86"/>
        <v>0.5</v>
      </c>
      <c r="E265" s="58">
        <v>0</v>
      </c>
      <c r="F265" s="58">
        <v>0</v>
      </c>
      <c r="G265" s="1365">
        <f t="shared" si="87"/>
        <v>2.5750641862458319</v>
      </c>
      <c r="H265" s="1102">
        <f t="shared" si="88"/>
        <v>12.875320931229158</v>
      </c>
      <c r="I265" s="58"/>
      <c r="J265" s="1211">
        <f t="shared" si="89"/>
        <v>0.77251925587374948</v>
      </c>
      <c r="K265" s="1364">
        <f>'Recycling - Case 3'!Z191</f>
        <v>2757.7445965802553</v>
      </c>
      <c r="L265" s="576">
        <f t="shared" si="94"/>
        <v>0.5</v>
      </c>
      <c r="M265" s="576">
        <f t="shared" si="90"/>
        <v>0.5</v>
      </c>
      <c r="N265" s="58">
        <f t="shared" si="81"/>
        <v>0</v>
      </c>
      <c r="O265" s="58">
        <f t="shared" si="81"/>
        <v>0</v>
      </c>
      <c r="P265" s="1365">
        <f t="shared" si="82"/>
        <v>1.1030978386321022</v>
      </c>
      <c r="Q265" s="1102">
        <f t="shared" si="83"/>
        <v>5.5154891931605103</v>
      </c>
      <c r="R265" s="58"/>
      <c r="S265" s="1211">
        <f t="shared" si="84"/>
        <v>0.33092935158963066</v>
      </c>
      <c r="T265" s="1198">
        <f t="shared" si="85"/>
        <v>3.6781620248779339</v>
      </c>
      <c r="U265" s="1613">
        <f t="shared" si="85"/>
        <v>18.390810124389667</v>
      </c>
      <c r="V265" s="1613">
        <f t="shared" si="85"/>
        <v>0</v>
      </c>
      <c r="W265" s="1200">
        <f t="shared" si="85"/>
        <v>1.1034486074633802</v>
      </c>
    </row>
    <row r="266" spans="1:23">
      <c r="A266" s="466">
        <f>'Input data'!A132</f>
        <v>2032</v>
      </c>
      <c r="B266" s="1366">
        <f>'Recycling - Case 3'!AI112</f>
        <v>6437.6604656145792</v>
      </c>
      <c r="C266" s="576">
        <f t="shared" si="93"/>
        <v>0.5</v>
      </c>
      <c r="D266" s="576">
        <f t="shared" si="86"/>
        <v>0.5</v>
      </c>
      <c r="E266" s="58">
        <v>0</v>
      </c>
      <c r="F266" s="58">
        <v>0</v>
      </c>
      <c r="G266" s="1365">
        <f t="shared" si="87"/>
        <v>2.5750641862458319</v>
      </c>
      <c r="H266" s="1102">
        <f t="shared" si="88"/>
        <v>12.875320931229158</v>
      </c>
      <c r="I266" s="58"/>
      <c r="J266" s="1211">
        <f t="shared" si="89"/>
        <v>0.77251925587374948</v>
      </c>
      <c r="K266" s="1364">
        <f>'Recycling - Case 3'!Z192</f>
        <v>2802.0956343307598</v>
      </c>
      <c r="L266" s="576">
        <f t="shared" si="94"/>
        <v>0.5</v>
      </c>
      <c r="M266" s="576">
        <f t="shared" si="90"/>
        <v>0.5</v>
      </c>
      <c r="N266" s="58">
        <f t="shared" si="81"/>
        <v>0</v>
      </c>
      <c r="O266" s="58">
        <f t="shared" si="81"/>
        <v>0</v>
      </c>
      <c r="P266" s="1365">
        <f t="shared" si="82"/>
        <v>1.1208382537323038</v>
      </c>
      <c r="Q266" s="1102">
        <f t="shared" si="83"/>
        <v>5.6041912686615198</v>
      </c>
      <c r="R266" s="58"/>
      <c r="S266" s="1211">
        <f t="shared" si="84"/>
        <v>0.33625147611969119</v>
      </c>
      <c r="T266" s="1198">
        <f t="shared" si="85"/>
        <v>3.6959024399781359</v>
      </c>
      <c r="U266" s="1613">
        <f t="shared" si="85"/>
        <v>18.479512199890678</v>
      </c>
      <c r="V266" s="1613">
        <f t="shared" si="85"/>
        <v>0</v>
      </c>
      <c r="W266" s="1200">
        <f t="shared" si="85"/>
        <v>1.1087707319934408</v>
      </c>
    </row>
    <row r="267" spans="1:23">
      <c r="A267" s="466">
        <f>'Input data'!A133</f>
        <v>2033</v>
      </c>
      <c r="B267" s="1366">
        <f>'Recycling - Case 3'!AI113</f>
        <v>6437.6604656145792</v>
      </c>
      <c r="C267" s="576">
        <f t="shared" si="93"/>
        <v>0.5</v>
      </c>
      <c r="D267" s="576">
        <f t="shared" si="86"/>
        <v>0.5</v>
      </c>
      <c r="E267" s="58">
        <v>0</v>
      </c>
      <c r="F267" s="58">
        <v>0</v>
      </c>
      <c r="G267" s="1365">
        <f t="shared" si="87"/>
        <v>2.5750641862458319</v>
      </c>
      <c r="H267" s="1102">
        <f t="shared" si="88"/>
        <v>12.875320931229158</v>
      </c>
      <c r="I267" s="58"/>
      <c r="J267" s="1211">
        <f t="shared" si="89"/>
        <v>0.77251925587374948</v>
      </c>
      <c r="K267" s="1364">
        <f>'Recycling - Case 3'!Z193</f>
        <v>2854.5920843191443</v>
      </c>
      <c r="L267" s="576">
        <f t="shared" si="94"/>
        <v>0.5</v>
      </c>
      <c r="M267" s="576">
        <f t="shared" si="90"/>
        <v>0.5</v>
      </c>
      <c r="N267" s="58">
        <f t="shared" si="81"/>
        <v>0</v>
      </c>
      <c r="O267" s="58">
        <f t="shared" si="81"/>
        <v>0</v>
      </c>
      <c r="P267" s="1365">
        <f t="shared" si="82"/>
        <v>1.1418368337276577</v>
      </c>
      <c r="Q267" s="1102">
        <f t="shared" si="83"/>
        <v>5.7091841686382887</v>
      </c>
      <c r="R267" s="58"/>
      <c r="S267" s="1211">
        <f t="shared" si="84"/>
        <v>0.34255105011829734</v>
      </c>
      <c r="T267" s="1198">
        <f t="shared" si="85"/>
        <v>3.7169010199734895</v>
      </c>
      <c r="U267" s="1613">
        <f t="shared" si="85"/>
        <v>18.584505099867446</v>
      </c>
      <c r="V267" s="1613">
        <f t="shared" si="85"/>
        <v>0</v>
      </c>
      <c r="W267" s="1200">
        <f t="shared" si="85"/>
        <v>1.1150703059920468</v>
      </c>
    </row>
    <row r="268" spans="1:23">
      <c r="A268" s="466">
        <f>'Input data'!A134</f>
        <v>2034</v>
      </c>
      <c r="B268" s="1366">
        <f>'Recycling - Case 3'!AI114</f>
        <v>6437.6604656145792</v>
      </c>
      <c r="C268" s="576">
        <f t="shared" si="93"/>
        <v>0.5</v>
      </c>
      <c r="D268" s="576">
        <f t="shared" si="86"/>
        <v>0.5</v>
      </c>
      <c r="E268" s="58">
        <v>0</v>
      </c>
      <c r="F268" s="58">
        <v>0</v>
      </c>
      <c r="G268" s="1365">
        <f t="shared" si="87"/>
        <v>2.5750641862458319</v>
      </c>
      <c r="H268" s="1102">
        <f t="shared" si="88"/>
        <v>12.875320931229158</v>
      </c>
      <c r="I268" s="58"/>
      <c r="J268" s="1211">
        <f t="shared" si="89"/>
        <v>0.77251925587374948</v>
      </c>
      <c r="K268" s="1364">
        <f>'Recycling - Case 3'!Z194</f>
        <v>2920.4880245072482</v>
      </c>
      <c r="L268" s="576">
        <f t="shared" si="94"/>
        <v>0.5</v>
      </c>
      <c r="M268" s="576">
        <f t="shared" si="90"/>
        <v>0.5</v>
      </c>
      <c r="N268" s="58">
        <f t="shared" ref="N268:O283" si="95">N130</f>
        <v>0</v>
      </c>
      <c r="O268" s="58">
        <f t="shared" si="95"/>
        <v>0</v>
      </c>
      <c r="P268" s="1365">
        <f t="shared" si="82"/>
        <v>1.1681952098028994</v>
      </c>
      <c r="Q268" s="1102">
        <f t="shared" si="83"/>
        <v>5.840976049014496</v>
      </c>
      <c r="R268" s="58"/>
      <c r="S268" s="1211">
        <f t="shared" si="84"/>
        <v>0.35045856294086974</v>
      </c>
      <c r="T268" s="1198">
        <f t="shared" si="85"/>
        <v>3.7432593960487313</v>
      </c>
      <c r="U268" s="1613">
        <f t="shared" si="85"/>
        <v>18.716296980243655</v>
      </c>
      <c r="V268" s="1613">
        <f t="shared" si="85"/>
        <v>0</v>
      </c>
      <c r="W268" s="1200">
        <f t="shared" si="85"/>
        <v>1.1229778188146193</v>
      </c>
    </row>
    <row r="269" spans="1:23">
      <c r="A269" s="466">
        <f>'Input data'!A135</f>
        <v>2035</v>
      </c>
      <c r="B269" s="1366">
        <f>'Recycling - Case 3'!AI115</f>
        <v>6437.6604656145792</v>
      </c>
      <c r="C269" s="576">
        <f t="shared" si="93"/>
        <v>0.5</v>
      </c>
      <c r="D269" s="576">
        <f t="shared" si="86"/>
        <v>0.5</v>
      </c>
      <c r="E269" s="58">
        <v>0</v>
      </c>
      <c r="F269" s="58">
        <v>0</v>
      </c>
      <c r="G269" s="1365">
        <f t="shared" si="87"/>
        <v>2.5750641862458319</v>
      </c>
      <c r="H269" s="1102">
        <f t="shared" si="88"/>
        <v>12.875320931229158</v>
      </c>
      <c r="I269" s="58"/>
      <c r="J269" s="1211">
        <f t="shared" si="89"/>
        <v>0.77251925587374948</v>
      </c>
      <c r="K269" s="1364">
        <f>'Recycling - Case 3'!Z195</f>
        <v>2974.4882959863826</v>
      </c>
      <c r="L269" s="576">
        <f t="shared" si="94"/>
        <v>0.5</v>
      </c>
      <c r="M269" s="576">
        <f t="shared" si="90"/>
        <v>0.5</v>
      </c>
      <c r="N269" s="58">
        <f t="shared" si="95"/>
        <v>0</v>
      </c>
      <c r="O269" s="58">
        <f t="shared" si="95"/>
        <v>0</v>
      </c>
      <c r="P269" s="1365">
        <f t="shared" si="82"/>
        <v>1.1897953183945531</v>
      </c>
      <c r="Q269" s="1102">
        <f t="shared" si="83"/>
        <v>5.9489765919727651</v>
      </c>
      <c r="R269" s="58"/>
      <c r="S269" s="1211">
        <f t="shared" si="84"/>
        <v>0.35693859551836588</v>
      </c>
      <c r="T269" s="1198">
        <f t="shared" si="85"/>
        <v>3.764859504640385</v>
      </c>
      <c r="U269" s="1613">
        <f t="shared" si="85"/>
        <v>18.824297523201924</v>
      </c>
      <c r="V269" s="1613">
        <f t="shared" si="85"/>
        <v>0</v>
      </c>
      <c r="W269" s="1200">
        <f t="shared" si="85"/>
        <v>1.1294578513921154</v>
      </c>
    </row>
    <row r="270" spans="1:23">
      <c r="A270" s="466">
        <f>'Input data'!A136</f>
        <v>2036</v>
      </c>
      <c r="B270" s="1366">
        <f>'Recycling - Case 3'!AI116</f>
        <v>6437.6604656145792</v>
      </c>
      <c r="C270" s="576">
        <f t="shared" si="93"/>
        <v>0.5</v>
      </c>
      <c r="D270" s="576">
        <f t="shared" si="86"/>
        <v>0.5</v>
      </c>
      <c r="E270" s="58">
        <v>0</v>
      </c>
      <c r="F270" s="58">
        <v>0</v>
      </c>
      <c r="G270" s="1365">
        <f t="shared" si="87"/>
        <v>2.5750641862458319</v>
      </c>
      <c r="H270" s="1102">
        <f t="shared" si="88"/>
        <v>12.875320931229158</v>
      </c>
      <c r="I270" s="58"/>
      <c r="J270" s="1211">
        <f t="shared" si="89"/>
        <v>0.77251925587374948</v>
      </c>
      <c r="K270" s="1364">
        <f>'Recycling - Case 3'!Z196</f>
        <v>3028.9302231111574</v>
      </c>
      <c r="L270" s="576">
        <f t="shared" si="94"/>
        <v>0.5</v>
      </c>
      <c r="M270" s="576">
        <f t="shared" si="90"/>
        <v>0.5</v>
      </c>
      <c r="N270" s="58">
        <f t="shared" si="95"/>
        <v>0</v>
      </c>
      <c r="O270" s="58">
        <f t="shared" si="95"/>
        <v>0</v>
      </c>
      <c r="P270" s="1365">
        <f t="shared" si="82"/>
        <v>1.211572089244463</v>
      </c>
      <c r="Q270" s="1102">
        <f t="shared" si="83"/>
        <v>6.0578604462223149</v>
      </c>
      <c r="R270" s="58"/>
      <c r="S270" s="1211">
        <f t="shared" si="84"/>
        <v>0.36347162677333889</v>
      </c>
      <c r="T270" s="1198">
        <f t="shared" si="85"/>
        <v>3.7866362754902951</v>
      </c>
      <c r="U270" s="1613">
        <f t="shared" si="85"/>
        <v>18.933181377451472</v>
      </c>
      <c r="V270" s="1613">
        <f t="shared" si="85"/>
        <v>0</v>
      </c>
      <c r="W270" s="1200">
        <f t="shared" si="85"/>
        <v>1.1359908826470884</v>
      </c>
    </row>
    <row r="271" spans="1:23">
      <c r="A271" s="466">
        <f>'Input data'!A137</f>
        <v>2037</v>
      </c>
      <c r="B271" s="1366">
        <f>'Recycling - Case 3'!AI117</f>
        <v>6437.6604656145792</v>
      </c>
      <c r="C271" s="576">
        <f t="shared" si="93"/>
        <v>0.5</v>
      </c>
      <c r="D271" s="576">
        <f t="shared" si="86"/>
        <v>0.5</v>
      </c>
      <c r="E271" s="58">
        <v>0</v>
      </c>
      <c r="F271" s="58">
        <v>0</v>
      </c>
      <c r="G271" s="1365">
        <f t="shared" si="87"/>
        <v>2.5750641862458319</v>
      </c>
      <c r="H271" s="1102">
        <f t="shared" si="88"/>
        <v>12.875320931229158</v>
      </c>
      <c r="I271" s="58"/>
      <c r="J271" s="1211">
        <f t="shared" si="89"/>
        <v>0.77251925587374948</v>
      </c>
      <c r="K271" s="1364">
        <f>'Recycling - Case 3'!Z197</f>
        <v>3094.3681649355021</v>
      </c>
      <c r="L271" s="576">
        <f t="shared" si="94"/>
        <v>0.5</v>
      </c>
      <c r="M271" s="576">
        <f t="shared" si="90"/>
        <v>0.5</v>
      </c>
      <c r="N271" s="58">
        <f t="shared" si="95"/>
        <v>0</v>
      </c>
      <c r="O271" s="58">
        <f t="shared" si="95"/>
        <v>0</v>
      </c>
      <c r="P271" s="1365">
        <f t="shared" si="82"/>
        <v>1.2377472659742008</v>
      </c>
      <c r="Q271" s="1102">
        <f t="shared" si="83"/>
        <v>6.1887363298710039</v>
      </c>
      <c r="R271" s="58"/>
      <c r="S271" s="1211">
        <f t="shared" si="84"/>
        <v>0.37132417979226023</v>
      </c>
      <c r="T271" s="1198">
        <f t="shared" si="85"/>
        <v>3.8128114522200329</v>
      </c>
      <c r="U271" s="1613">
        <f t="shared" si="85"/>
        <v>19.06405726110016</v>
      </c>
      <c r="V271" s="1613">
        <f t="shared" si="85"/>
        <v>0</v>
      </c>
      <c r="W271" s="1200">
        <f t="shared" si="85"/>
        <v>1.1438434356660097</v>
      </c>
    </row>
    <row r="272" spans="1:23">
      <c r="A272" s="466">
        <f>'Input data'!A138</f>
        <v>2038</v>
      </c>
      <c r="B272" s="1366">
        <f>'Recycling - Case 3'!AI118</f>
        <v>6437.6604656145792</v>
      </c>
      <c r="C272" s="576">
        <f t="shared" si="93"/>
        <v>0.5</v>
      </c>
      <c r="D272" s="576">
        <f t="shared" si="86"/>
        <v>0.5</v>
      </c>
      <c r="E272" s="58">
        <v>0</v>
      </c>
      <c r="F272" s="58">
        <v>0</v>
      </c>
      <c r="G272" s="1365">
        <f t="shared" si="87"/>
        <v>2.5750641862458319</v>
      </c>
      <c r="H272" s="1102">
        <f t="shared" si="88"/>
        <v>12.875320931229158</v>
      </c>
      <c r="I272" s="58"/>
      <c r="J272" s="1211">
        <f t="shared" si="89"/>
        <v>0.77251925587374948</v>
      </c>
      <c r="K272" s="1364">
        <f>'Recycling - Case 3'!Z198</f>
        <v>3164.033992993629</v>
      </c>
      <c r="L272" s="576">
        <f t="shared" si="94"/>
        <v>0.5</v>
      </c>
      <c r="M272" s="576">
        <f t="shared" si="90"/>
        <v>0.5</v>
      </c>
      <c r="N272" s="58">
        <f t="shared" si="95"/>
        <v>0</v>
      </c>
      <c r="O272" s="58">
        <f t="shared" si="95"/>
        <v>0</v>
      </c>
      <c r="P272" s="1365">
        <f t="shared" si="82"/>
        <v>1.2656135971974518</v>
      </c>
      <c r="Q272" s="1102">
        <f t="shared" si="83"/>
        <v>6.3280679859872579</v>
      </c>
      <c r="R272" s="58"/>
      <c r="S272" s="1211">
        <f t="shared" si="84"/>
        <v>0.37968407915923547</v>
      </c>
      <c r="T272" s="1198">
        <f t="shared" si="85"/>
        <v>3.8406777834432839</v>
      </c>
      <c r="U272" s="1613">
        <f t="shared" si="85"/>
        <v>19.203388917216415</v>
      </c>
      <c r="V272" s="1613">
        <f t="shared" si="85"/>
        <v>0</v>
      </c>
      <c r="W272" s="1200">
        <f t="shared" si="85"/>
        <v>1.152203335032985</v>
      </c>
    </row>
    <row r="273" spans="1:23">
      <c r="A273" s="466">
        <f>'Input data'!A139</f>
        <v>2039</v>
      </c>
      <c r="B273" s="1366">
        <f>'Recycling - Case 3'!AI119</f>
        <v>6437.6604656145792</v>
      </c>
      <c r="C273" s="576">
        <f t="shared" si="93"/>
        <v>0.5</v>
      </c>
      <c r="D273" s="576">
        <f t="shared" si="86"/>
        <v>0.5</v>
      </c>
      <c r="E273" s="58">
        <v>0</v>
      </c>
      <c r="F273" s="58">
        <v>0</v>
      </c>
      <c r="G273" s="1365">
        <f t="shared" si="87"/>
        <v>2.5750641862458319</v>
      </c>
      <c r="H273" s="1102">
        <f t="shared" si="88"/>
        <v>12.875320931229158</v>
      </c>
      <c r="I273" s="58"/>
      <c r="J273" s="1211">
        <f t="shared" si="89"/>
        <v>0.77251925587374948</v>
      </c>
      <c r="K273" s="1364">
        <f>'Recycling - Case 3'!Z199</f>
        <v>3238.0089949574353</v>
      </c>
      <c r="L273" s="576">
        <f t="shared" si="94"/>
        <v>0.5</v>
      </c>
      <c r="M273" s="576">
        <f t="shared" si="90"/>
        <v>0.5</v>
      </c>
      <c r="N273" s="58">
        <f t="shared" si="95"/>
        <v>0</v>
      </c>
      <c r="O273" s="58">
        <f t="shared" si="95"/>
        <v>0</v>
      </c>
      <c r="P273" s="1365">
        <f t="shared" si="82"/>
        <v>1.2952035979829744</v>
      </c>
      <c r="Q273" s="1102">
        <f t="shared" si="83"/>
        <v>6.4760179899148707</v>
      </c>
      <c r="R273" s="58"/>
      <c r="S273" s="1211">
        <f t="shared" si="84"/>
        <v>0.38856107939489221</v>
      </c>
      <c r="T273" s="1198">
        <f t="shared" si="85"/>
        <v>3.8702677842288065</v>
      </c>
      <c r="U273" s="1613">
        <f t="shared" si="85"/>
        <v>19.351338921144027</v>
      </c>
      <c r="V273" s="1613">
        <f t="shared" si="85"/>
        <v>0</v>
      </c>
      <c r="W273" s="1200">
        <f t="shared" si="85"/>
        <v>1.1610803352686416</v>
      </c>
    </row>
    <row r="274" spans="1:23">
      <c r="A274" s="466">
        <f>'Input data'!A140</f>
        <v>2040</v>
      </c>
      <c r="B274" s="1366">
        <f>'Recycling - Case 3'!AI120</f>
        <v>6437.6604656145792</v>
      </c>
      <c r="C274" s="576">
        <f t="shared" si="93"/>
        <v>0.5</v>
      </c>
      <c r="D274" s="576">
        <f t="shared" si="86"/>
        <v>0.5</v>
      </c>
      <c r="E274" s="58">
        <v>0</v>
      </c>
      <c r="F274" s="58">
        <v>0</v>
      </c>
      <c r="G274" s="1365">
        <f t="shared" si="87"/>
        <v>2.5750641862458319</v>
      </c>
      <c r="H274" s="1102">
        <f t="shared" si="88"/>
        <v>12.875320931229158</v>
      </c>
      <c r="I274" s="58"/>
      <c r="J274" s="1211">
        <f t="shared" si="89"/>
        <v>0.77251925587374948</v>
      </c>
      <c r="K274" s="1364">
        <f>'Recycling - Case 3'!Z200</f>
        <v>3315.2894651604388</v>
      </c>
      <c r="L274" s="576">
        <f t="shared" si="94"/>
        <v>0.5</v>
      </c>
      <c r="M274" s="576">
        <f t="shared" si="90"/>
        <v>0.5</v>
      </c>
      <c r="N274" s="58">
        <f t="shared" si="95"/>
        <v>0</v>
      </c>
      <c r="O274" s="58">
        <f t="shared" si="95"/>
        <v>0</v>
      </c>
      <c r="P274" s="1365">
        <f t="shared" si="82"/>
        <v>1.3261157860641757</v>
      </c>
      <c r="Q274" s="1102">
        <f t="shared" si="83"/>
        <v>6.630578930320878</v>
      </c>
      <c r="R274" s="58"/>
      <c r="S274" s="1211">
        <f t="shared" si="84"/>
        <v>0.39783473581925261</v>
      </c>
      <c r="T274" s="1198">
        <f t="shared" si="85"/>
        <v>3.9011799723100076</v>
      </c>
      <c r="U274" s="1613">
        <f t="shared" si="85"/>
        <v>19.505899861550034</v>
      </c>
      <c r="V274" s="1613">
        <f t="shared" si="85"/>
        <v>0</v>
      </c>
      <c r="W274" s="1200">
        <f t="shared" si="85"/>
        <v>1.1703539916930021</v>
      </c>
    </row>
    <row r="275" spans="1:23">
      <c r="A275" s="466">
        <f>'Input data'!A141</f>
        <v>2041</v>
      </c>
      <c r="B275" s="1366">
        <f>'Recycling - Case 3'!AI121</f>
        <v>6437.6604656145792</v>
      </c>
      <c r="C275" s="576">
        <f t="shared" si="93"/>
        <v>0.5</v>
      </c>
      <c r="D275" s="576">
        <f t="shared" si="86"/>
        <v>0.5</v>
      </c>
      <c r="E275" s="58">
        <v>0</v>
      </c>
      <c r="F275" s="58">
        <v>0</v>
      </c>
      <c r="G275" s="1365">
        <f t="shared" si="87"/>
        <v>2.5750641862458319</v>
      </c>
      <c r="H275" s="1102">
        <f t="shared" si="88"/>
        <v>12.875320931229158</v>
      </c>
      <c r="I275" s="58"/>
      <c r="J275" s="1211">
        <f t="shared" si="89"/>
        <v>0.77251925587374948</v>
      </c>
      <c r="K275" s="1364">
        <f>'Recycling - Case 3'!Z201</f>
        <v>3395.1557266364357</v>
      </c>
      <c r="L275" s="576">
        <f t="shared" si="94"/>
        <v>0.5</v>
      </c>
      <c r="M275" s="576">
        <f t="shared" si="90"/>
        <v>0.5</v>
      </c>
      <c r="N275" s="58">
        <f t="shared" si="95"/>
        <v>0</v>
      </c>
      <c r="O275" s="58">
        <f t="shared" si="95"/>
        <v>0</v>
      </c>
      <c r="P275" s="1365">
        <f t="shared" si="82"/>
        <v>1.3580622906545743</v>
      </c>
      <c r="Q275" s="1102">
        <f t="shared" si="83"/>
        <v>6.7903114532728717</v>
      </c>
      <c r="R275" s="58"/>
      <c r="S275" s="1211">
        <f t="shared" si="84"/>
        <v>0.40741868719637225</v>
      </c>
      <c r="T275" s="1198">
        <f t="shared" si="85"/>
        <v>3.933126476900406</v>
      </c>
      <c r="U275" s="1613">
        <f t="shared" si="85"/>
        <v>19.665632384502029</v>
      </c>
      <c r="V275" s="1613">
        <f t="shared" si="85"/>
        <v>0</v>
      </c>
      <c r="W275" s="1200">
        <f t="shared" si="85"/>
        <v>1.1799379430701218</v>
      </c>
    </row>
    <row r="276" spans="1:23">
      <c r="A276" s="466">
        <f>'Input data'!A142</f>
        <v>2042</v>
      </c>
      <c r="B276" s="1366">
        <f>'Recycling - Case 3'!AI122</f>
        <v>6437.6604656145792</v>
      </c>
      <c r="C276" s="576">
        <f t="shared" si="93"/>
        <v>0.5</v>
      </c>
      <c r="D276" s="576">
        <f t="shared" si="86"/>
        <v>0.5</v>
      </c>
      <c r="E276" s="58">
        <v>0</v>
      </c>
      <c r="F276" s="58">
        <v>0</v>
      </c>
      <c r="G276" s="1365">
        <f t="shared" si="87"/>
        <v>2.5750641862458319</v>
      </c>
      <c r="H276" s="1102">
        <f t="shared" si="88"/>
        <v>12.875320931229158</v>
      </c>
      <c r="I276" s="58"/>
      <c r="J276" s="1211">
        <f t="shared" si="89"/>
        <v>0.77251925587374948</v>
      </c>
      <c r="K276" s="1364">
        <f>'Recycling - Case 3'!Z202</f>
        <v>3470.1008403756309</v>
      </c>
      <c r="L276" s="576">
        <f t="shared" si="94"/>
        <v>0.5</v>
      </c>
      <c r="M276" s="576">
        <f t="shared" si="90"/>
        <v>0.5</v>
      </c>
      <c r="N276" s="58">
        <f t="shared" si="95"/>
        <v>0</v>
      </c>
      <c r="O276" s="58">
        <f t="shared" si="95"/>
        <v>0</v>
      </c>
      <c r="P276" s="1365">
        <f t="shared" si="82"/>
        <v>1.3880403361502525</v>
      </c>
      <c r="Q276" s="1102">
        <f t="shared" si="83"/>
        <v>6.9402016807512616</v>
      </c>
      <c r="R276" s="58"/>
      <c r="S276" s="1211">
        <f t="shared" si="84"/>
        <v>0.41641210084507574</v>
      </c>
      <c r="T276" s="1198">
        <f t="shared" si="85"/>
        <v>3.9631045223960841</v>
      </c>
      <c r="U276" s="1613">
        <f t="shared" si="85"/>
        <v>19.81552261198042</v>
      </c>
      <c r="V276" s="1613">
        <f t="shared" si="85"/>
        <v>0</v>
      </c>
      <c r="W276" s="1200">
        <f t="shared" si="85"/>
        <v>1.1889313567188253</v>
      </c>
    </row>
    <row r="277" spans="1:23">
      <c r="A277" s="466">
        <f>'Input data'!A143</f>
        <v>2043</v>
      </c>
      <c r="B277" s="1366">
        <f>'Recycling - Case 3'!AI123</f>
        <v>6437.6604656145792</v>
      </c>
      <c r="C277" s="576">
        <f t="shared" si="93"/>
        <v>0.5</v>
      </c>
      <c r="D277" s="576">
        <f t="shared" si="86"/>
        <v>0.5</v>
      </c>
      <c r="E277" s="58">
        <v>0</v>
      </c>
      <c r="F277" s="58">
        <v>0</v>
      </c>
      <c r="G277" s="1365">
        <f t="shared" si="87"/>
        <v>2.5750641862458319</v>
      </c>
      <c r="H277" s="1102">
        <f t="shared" si="88"/>
        <v>12.875320931229158</v>
      </c>
      <c r="I277" s="58"/>
      <c r="J277" s="1211">
        <f t="shared" si="89"/>
        <v>0.77251925587374948</v>
      </c>
      <c r="K277" s="1364">
        <f>'Recycling - Case 3'!Z203</f>
        <v>3546.6332077594516</v>
      </c>
      <c r="L277" s="576">
        <f t="shared" si="94"/>
        <v>0.5</v>
      </c>
      <c r="M277" s="576">
        <f t="shared" si="90"/>
        <v>0.5</v>
      </c>
      <c r="N277" s="58">
        <f t="shared" si="95"/>
        <v>0</v>
      </c>
      <c r="O277" s="58">
        <f t="shared" si="95"/>
        <v>0</v>
      </c>
      <c r="P277" s="1365">
        <f t="shared" si="82"/>
        <v>1.4186532831037808</v>
      </c>
      <c r="Q277" s="1102">
        <f t="shared" si="83"/>
        <v>7.0932664155189036</v>
      </c>
      <c r="R277" s="58"/>
      <c r="S277" s="1211">
        <f t="shared" si="84"/>
        <v>0.42559598493113421</v>
      </c>
      <c r="T277" s="1198">
        <f t="shared" si="85"/>
        <v>3.9937174693496127</v>
      </c>
      <c r="U277" s="1613">
        <f t="shared" si="85"/>
        <v>19.968587346748063</v>
      </c>
      <c r="V277" s="1613">
        <f t="shared" si="85"/>
        <v>0</v>
      </c>
      <c r="W277" s="1200">
        <f t="shared" si="85"/>
        <v>1.1981152408048836</v>
      </c>
    </row>
    <row r="278" spans="1:23">
      <c r="A278" s="466">
        <f>'Input data'!A144</f>
        <v>2044</v>
      </c>
      <c r="B278" s="1366">
        <f>'Recycling - Case 3'!AI124</f>
        <v>6437.6604656145792</v>
      </c>
      <c r="C278" s="576">
        <f t="shared" si="93"/>
        <v>0.5</v>
      </c>
      <c r="D278" s="576">
        <f t="shared" si="86"/>
        <v>0.5</v>
      </c>
      <c r="E278" s="58">
        <v>0</v>
      </c>
      <c r="F278" s="58">
        <v>0</v>
      </c>
      <c r="G278" s="1365">
        <f t="shared" si="87"/>
        <v>2.5750641862458319</v>
      </c>
      <c r="H278" s="1102">
        <f t="shared" si="88"/>
        <v>12.875320931229158</v>
      </c>
      <c r="I278" s="58"/>
      <c r="J278" s="1211">
        <f t="shared" si="89"/>
        <v>0.77251925587374948</v>
      </c>
      <c r="K278" s="1364">
        <f>'Recycling - Case 3'!Z204</f>
        <v>3624.8360532382567</v>
      </c>
      <c r="L278" s="576">
        <f t="shared" si="94"/>
        <v>0.5</v>
      </c>
      <c r="M278" s="576">
        <f t="shared" si="90"/>
        <v>0.5</v>
      </c>
      <c r="N278" s="58">
        <f t="shared" si="95"/>
        <v>0</v>
      </c>
      <c r="O278" s="58">
        <f t="shared" si="95"/>
        <v>0</v>
      </c>
      <c r="P278" s="1365">
        <f t="shared" si="82"/>
        <v>1.4499344212953029</v>
      </c>
      <c r="Q278" s="1102">
        <f t="shared" si="83"/>
        <v>7.2496721064765133</v>
      </c>
      <c r="R278" s="58"/>
      <c r="S278" s="1211">
        <f t="shared" si="84"/>
        <v>0.4349803263885908</v>
      </c>
      <c r="T278" s="1198">
        <f t="shared" si="85"/>
        <v>4.0249986075411348</v>
      </c>
      <c r="U278" s="1613">
        <f t="shared" si="85"/>
        <v>20.124993037705671</v>
      </c>
      <c r="V278" s="1613">
        <f t="shared" si="85"/>
        <v>0</v>
      </c>
      <c r="W278" s="1200">
        <f t="shared" si="85"/>
        <v>1.2074995822623402</v>
      </c>
    </row>
    <row r="279" spans="1:23">
      <c r="A279" s="466">
        <f>'Input data'!A145</f>
        <v>2045</v>
      </c>
      <c r="B279" s="1366">
        <f>'Recycling - Case 3'!AI125</f>
        <v>6437.6604656145792</v>
      </c>
      <c r="C279" s="576">
        <f t="shared" si="93"/>
        <v>0.5</v>
      </c>
      <c r="D279" s="576">
        <f t="shared" si="86"/>
        <v>0.5</v>
      </c>
      <c r="E279" s="58">
        <v>0</v>
      </c>
      <c r="F279" s="58">
        <v>0</v>
      </c>
      <c r="G279" s="1365">
        <f t="shared" si="87"/>
        <v>2.5750641862458319</v>
      </c>
      <c r="H279" s="1102">
        <f t="shared" si="88"/>
        <v>12.875320931229158</v>
      </c>
      <c r="I279" s="58"/>
      <c r="J279" s="1211">
        <f t="shared" si="89"/>
        <v>0.77251925587374948</v>
      </c>
      <c r="K279" s="1364">
        <f>'Recycling - Case 3'!Z205</f>
        <v>3706.6083970608752</v>
      </c>
      <c r="L279" s="576">
        <f t="shared" si="94"/>
        <v>0.5</v>
      </c>
      <c r="M279" s="576">
        <f t="shared" si="90"/>
        <v>0.5</v>
      </c>
      <c r="N279" s="58">
        <f t="shared" si="95"/>
        <v>0</v>
      </c>
      <c r="O279" s="58">
        <f t="shared" si="95"/>
        <v>0</v>
      </c>
      <c r="P279" s="1365">
        <f t="shared" si="82"/>
        <v>1.4826433588243502</v>
      </c>
      <c r="Q279" s="1102">
        <f t="shared" si="83"/>
        <v>7.4132167941217499</v>
      </c>
      <c r="R279" s="58"/>
      <c r="S279" s="1211">
        <f t="shared" si="84"/>
        <v>0.44479300764730501</v>
      </c>
      <c r="T279" s="1198">
        <f t="shared" si="85"/>
        <v>4.0577075450701816</v>
      </c>
      <c r="U279" s="1613">
        <f t="shared" si="85"/>
        <v>20.288537725350906</v>
      </c>
      <c r="V279" s="1613">
        <f t="shared" si="85"/>
        <v>0</v>
      </c>
      <c r="W279" s="1200">
        <f t="shared" si="85"/>
        <v>1.2173122635210545</v>
      </c>
    </row>
    <row r="280" spans="1:23">
      <c r="A280" s="466">
        <f>'Input data'!A146</f>
        <v>2046</v>
      </c>
      <c r="B280" s="1366">
        <f>'Recycling - Case 3'!AI126</f>
        <v>6437.6604656145792</v>
      </c>
      <c r="C280" s="576">
        <f t="shared" si="93"/>
        <v>0.5</v>
      </c>
      <c r="D280" s="576">
        <f t="shared" si="86"/>
        <v>0.5</v>
      </c>
      <c r="E280" s="58">
        <v>0</v>
      </c>
      <c r="F280" s="58">
        <v>0</v>
      </c>
      <c r="G280" s="1365">
        <f t="shared" si="87"/>
        <v>2.5750641862458319</v>
      </c>
      <c r="H280" s="1102">
        <f t="shared" si="88"/>
        <v>12.875320931229158</v>
      </c>
      <c r="I280" s="58"/>
      <c r="J280" s="1211">
        <f t="shared" si="89"/>
        <v>0.77251925587374948</v>
      </c>
      <c r="K280" s="1364">
        <f>'Recycling - Case 3'!Z206</f>
        <v>3790.5155384385994</v>
      </c>
      <c r="L280" s="576">
        <f t="shared" si="94"/>
        <v>0.5</v>
      </c>
      <c r="M280" s="576">
        <f t="shared" si="90"/>
        <v>0.5</v>
      </c>
      <c r="N280" s="58">
        <f t="shared" si="95"/>
        <v>0</v>
      </c>
      <c r="O280" s="58">
        <f t="shared" si="95"/>
        <v>0</v>
      </c>
      <c r="P280" s="1365">
        <f t="shared" si="82"/>
        <v>1.5162062153754399</v>
      </c>
      <c r="Q280" s="1102">
        <f t="shared" si="83"/>
        <v>7.5810310768771991</v>
      </c>
      <c r="R280" s="58"/>
      <c r="S280" s="1211">
        <f t="shared" si="84"/>
        <v>0.45486186461263189</v>
      </c>
      <c r="T280" s="1198">
        <f t="shared" si="85"/>
        <v>4.091270401621272</v>
      </c>
      <c r="U280" s="1613">
        <f t="shared" si="85"/>
        <v>20.456352008106357</v>
      </c>
      <c r="V280" s="1613">
        <f t="shared" si="85"/>
        <v>0</v>
      </c>
      <c r="W280" s="1200">
        <f t="shared" si="85"/>
        <v>1.2273811204863814</v>
      </c>
    </row>
    <row r="281" spans="1:23">
      <c r="A281" s="466">
        <f>'Input data'!A147</f>
        <v>2047</v>
      </c>
      <c r="B281" s="1366">
        <f>'Recycling - Case 3'!AI127</f>
        <v>6437.6604656145792</v>
      </c>
      <c r="C281" s="576">
        <f t="shared" si="93"/>
        <v>0.5</v>
      </c>
      <c r="D281" s="576">
        <f t="shared" si="86"/>
        <v>0.5</v>
      </c>
      <c r="E281" s="58">
        <v>0</v>
      </c>
      <c r="F281" s="58">
        <v>0</v>
      </c>
      <c r="G281" s="1365">
        <f t="shared" si="87"/>
        <v>2.5750641862458319</v>
      </c>
      <c r="H281" s="1102">
        <f t="shared" si="88"/>
        <v>12.875320931229158</v>
      </c>
      <c r="I281" s="58"/>
      <c r="J281" s="1211">
        <f t="shared" si="89"/>
        <v>0.77251925587374948</v>
      </c>
      <c r="K281" s="1364">
        <f>'Recycling - Case 3'!Z207</f>
        <v>3842.0800669387309</v>
      </c>
      <c r="L281" s="576">
        <f t="shared" si="94"/>
        <v>0.5</v>
      </c>
      <c r="M281" s="576">
        <f t="shared" si="90"/>
        <v>0.5</v>
      </c>
      <c r="N281" s="58">
        <f t="shared" si="95"/>
        <v>0</v>
      </c>
      <c r="O281" s="58">
        <f t="shared" si="95"/>
        <v>0</v>
      </c>
      <c r="P281" s="1365">
        <f t="shared" si="82"/>
        <v>1.5368320267754925</v>
      </c>
      <c r="Q281" s="1102">
        <f t="shared" si="83"/>
        <v>7.6841601338774614</v>
      </c>
      <c r="R281" s="58"/>
      <c r="S281" s="1211">
        <f t="shared" si="84"/>
        <v>0.46104960803264772</v>
      </c>
      <c r="T281" s="1198">
        <f t="shared" si="85"/>
        <v>4.1118962130213248</v>
      </c>
      <c r="U281" s="1613">
        <f t="shared" si="85"/>
        <v>20.55948106510662</v>
      </c>
      <c r="V281" s="1613">
        <f t="shared" si="85"/>
        <v>0</v>
      </c>
      <c r="W281" s="1200">
        <f t="shared" si="85"/>
        <v>1.2335688639063971</v>
      </c>
    </row>
    <row r="282" spans="1:23">
      <c r="A282" s="466">
        <f>'Input data'!A148</f>
        <v>2048</v>
      </c>
      <c r="B282" s="1366">
        <f>'Recycling - Case 3'!AI128</f>
        <v>6437.6604656145792</v>
      </c>
      <c r="C282" s="576">
        <f t="shared" si="93"/>
        <v>0.5</v>
      </c>
      <c r="D282" s="576">
        <f t="shared" si="86"/>
        <v>0.5</v>
      </c>
      <c r="E282" s="58">
        <v>0</v>
      </c>
      <c r="F282" s="58">
        <v>0</v>
      </c>
      <c r="G282" s="1365">
        <f t="shared" si="87"/>
        <v>2.5750641862458319</v>
      </c>
      <c r="H282" s="1102">
        <f t="shared" si="88"/>
        <v>12.875320931229158</v>
      </c>
      <c r="I282" s="58"/>
      <c r="J282" s="1211">
        <f t="shared" si="89"/>
        <v>0.77251925587374948</v>
      </c>
      <c r="K282" s="1364">
        <f>'Recycling - Case 3'!Z208</f>
        <v>3888.8597695942517</v>
      </c>
      <c r="L282" s="576">
        <f t="shared" si="94"/>
        <v>0.5</v>
      </c>
      <c r="M282" s="576">
        <f t="shared" si="90"/>
        <v>0.5</v>
      </c>
      <c r="N282" s="58">
        <f t="shared" si="95"/>
        <v>0</v>
      </c>
      <c r="O282" s="58">
        <f t="shared" si="95"/>
        <v>0</v>
      </c>
      <c r="P282" s="1365">
        <f t="shared" si="82"/>
        <v>1.5555439078377007</v>
      </c>
      <c r="Q282" s="1102">
        <f t="shared" si="83"/>
        <v>7.777719539188503</v>
      </c>
      <c r="R282" s="58"/>
      <c r="S282" s="1211">
        <f t="shared" si="84"/>
        <v>0.46666317235131022</v>
      </c>
      <c r="T282" s="1198">
        <f t="shared" si="85"/>
        <v>4.1306080940835326</v>
      </c>
      <c r="U282" s="1613">
        <f t="shared" si="85"/>
        <v>20.653040470417661</v>
      </c>
      <c r="V282" s="1613">
        <f t="shared" si="85"/>
        <v>0</v>
      </c>
      <c r="W282" s="1200">
        <f t="shared" si="85"/>
        <v>1.2391824282250596</v>
      </c>
    </row>
    <row r="283" spans="1:23">
      <c r="A283" s="466">
        <f>'Input data'!A149</f>
        <v>2049</v>
      </c>
      <c r="B283" s="1366">
        <f>'Recycling - Case 3'!AI129</f>
        <v>6437.6604656145792</v>
      </c>
      <c r="C283" s="576">
        <f t="shared" si="93"/>
        <v>0.5</v>
      </c>
      <c r="D283" s="576">
        <f t="shared" si="86"/>
        <v>0.5</v>
      </c>
      <c r="E283" s="58">
        <v>0</v>
      </c>
      <c r="F283" s="58">
        <v>0</v>
      </c>
      <c r="G283" s="1365">
        <f t="shared" si="87"/>
        <v>2.5750641862458319</v>
      </c>
      <c r="H283" s="1102">
        <f t="shared" si="88"/>
        <v>12.875320931229158</v>
      </c>
      <c r="I283" s="58"/>
      <c r="J283" s="1211">
        <f t="shared" si="89"/>
        <v>0.77251925587374948</v>
      </c>
      <c r="K283" s="1364">
        <f>'Recycling - Case 3'!Z209</f>
        <v>3938.7085361162012</v>
      </c>
      <c r="L283" s="576">
        <f t="shared" si="94"/>
        <v>0.5</v>
      </c>
      <c r="M283" s="576">
        <f t="shared" si="90"/>
        <v>0.5</v>
      </c>
      <c r="N283" s="58">
        <f t="shared" si="95"/>
        <v>0</v>
      </c>
      <c r="O283" s="58">
        <f t="shared" si="95"/>
        <v>0</v>
      </c>
      <c r="P283" s="1365">
        <f t="shared" si="82"/>
        <v>1.5754834144464804</v>
      </c>
      <c r="Q283" s="1102">
        <f t="shared" si="83"/>
        <v>7.8774170722324026</v>
      </c>
      <c r="R283" s="58"/>
      <c r="S283" s="1211">
        <f t="shared" si="84"/>
        <v>0.47264502433394417</v>
      </c>
      <c r="T283" s="1198">
        <f t="shared" si="85"/>
        <v>4.1505476006923123</v>
      </c>
      <c r="U283" s="1613">
        <f t="shared" si="85"/>
        <v>20.752738003461559</v>
      </c>
      <c r="V283" s="1613">
        <f t="shared" si="85"/>
        <v>0</v>
      </c>
      <c r="W283" s="1200">
        <f t="shared" si="85"/>
        <v>1.2451642802076937</v>
      </c>
    </row>
    <row r="284" spans="1:23" ht="15.75" thickBot="1">
      <c r="A284" s="1363">
        <f>'Input data'!A150</f>
        <v>2050</v>
      </c>
      <c r="B284" s="1614">
        <f>'Recycling - Case 3'!AI130</f>
        <v>6437.6604656145792</v>
      </c>
      <c r="C284" s="578">
        <f t="shared" si="93"/>
        <v>0.5</v>
      </c>
      <c r="D284" s="578">
        <f t="shared" si="86"/>
        <v>0.5</v>
      </c>
      <c r="E284" s="1212">
        <v>0</v>
      </c>
      <c r="F284" s="1212">
        <v>0</v>
      </c>
      <c r="G284" s="1213">
        <f t="shared" si="87"/>
        <v>2.5750641862458319</v>
      </c>
      <c r="H284" s="1144">
        <f t="shared" si="88"/>
        <v>12.875320931229158</v>
      </c>
      <c r="I284" s="1212"/>
      <c r="J284" s="1214">
        <f t="shared" si="89"/>
        <v>0.77251925587374948</v>
      </c>
      <c r="K284" s="1485">
        <f>'Recycling - Case 3'!Z210</f>
        <v>3985.2140129658874</v>
      </c>
      <c r="L284" s="578">
        <f t="shared" si="94"/>
        <v>0.5</v>
      </c>
      <c r="M284" s="578">
        <f t="shared" si="90"/>
        <v>0.5</v>
      </c>
      <c r="N284" s="1212">
        <f t="shared" ref="N284:O284" si="96">N146</f>
        <v>0</v>
      </c>
      <c r="O284" s="1212">
        <f t="shared" si="96"/>
        <v>0</v>
      </c>
      <c r="P284" s="1213">
        <f t="shared" si="82"/>
        <v>1.594085605186355</v>
      </c>
      <c r="Q284" s="1144">
        <f t="shared" si="83"/>
        <v>7.970428025931775</v>
      </c>
      <c r="R284" s="1212"/>
      <c r="S284" s="1214">
        <f t="shared" si="84"/>
        <v>0.4782256815559065</v>
      </c>
      <c r="T284" s="1215">
        <f t="shared" si="85"/>
        <v>4.1691497914321864</v>
      </c>
      <c r="U284" s="1216">
        <f t="shared" si="85"/>
        <v>20.845748957160932</v>
      </c>
      <c r="V284" s="1216">
        <f t="shared" si="85"/>
        <v>0</v>
      </c>
      <c r="W284" s="1217">
        <f t="shared" si="85"/>
        <v>1.250744937429656</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385" customWidth="1"/>
  </cols>
  <sheetData>
    <row r="1" spans="1:37">
      <c r="A1" s="2" t="s">
        <v>38</v>
      </c>
    </row>
    <row r="2" spans="1:37">
      <c r="Q2" s="4"/>
      <c r="R2" s="464"/>
      <c r="S2" s="4"/>
      <c r="T2" s="4"/>
      <c r="U2" s="4"/>
      <c r="V2" s="4"/>
      <c r="W2" s="4"/>
      <c r="X2" s="4"/>
      <c r="Y2" s="4"/>
      <c r="Z2" s="464"/>
      <c r="AA2" s="4"/>
      <c r="AB2" s="4"/>
    </row>
    <row r="3" spans="1:37" ht="15.7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6"/>
      <c r="AJ12" s="1386"/>
      <c r="AK12" s="1386"/>
    </row>
    <row r="13" spans="1:37" ht="30">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6"/>
      <c r="AJ13" s="1386"/>
      <c r="AK13" s="1386"/>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6"/>
      <c r="AJ14" s="1386"/>
      <c r="AK14" s="1386"/>
    </row>
    <row r="15" spans="1:37" ht="15.7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6"/>
      <c r="AJ15" s="1386"/>
      <c r="AK15" s="1386"/>
    </row>
    <row r="16" spans="1:37">
      <c r="AB16" s="99"/>
      <c r="AC16" s="99"/>
      <c r="AD16" s="99"/>
      <c r="AE16" s="99"/>
      <c r="AF16" s="99"/>
      <c r="AG16" s="99"/>
      <c r="AH16" s="99"/>
      <c r="AI16" s="1386"/>
      <c r="AJ16" s="1386"/>
      <c r="AK16" s="1386"/>
    </row>
    <row r="17" spans="1:171" ht="15.75" thickBot="1">
      <c r="C17" s="1" t="s">
        <v>267</v>
      </c>
      <c r="AH17" s="1"/>
      <c r="AI17" s="1386"/>
      <c r="AJ17" s="1386"/>
      <c r="AK17" s="1386"/>
    </row>
    <row r="18" spans="1:171">
      <c r="A18" s="2000" t="s">
        <v>217</v>
      </c>
      <c r="B18" s="1998" t="str">
        <f>A4</f>
        <v>Fraction of the population  burning waste (Pfrac)</v>
      </c>
      <c r="C18" s="1995" t="s">
        <v>784</v>
      </c>
      <c r="D18" s="1996"/>
      <c r="E18" s="1996"/>
      <c r="F18" s="1996"/>
      <c r="G18" s="1996"/>
      <c r="H18" s="1996"/>
      <c r="I18" s="1996"/>
      <c r="J18" s="1997"/>
      <c r="K18" s="1995" t="s">
        <v>286</v>
      </c>
      <c r="L18" s="1996"/>
      <c r="M18" s="1996"/>
      <c r="N18" s="1996"/>
      <c r="O18" s="1996"/>
      <c r="P18" s="1996"/>
      <c r="Q18" s="1996"/>
      <c r="R18" s="1997"/>
      <c r="S18" s="494" t="s">
        <v>291</v>
      </c>
      <c r="T18" s="495"/>
      <c r="U18" s="495"/>
      <c r="V18" s="496" t="s">
        <v>285</v>
      </c>
      <c r="W18" s="495"/>
      <c r="X18" s="495"/>
      <c r="Y18" s="495"/>
      <c r="Z18" s="497"/>
      <c r="AA18" s="1995" t="s">
        <v>287</v>
      </c>
      <c r="AB18" s="1996"/>
      <c r="AC18" s="1996"/>
      <c r="AD18" s="1996"/>
      <c r="AE18" s="1996"/>
      <c r="AF18" s="1996"/>
      <c r="AG18" s="1996"/>
      <c r="AH18" s="1997"/>
      <c r="AI18" s="1386"/>
      <c r="AJ18" s="1386"/>
      <c r="AK18" s="1386"/>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1"/>
      <c r="B19" s="1999"/>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6"/>
      <c r="AJ19" s="1386"/>
      <c r="AK19" s="1386"/>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6"/>
      <c r="AJ20" s="1386"/>
      <c r="AK20" s="1386"/>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6"/>
      <c r="AJ21" s="1386"/>
      <c r="AK21" s="1386"/>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6"/>
      <c r="AJ22" s="1386"/>
      <c r="AK22" s="1386"/>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6"/>
      <c r="AJ23" s="1386"/>
      <c r="AK23" s="1386"/>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6"/>
      <c r="AJ24" s="1386"/>
      <c r="AK24" s="1386"/>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6"/>
      <c r="AJ25" s="1386"/>
      <c r="AK25" s="1386"/>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6"/>
      <c r="AJ26" s="1386"/>
      <c r="AK26" s="1386"/>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6"/>
      <c r="AJ27" s="1386"/>
      <c r="AK27" s="1386"/>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6"/>
      <c r="AJ28" s="1386"/>
      <c r="AK28" s="1386"/>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6"/>
      <c r="AJ29" s="1386"/>
      <c r="AK29" s="1386"/>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6"/>
      <c r="AJ30" s="1386"/>
      <c r="AK30" s="1386"/>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6"/>
      <c r="AJ31" s="1386"/>
      <c r="AK31" s="1386"/>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6"/>
      <c r="AJ32" s="1386"/>
      <c r="AK32" s="1386"/>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6"/>
      <c r="AJ33" s="1386"/>
      <c r="AK33" s="1386"/>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6"/>
      <c r="AJ34" s="1386"/>
      <c r="AK34" s="1386"/>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6"/>
      <c r="AJ35" s="1386"/>
      <c r="AK35" s="1386"/>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6"/>
      <c r="AJ36" s="1386"/>
      <c r="AK36" s="1386"/>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6"/>
      <c r="AJ37" s="1386"/>
      <c r="AK37" s="1386"/>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6"/>
      <c r="AJ38" s="1386"/>
      <c r="AK38" s="1386"/>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6"/>
      <c r="AJ39" s="1386"/>
      <c r="AK39" s="1386"/>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6"/>
      <c r="AJ40" s="1386"/>
      <c r="AK40" s="1386"/>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6"/>
      <c r="AJ41" s="1386"/>
      <c r="AK41" s="1386"/>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6"/>
      <c r="AJ42" s="1386"/>
      <c r="AK42" s="1386"/>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6"/>
      <c r="AJ43" s="1386"/>
      <c r="AK43" s="1386"/>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6"/>
      <c r="AJ44" s="1386"/>
      <c r="AK44" s="1386"/>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6"/>
      <c r="AJ45" s="1386"/>
      <c r="AK45" s="1386"/>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6"/>
      <c r="AJ46" s="1386"/>
      <c r="AK46" s="1386"/>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6"/>
      <c r="AJ47" s="1386"/>
      <c r="AK47" s="1386"/>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6"/>
      <c r="AJ48" s="1386"/>
      <c r="AK48" s="1386"/>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6"/>
      <c r="AJ49" s="1386"/>
      <c r="AK49" s="1386"/>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6"/>
      <c r="AJ50" s="1386"/>
      <c r="AK50" s="1386"/>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6"/>
      <c r="AJ51" s="1386"/>
      <c r="AK51" s="1386"/>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6"/>
      <c r="AJ52" s="1386"/>
      <c r="AK52" s="1386"/>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6"/>
      <c r="AJ53" s="1386"/>
      <c r="AK53" s="1386"/>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6"/>
      <c r="AJ54" s="1386"/>
      <c r="AK54" s="1386"/>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6"/>
      <c r="AJ55" s="1386"/>
      <c r="AK55" s="1386"/>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6"/>
      <c r="AJ56" s="1386"/>
      <c r="AK56" s="1386"/>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6"/>
      <c r="AJ57" s="1386"/>
      <c r="AK57" s="1386"/>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6"/>
      <c r="AJ58" s="1386"/>
      <c r="AK58" s="1386"/>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6"/>
      <c r="AJ59" s="1386"/>
      <c r="AK59" s="1386"/>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6"/>
      <c r="AJ60" s="1386"/>
      <c r="AK60" s="1386"/>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6"/>
      <c r="AJ61" s="1386"/>
      <c r="AK61" s="1386"/>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6"/>
      <c r="AJ62" s="1386"/>
      <c r="AK62" s="1386"/>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6"/>
      <c r="AJ63" s="1386"/>
      <c r="AK63" s="1386"/>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6"/>
      <c r="AJ64" s="1386"/>
      <c r="AK64" s="1386"/>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6"/>
      <c r="AJ65" s="1386"/>
      <c r="AK65" s="1386"/>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6"/>
      <c r="AJ66" s="1386"/>
      <c r="AK66" s="1386"/>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6"/>
      <c r="AJ67" s="1386"/>
      <c r="AK67" s="1386"/>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6"/>
      <c r="AJ68" s="1386"/>
      <c r="AK68" s="1386"/>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6"/>
      <c r="AJ69" s="1386"/>
      <c r="AK69" s="1386"/>
      <c r="AL69" s="104"/>
      <c r="AQ69" s="99"/>
      <c r="AR69" s="99"/>
      <c r="AS69" s="99"/>
    </row>
    <row r="70" spans="1:45">
      <c r="A70" s="483">
        <f>'Input data'!A100</f>
        <v>2000</v>
      </c>
      <c r="B70" s="1367">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68">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4">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6"/>
      <c r="AJ70" s="418"/>
      <c r="AK70" s="528"/>
      <c r="AL70" s="528"/>
      <c r="AM70" s="775"/>
      <c r="AN70" s="775"/>
      <c r="AO70" s="775"/>
      <c r="AP70" s="775"/>
      <c r="AQ70" s="939"/>
      <c r="AR70" s="938"/>
      <c r="AS70" s="99"/>
    </row>
    <row r="71" spans="1:45">
      <c r="A71" s="489">
        <f>'Input data'!A101</f>
        <v>2001</v>
      </c>
      <c r="B71" s="1367">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2">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6"/>
      <c r="AJ71" s="418"/>
      <c r="AK71" s="528"/>
      <c r="AL71" s="528"/>
      <c r="AM71" s="775"/>
      <c r="AN71" s="775"/>
      <c r="AO71" s="775"/>
      <c r="AP71" s="775"/>
      <c r="AQ71" s="939"/>
      <c r="AR71" s="938"/>
      <c r="AS71" s="99"/>
    </row>
    <row r="72" spans="1:45">
      <c r="A72" s="489">
        <f>'Input data'!A102</f>
        <v>2002</v>
      </c>
      <c r="B72" s="1367">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2">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6"/>
      <c r="AJ72" s="418"/>
      <c r="AK72" s="528"/>
      <c r="AL72" s="528"/>
      <c r="AM72" s="775"/>
      <c r="AN72" s="775"/>
      <c r="AO72" s="775"/>
      <c r="AP72" s="775"/>
      <c r="AQ72" s="939"/>
      <c r="AR72" s="938"/>
      <c r="AS72" s="99"/>
    </row>
    <row r="73" spans="1:45">
      <c r="A73" s="489">
        <f>'Input data'!A103</f>
        <v>2003</v>
      </c>
      <c r="B73" s="1367">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2">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6"/>
      <c r="AJ73" s="418"/>
      <c r="AK73" s="528"/>
      <c r="AL73" s="528"/>
      <c r="AM73" s="775"/>
      <c r="AN73" s="775"/>
      <c r="AO73" s="775"/>
      <c r="AP73" s="775"/>
      <c r="AQ73" s="939"/>
      <c r="AR73" s="938"/>
      <c r="AS73" s="99"/>
    </row>
    <row r="74" spans="1:45">
      <c r="A74" s="489">
        <f>'Input data'!A104</f>
        <v>2004</v>
      </c>
      <c r="B74" s="1367">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2">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6"/>
      <c r="AJ74" s="418"/>
      <c r="AK74" s="528"/>
      <c r="AL74" s="528"/>
      <c r="AM74" s="775"/>
      <c r="AN74" s="775"/>
      <c r="AO74" s="775"/>
      <c r="AP74" s="775"/>
      <c r="AQ74" s="939"/>
      <c r="AR74" s="938"/>
      <c r="AS74" s="99"/>
    </row>
    <row r="75" spans="1:45">
      <c r="A75" s="489">
        <f>'Input data'!A105</f>
        <v>2005</v>
      </c>
      <c r="B75" s="1367">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2">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6"/>
      <c r="AJ75" s="418"/>
      <c r="AK75" s="528"/>
      <c r="AL75" s="528"/>
      <c r="AM75" s="775"/>
      <c r="AN75" s="775"/>
      <c r="AO75" s="775"/>
      <c r="AP75" s="775"/>
      <c r="AQ75" s="939"/>
      <c r="AR75" s="938"/>
      <c r="AS75" s="99"/>
    </row>
    <row r="76" spans="1:45">
      <c r="A76" s="489">
        <f>'Input data'!A106</f>
        <v>2006</v>
      </c>
      <c r="B76" s="1367">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2">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6"/>
      <c r="AJ76" s="418"/>
      <c r="AK76" s="528"/>
      <c r="AL76" s="528"/>
      <c r="AM76" s="775"/>
      <c r="AN76" s="775"/>
      <c r="AO76" s="775"/>
      <c r="AP76" s="775"/>
      <c r="AQ76" s="939"/>
      <c r="AR76" s="938"/>
      <c r="AS76" s="99"/>
    </row>
    <row r="77" spans="1:45">
      <c r="A77" s="489">
        <f>'Input data'!A107</f>
        <v>2007</v>
      </c>
      <c r="B77" s="1367">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2">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6"/>
      <c r="AJ77" s="418"/>
      <c r="AK77" s="528"/>
      <c r="AL77" s="528"/>
      <c r="AM77" s="775"/>
      <c r="AN77" s="775"/>
      <c r="AO77" s="775"/>
      <c r="AP77" s="775"/>
      <c r="AQ77" s="939"/>
      <c r="AR77" s="938"/>
      <c r="AS77" s="99"/>
    </row>
    <row r="78" spans="1:45">
      <c r="A78" s="489">
        <f>'Input data'!A108</f>
        <v>2008</v>
      </c>
      <c r="B78" s="1367">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2">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6"/>
      <c r="AJ78" s="418"/>
      <c r="AK78" s="528"/>
      <c r="AL78" s="528"/>
      <c r="AM78" s="775"/>
      <c r="AN78" s="775"/>
      <c r="AO78" s="775"/>
      <c r="AP78" s="775"/>
      <c r="AQ78" s="939"/>
      <c r="AR78" s="938"/>
      <c r="AS78" s="99"/>
    </row>
    <row r="79" spans="1:45">
      <c r="A79" s="489">
        <f>'Input data'!A109</f>
        <v>2009</v>
      </c>
      <c r="B79" s="1367">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2">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6"/>
      <c r="AJ79" s="418"/>
      <c r="AK79" s="528"/>
      <c r="AL79" s="528"/>
      <c r="AM79" s="775"/>
      <c r="AN79" s="775"/>
      <c r="AO79" s="775"/>
      <c r="AP79" s="775"/>
      <c r="AQ79" s="939"/>
      <c r="AR79" s="938"/>
      <c r="AS79" s="99"/>
    </row>
    <row r="80" spans="1:45">
      <c r="A80" s="489">
        <f>'Input data'!A110</f>
        <v>2010</v>
      </c>
      <c r="B80" s="1367">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2">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6"/>
      <c r="AJ80" s="418"/>
      <c r="AK80" s="528"/>
      <c r="AL80" s="528"/>
      <c r="AM80" s="775"/>
      <c r="AN80" s="775"/>
      <c r="AO80" s="775"/>
      <c r="AP80" s="775"/>
      <c r="AQ80" s="939"/>
      <c r="AR80" s="938"/>
      <c r="AS80" s="99"/>
    </row>
    <row r="81" spans="1:45">
      <c r="A81" s="489">
        <f>'Input data'!A111</f>
        <v>2011</v>
      </c>
      <c r="B81" s="1367">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2">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6"/>
      <c r="AJ81" s="418"/>
      <c r="AK81" s="528"/>
      <c r="AL81" s="528"/>
      <c r="AM81" s="775"/>
      <c r="AN81" s="775"/>
      <c r="AO81" s="775"/>
      <c r="AP81" s="775"/>
      <c r="AQ81" s="939"/>
      <c r="AR81" s="938"/>
      <c r="AS81" s="99"/>
    </row>
    <row r="82" spans="1:45">
      <c r="A82" s="489">
        <f>'Input data'!A112</f>
        <v>2012</v>
      </c>
      <c r="B82" s="1367">
        <f>'Baseline data (from input)'!V68</f>
        <v>0.10180060532102883</v>
      </c>
      <c r="C82" s="527">
        <f>$B82*'Baseline data (from input)'!L68*'Baseline data (from input)'!$C68</f>
        <v>805.30083399816965</v>
      </c>
      <c r="D82" s="528">
        <f>$B82*'Baseline data (from input)'!M68*'Baseline data (from input)'!$C68</f>
        <v>841.0604006482572</v>
      </c>
      <c r="E82" s="528">
        <f>$B82*'Baseline data (from input)'!N68*'Baseline data (from input)'!$C68</f>
        <v>229.71912805433266</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898.12286666987507</v>
      </c>
      <c r="J82" s="676">
        <f t="shared" si="3"/>
        <v>2774.2032293706347</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1.2135234546249398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30.942129002510534</v>
      </c>
      <c r="R82" s="1372">
        <f t="shared" si="0"/>
        <v>32.155652457135474</v>
      </c>
      <c r="S82" s="484">
        <f>C82*'4C2 Open-burning '!$C$9*'4C2 Open-burning '!$C$11*$C$5</f>
        <v>3.1406732525928609</v>
      </c>
      <c r="T82" s="485">
        <f>D82*'4C2 Open-burning '!$C$9*'4C2 Open-burning '!$C$11*$C$5</f>
        <v>3.2801355625282027</v>
      </c>
      <c r="U82" s="485">
        <f>E82*'4C2 Open-burning '!$C$9*'4C2 Open-burning '!$C$11*$C$5</f>
        <v>0.89590459941189737</v>
      </c>
      <c r="V82" s="485">
        <f>F82*'4C2 Open-burning '!$C$9*'4C2 Open-burning '!$C$11*$C$5</f>
        <v>0</v>
      </c>
      <c r="W82" s="485">
        <f>G82*'4C2 Open-burning '!$C$9*'4C2 Open-burning '!$C$11*$C$5</f>
        <v>0</v>
      </c>
      <c r="X82" s="485">
        <f>H82*'4C2 Open-burning '!$C$9*'4C2 Open-burning '!$C$11*$C$5</f>
        <v>0</v>
      </c>
      <c r="Y82" s="485">
        <f>I82*'4C2 Open-burning '!$C$9*'4C2 Open-burning '!$C$11*$C$5</f>
        <v>3.5026791800125125</v>
      </c>
      <c r="Z82" s="486">
        <f t="shared" si="4"/>
        <v>10.819392594545473</v>
      </c>
      <c r="AA82" s="487">
        <f>C82*'4C2 Open-burning '!$C$10*'4C2 Open-burning '!$C$11*$C$5*C$15</f>
        <v>2.8990830023934107E-2</v>
      </c>
      <c r="AB82" s="487">
        <f>D82*'4C2 Open-burning '!$C$10*'4C2 Open-burning '!$C$11*$C$5*D$15</f>
        <v>3.0278174423337259E-2</v>
      </c>
      <c r="AC82" s="487">
        <f>E82*'4C2 Open-burning '!$C$10*'4C2 Open-burning '!$C$11*$C$5*E$15</f>
        <v>1.8607249372400943E-2</v>
      </c>
      <c r="AD82" s="487">
        <f>F82*'4C2 Open-burning '!$C$10*'4C2 Open-burning '!$C$11*$C$5*F$15</f>
        <v>0</v>
      </c>
      <c r="AE82" s="487">
        <f>G82*'4C2 Open-burning '!$C$10*'4C2 Open-burning '!$C$11*$C$5*G$15</f>
        <v>0</v>
      </c>
      <c r="AF82" s="487">
        <f>H82*'4C2 Open-burning '!$C$10*'4C2 Open-burning '!$C$11*$C$5*H$15</f>
        <v>0</v>
      </c>
      <c r="AG82" s="487">
        <f>I82*'4C2 Open-burning '!$C$10*'4C2 Open-burning '!$C$11*$C$5*I$15</f>
        <v>7.2747952200259883E-2</v>
      </c>
      <c r="AH82" s="488">
        <f t="shared" si="2"/>
        <v>0.15062420601993221</v>
      </c>
      <c r="AI82" s="1386"/>
      <c r="AJ82" s="418"/>
      <c r="AK82" s="528"/>
      <c r="AL82" s="528"/>
      <c r="AM82" s="775"/>
      <c r="AN82" s="775"/>
      <c r="AO82" s="775"/>
      <c r="AP82" s="775"/>
      <c r="AQ82" s="939"/>
      <c r="AR82" s="938"/>
      <c r="AS82" s="99"/>
    </row>
    <row r="83" spans="1:45">
      <c r="A83" s="489">
        <f>'Input data'!A113</f>
        <v>2013</v>
      </c>
      <c r="B83" s="1367">
        <f>'Baseline data (from input)'!V69</f>
        <v>0.10573414042803844</v>
      </c>
      <c r="C83" s="527">
        <f>$B83*'Baseline data (from input)'!L69*'Baseline data (from input)'!$C69</f>
        <v>817.39781953954912</v>
      </c>
      <c r="D83" s="528">
        <f>$B83*'Baseline data (from input)'!M69*'Baseline data (from input)'!$C69</f>
        <v>853.69455558332083</v>
      </c>
      <c r="E83" s="528">
        <f>$B83*'Baseline data (from input)'!N69*'Baseline data (from input)'!$C69</f>
        <v>233.16989931065288</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911.61419670929297</v>
      </c>
      <c r="J83" s="676">
        <f t="shared" si="3"/>
        <v>2815.8764711428157</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1.2317526368944274</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31.406932305028558</v>
      </c>
      <c r="R83" s="1372">
        <f t="shared" si="0"/>
        <v>32.638684941922989</v>
      </c>
      <c r="S83" s="484">
        <f>C83*'4C2 Open-burning '!$C$9*'4C2 Open-burning '!$C$11*$C$5</f>
        <v>3.1878514962042415</v>
      </c>
      <c r="T83" s="485">
        <f>D83*'4C2 Open-burning '!$C$9*'4C2 Open-burning '!$C$11*$C$5</f>
        <v>3.329408766774951</v>
      </c>
      <c r="U83" s="485">
        <f>E83*'4C2 Open-burning '!$C$9*'4C2 Open-burning '!$C$11*$C$5</f>
        <v>0.90936260731154617</v>
      </c>
      <c r="V83" s="485">
        <f>F83*'4C2 Open-burning '!$C$9*'4C2 Open-burning '!$C$11*$C$5</f>
        <v>0</v>
      </c>
      <c r="W83" s="485">
        <f>G83*'4C2 Open-burning '!$C$9*'4C2 Open-burning '!$C$11*$C$5</f>
        <v>0</v>
      </c>
      <c r="X83" s="485">
        <f>H83*'4C2 Open-burning '!$C$9*'4C2 Open-burning '!$C$11*$C$5</f>
        <v>0</v>
      </c>
      <c r="Y83" s="485">
        <f>I83*'4C2 Open-burning '!$C$9*'4C2 Open-burning '!$C$11*$C$5</f>
        <v>3.5552953671662424</v>
      </c>
      <c r="Z83" s="486">
        <f t="shared" si="4"/>
        <v>10.981918237456981</v>
      </c>
      <c r="AA83" s="487">
        <f>C83*'4C2 Open-burning '!$C$10*'4C2 Open-burning '!$C$11*$C$5*C$15</f>
        <v>2.9426321503423766E-2</v>
      </c>
      <c r="AB83" s="487">
        <f>D83*'4C2 Open-burning '!$C$10*'4C2 Open-burning '!$C$11*$C$5*D$15</f>
        <v>3.0733004000999549E-2</v>
      </c>
      <c r="AC83" s="487">
        <f>E83*'4C2 Open-burning '!$C$10*'4C2 Open-burning '!$C$11*$C$5*E$15</f>
        <v>1.888676184416288E-2</v>
      </c>
      <c r="AD83" s="487">
        <f>F83*'4C2 Open-burning '!$C$10*'4C2 Open-burning '!$C$11*$C$5*F$15</f>
        <v>0</v>
      </c>
      <c r="AE83" s="487">
        <f>G83*'4C2 Open-burning '!$C$10*'4C2 Open-burning '!$C$11*$C$5*G$15</f>
        <v>0</v>
      </c>
      <c r="AF83" s="487">
        <f>H83*'4C2 Open-burning '!$C$10*'4C2 Open-burning '!$C$11*$C$5*H$15</f>
        <v>0</v>
      </c>
      <c r="AG83" s="487">
        <f>I83*'4C2 Open-burning '!$C$10*'4C2 Open-burning '!$C$11*$C$5*I$15</f>
        <v>7.3840749933452729E-2</v>
      </c>
      <c r="AH83" s="488">
        <f t="shared" si="2"/>
        <v>0.15288683728203895</v>
      </c>
      <c r="AI83" s="1386"/>
      <c r="AJ83" s="418"/>
      <c r="AK83" s="528"/>
      <c r="AL83" s="528"/>
      <c r="AM83" s="775"/>
      <c r="AN83" s="775"/>
      <c r="AO83" s="775"/>
      <c r="AP83" s="775"/>
      <c r="AQ83" s="939"/>
      <c r="AR83" s="938"/>
      <c r="AS83" s="99"/>
    </row>
    <row r="84" spans="1:45">
      <c r="A84" s="489">
        <f>'Input data'!A114</f>
        <v>2014</v>
      </c>
      <c r="B84" s="1367">
        <f>'Baseline data (from input)'!V70</f>
        <v>0.10966767553504805</v>
      </c>
      <c r="C84" s="527">
        <f>$B84*'Baseline data (from input)'!L70*'Baseline data (from input)'!$C70</f>
        <v>827.56761967995976</v>
      </c>
      <c r="D84" s="528">
        <f>$B84*'Baseline data (from input)'!M70*'Baseline data (from input)'!$C70</f>
        <v>864.31594801146503</v>
      </c>
      <c r="E84" s="528">
        <f>$B84*'Baseline data (from input)'!N70*'Baseline data (from input)'!$C70</f>
        <v>236.07092402354576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922.95620663894613</v>
      </c>
      <c r="J84" s="676">
        <f t="shared" si="3"/>
        <v>2850.9106983539168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1.2470777060837437</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31.797687231124968</v>
      </c>
      <c r="R84" s="1372">
        <f t="shared" si="0"/>
        <v>33.044764937208711</v>
      </c>
      <c r="S84" s="484">
        <f>C84*'4C2 Open-burning '!$C$9*'4C2 Open-burning '!$C$11*$C$5</f>
        <v>3.2275137167518428</v>
      </c>
      <c r="T84" s="485">
        <f>D84*'4C2 Open-burning '!$C$9*'4C2 Open-burning '!$C$11*$C$5</f>
        <v>3.3708321972447135</v>
      </c>
      <c r="U84" s="485">
        <f>E84*'4C2 Open-burning '!$C$9*'4C2 Open-burning '!$C$11*$C$5</f>
        <v>0.92067660369182835</v>
      </c>
      <c r="V84" s="485">
        <f>F84*'4C2 Open-burning '!$C$9*'4C2 Open-burning '!$C$11*$C$5</f>
        <v>0</v>
      </c>
      <c r="W84" s="485">
        <f>G84*'4C2 Open-burning '!$C$9*'4C2 Open-burning '!$C$11*$C$5</f>
        <v>0</v>
      </c>
      <c r="X84" s="485">
        <f>H84*'4C2 Open-burning '!$C$9*'4C2 Open-burning '!$C$11*$C$5</f>
        <v>0</v>
      </c>
      <c r="Y84" s="485">
        <f>I84*'4C2 Open-burning '!$C$9*'4C2 Open-burning '!$C$11*$C$5</f>
        <v>3.5995292058918897</v>
      </c>
      <c r="Z84" s="486">
        <f t="shared" si="4"/>
        <v>11.118551723580275</v>
      </c>
      <c r="AA84" s="487">
        <f>C84*'4C2 Open-burning '!$C$10*'4C2 Open-burning '!$C$11*$C$5*C$15</f>
        <v>2.9792434308478551E-2</v>
      </c>
      <c r="AB84" s="487">
        <f>D84*'4C2 Open-burning '!$C$10*'4C2 Open-burning '!$C$11*$C$5*D$15</f>
        <v>3.111537412841274E-2</v>
      </c>
      <c r="AC84" s="487">
        <f>E84*'4C2 Open-burning '!$C$10*'4C2 Open-burning '!$C$11*$C$5*E$15</f>
        <v>1.9121744845907205E-2</v>
      </c>
      <c r="AD84" s="487">
        <f>F84*'4C2 Open-burning '!$C$10*'4C2 Open-burning '!$C$11*$C$5*F$15</f>
        <v>0</v>
      </c>
      <c r="AE84" s="487">
        <f>G84*'4C2 Open-burning '!$C$10*'4C2 Open-burning '!$C$11*$C$5*G$15</f>
        <v>0</v>
      </c>
      <c r="AF84" s="487">
        <f>H84*'4C2 Open-burning '!$C$10*'4C2 Open-burning '!$C$11*$C$5*H$15</f>
        <v>0</v>
      </c>
      <c r="AG84" s="487">
        <f>I84*'4C2 Open-burning '!$C$10*'4C2 Open-burning '!$C$11*$C$5*I$15</f>
        <v>7.4759452737754625E-2</v>
      </c>
      <c r="AH84" s="488">
        <f t="shared" si="2"/>
        <v>0.15478900602055312</v>
      </c>
      <c r="AI84" s="1386"/>
      <c r="AJ84" s="418"/>
      <c r="AK84" s="528"/>
      <c r="AL84" s="528"/>
      <c r="AM84" s="775"/>
      <c r="AN84" s="775"/>
      <c r="AO84" s="775"/>
      <c r="AP84" s="775"/>
      <c r="AQ84" s="939"/>
      <c r="AR84" s="938"/>
      <c r="AS84" s="99"/>
    </row>
    <row r="85" spans="1:45">
      <c r="A85" s="489">
        <f>'Input data'!A115</f>
        <v>2015</v>
      </c>
      <c r="B85" s="1367">
        <f>'Baseline data (from input)'!V71</f>
        <v>0.11360121064205767</v>
      </c>
      <c r="C85" s="527">
        <f>$B85*'Baseline data (from input)'!L71*'Baseline data (from input)'!$C71</f>
        <v>835.71680146706092</v>
      </c>
      <c r="D85" s="528">
        <f>$B85*'Baseline data (from input)'!M71*'Baseline data (from input)'!$C71</f>
        <v>872.82699606885512</v>
      </c>
      <c r="E85" s="528">
        <f>$B85*'Baseline data (from input)'!N71*'Baseline data (from input)'!$C71</f>
        <v>238.39554962363962</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932.04469406954752</v>
      </c>
      <c r="J85" s="676">
        <f t="shared" si="3"/>
        <v>2878.9840412291032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1.2593578662638236</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32.110803800084049</v>
      </c>
      <c r="R85" s="1372">
        <f t="shared" ref="R85:R87" si="5">SUM(K85:Q85)</f>
        <v>33.370161666347876</v>
      </c>
      <c r="S85" s="484">
        <f>C85*'4C2 Open-burning '!$C$9*'4C2 Open-burning '!$C$11*$C$5</f>
        <v>3.2592955257215372</v>
      </c>
      <c r="T85" s="485">
        <f>D85*'4C2 Open-burning '!$C$9*'4C2 Open-burning '!$C$11*$C$5</f>
        <v>3.4040252846685353</v>
      </c>
      <c r="U85" s="485">
        <f>E85*'4C2 Open-burning '!$C$9*'4C2 Open-burning '!$C$11*$C$5</f>
        <v>0.92974264353219438</v>
      </c>
      <c r="V85" s="485">
        <f>F85*'4C2 Open-burning '!$C$9*'4C2 Open-burning '!$C$11*$C$5</f>
        <v>0</v>
      </c>
      <c r="W85" s="485">
        <f>G85*'4C2 Open-burning '!$C$9*'4C2 Open-burning '!$C$11*$C$5</f>
        <v>0</v>
      </c>
      <c r="X85" s="485">
        <f>H85*'4C2 Open-burning '!$C$9*'4C2 Open-burning '!$C$11*$C$5</f>
        <v>0</v>
      </c>
      <c r="Y85" s="485">
        <f>I85*'4C2 Open-burning '!$C$9*'4C2 Open-burning '!$C$11*$C$5</f>
        <v>3.6349743068712352</v>
      </c>
      <c r="Z85" s="486">
        <f t="shared" si="4"/>
        <v>11.228037760793502</v>
      </c>
      <c r="AA85" s="487">
        <f>C85*'4C2 Open-burning '!$C$10*'4C2 Open-burning '!$C$11*$C$5*C$15</f>
        <v>3.0085804852814192E-2</v>
      </c>
      <c r="AB85" s="487">
        <f>D85*'4C2 Open-burning '!$C$10*'4C2 Open-burning '!$C$11*$C$5*D$15</f>
        <v>3.1421771858478782E-2</v>
      </c>
      <c r="AC85" s="487">
        <f>E85*'4C2 Open-burning '!$C$10*'4C2 Open-burning '!$C$11*$C$5*E$15</f>
        <v>1.9310039519514807E-2</v>
      </c>
      <c r="AD85" s="487">
        <f>F85*'4C2 Open-burning '!$C$10*'4C2 Open-burning '!$C$11*$C$5*F$15</f>
        <v>0</v>
      </c>
      <c r="AE85" s="487">
        <f>G85*'4C2 Open-burning '!$C$10*'4C2 Open-burning '!$C$11*$C$5*G$15</f>
        <v>0</v>
      </c>
      <c r="AF85" s="487">
        <f>H85*'4C2 Open-burning '!$C$10*'4C2 Open-burning '!$C$11*$C$5*H$15</f>
        <v>0</v>
      </c>
      <c r="AG85" s="487">
        <f>I85*'4C2 Open-burning '!$C$10*'4C2 Open-burning '!$C$11*$C$5*I$15</f>
        <v>7.5495620219633339E-2</v>
      </c>
      <c r="AH85" s="488">
        <f t="shared" ref="AH85:AH87" si="6">SUM(AA85:AG85)</f>
        <v>0.15631323645044112</v>
      </c>
      <c r="AI85" s="1386"/>
      <c r="AJ85" s="418"/>
      <c r="AK85" s="528"/>
      <c r="AL85" s="528"/>
      <c r="AM85" s="775"/>
      <c r="AN85" s="775"/>
      <c r="AO85" s="775"/>
      <c r="AP85" s="775"/>
      <c r="AQ85" s="939"/>
      <c r="AR85" s="938"/>
      <c r="AS85" s="99"/>
    </row>
    <row r="86" spans="1:45">
      <c r="A86" s="489">
        <f>'Input data'!A116</f>
        <v>2016</v>
      </c>
      <c r="B86" s="1367">
        <f>'Baseline data (from input)'!V72</f>
        <v>0.11753474574906728</v>
      </c>
      <c r="C86" s="527">
        <f>$B86*'Baseline data (from input)'!L72*'Baseline data (from input)'!$C72</f>
        <v>841.74451395612755</v>
      </c>
      <c r="D86" s="528">
        <f>$B86*'Baseline data (from input)'!M72*'Baseline data (from input)'!$C72</f>
        <v>879.1223705016331</v>
      </c>
      <c r="E86" s="528">
        <f>$B86*'Baseline data (from input)'!N72*'Baseline data (from input)'!$C72</f>
        <v>240.11500749415484</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938.76718359344966</v>
      </c>
      <c r="J86" s="676">
        <f t="shared" si="3"/>
        <v>2899.749075545365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1.268441143188922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32.342407009161526</v>
      </c>
      <c r="R86" s="1372">
        <f t="shared" si="5"/>
        <v>33.610848152350449</v>
      </c>
      <c r="S86" s="484">
        <f>C86*'4C2 Open-burning '!$C$9*'4C2 Open-burning '!$C$11*$C$5</f>
        <v>3.2828036044288975</v>
      </c>
      <c r="T86" s="485">
        <f>D86*'4C2 Open-burning '!$C$9*'4C2 Open-burning '!$C$11*$C$5</f>
        <v>3.4285772449563692</v>
      </c>
      <c r="U86" s="485">
        <f>E86*'4C2 Open-burning '!$C$9*'4C2 Open-burning '!$C$11*$C$5</f>
        <v>0.93644852922720379</v>
      </c>
      <c r="V86" s="485">
        <f>F86*'4C2 Open-burning '!$C$9*'4C2 Open-burning '!$C$11*$C$5</f>
        <v>0</v>
      </c>
      <c r="W86" s="485">
        <f>G86*'4C2 Open-burning '!$C$9*'4C2 Open-burning '!$C$11*$C$5</f>
        <v>0</v>
      </c>
      <c r="X86" s="485">
        <f>H86*'4C2 Open-burning '!$C$9*'4C2 Open-burning '!$C$11*$C$5</f>
        <v>0</v>
      </c>
      <c r="Y86" s="485">
        <f>I86*'4C2 Open-burning '!$C$9*'4C2 Open-burning '!$C$11*$C$5</f>
        <v>3.6611920160144531</v>
      </c>
      <c r="Z86" s="486">
        <f t="shared" si="4"/>
        <v>11.309021394626923</v>
      </c>
      <c r="AA86" s="487">
        <f>C86*'4C2 Open-burning '!$C$10*'4C2 Open-burning '!$C$11*$C$5*C$15</f>
        <v>3.0302802502420591E-2</v>
      </c>
      <c r="AB86" s="487">
        <f>D86*'4C2 Open-burning '!$C$10*'4C2 Open-burning '!$C$11*$C$5*D$15</f>
        <v>3.1648405338058787E-2</v>
      </c>
      <c r="AC86" s="487">
        <f>E86*'4C2 Open-burning '!$C$10*'4C2 Open-burning '!$C$11*$C$5*E$15</f>
        <v>1.9449315607026542E-2</v>
      </c>
      <c r="AD86" s="487">
        <f>F86*'4C2 Open-burning '!$C$10*'4C2 Open-burning '!$C$11*$C$5*F$15</f>
        <v>0</v>
      </c>
      <c r="AE86" s="487">
        <f>G86*'4C2 Open-burning '!$C$10*'4C2 Open-burning '!$C$11*$C$5*G$15</f>
        <v>0</v>
      </c>
      <c r="AF86" s="487">
        <f>H86*'4C2 Open-burning '!$C$10*'4C2 Open-burning '!$C$11*$C$5*H$15</f>
        <v>0</v>
      </c>
      <c r="AG86" s="487">
        <f>I86*'4C2 Open-burning '!$C$10*'4C2 Open-burning '!$C$11*$C$5*I$15</f>
        <v>7.6040141871069417E-2</v>
      </c>
      <c r="AH86" s="488">
        <f t="shared" si="6"/>
        <v>0.15744066531857534</v>
      </c>
      <c r="AI86" s="1386"/>
      <c r="AJ86" s="418"/>
      <c r="AK86" s="528"/>
      <c r="AL86" s="528"/>
      <c r="AM86" s="775"/>
      <c r="AN86" s="775"/>
      <c r="AO86" s="775"/>
      <c r="AP86" s="775"/>
      <c r="AQ86" s="939"/>
      <c r="AR86" s="938"/>
      <c r="AS86" s="99"/>
    </row>
    <row r="87" spans="1:45" ht="15.75" thickBot="1">
      <c r="A87" s="489">
        <f>'Input data'!A117</f>
        <v>2017</v>
      </c>
      <c r="B87" s="1367">
        <f>'Baseline data (from input)'!V73</f>
        <v>0.12146828085607692</v>
      </c>
      <c r="C87" s="670">
        <f>$B87*'Baseline data (from input)'!L73*'Baseline data (from input)'!$C73</f>
        <v>845.54198661256362</v>
      </c>
      <c r="D87" s="667">
        <f>$B87*'Baseline data (from input)'!M73*'Baseline data (from input)'!$C73</f>
        <v>883.08847079488123</v>
      </c>
      <c r="E87" s="667">
        <f>$B87*'Baseline data (from input)'!N73*'Baseline data (from input)'!$C73</f>
        <v>241.19826988581985</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943.00236737112664</v>
      </c>
      <c r="J87" s="1369">
        <f t="shared" ref="J87" si="7">SUM(C87:I87)</f>
        <v>2912.8310946643915</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1.2741636284296274</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32.488317560670055</v>
      </c>
      <c r="R87" s="1375">
        <f t="shared" si="5"/>
        <v>33.762481189099681</v>
      </c>
      <c r="S87" s="490">
        <f>C87*'4C2 Open-burning '!$C$9*'4C2 Open-burning '!$C$11*$C$5</f>
        <v>3.297613747788998</v>
      </c>
      <c r="T87" s="491">
        <f>D87*'4C2 Open-burning '!$C$9*'4C2 Open-burning '!$C$11*$C$5</f>
        <v>3.4440450361000363</v>
      </c>
      <c r="U87" s="491">
        <f>E87*'4C2 Open-burning '!$C$9*'4C2 Open-burning '!$C$11*$C$5</f>
        <v>0.94067325255469736</v>
      </c>
      <c r="V87" s="491">
        <f>F87*'4C2 Open-burning '!$C$9*'4C2 Open-burning '!$C$11*$C$5</f>
        <v>0</v>
      </c>
      <c r="W87" s="491">
        <f>G87*'4C2 Open-burning '!$C$9*'4C2 Open-burning '!$C$11*$C$5</f>
        <v>0</v>
      </c>
      <c r="X87" s="491">
        <f>H87*'4C2 Open-burning '!$C$9*'4C2 Open-burning '!$C$11*$C$5</f>
        <v>0</v>
      </c>
      <c r="Y87" s="491">
        <f>I87*'4C2 Open-burning '!$C$9*'4C2 Open-burning '!$C$11*$C$5</f>
        <v>3.677709232747393</v>
      </c>
      <c r="Z87" s="492">
        <f t="shared" si="4"/>
        <v>11.360041269191125</v>
      </c>
      <c r="AA87" s="487">
        <f>C87*'4C2 Open-burning '!$C$10*'4C2 Open-burning '!$C$11*$C$5*C$15</f>
        <v>3.0439511518052288E-2</v>
      </c>
      <c r="AB87" s="487">
        <f>D87*'4C2 Open-burning '!$C$10*'4C2 Open-burning '!$C$11*$C$5*D$15</f>
        <v>3.1791184948615721E-2</v>
      </c>
      <c r="AC87" s="487">
        <f>E87*'4C2 Open-burning '!$C$10*'4C2 Open-burning '!$C$11*$C$5*E$15</f>
        <v>1.9537059860751407E-2</v>
      </c>
      <c r="AD87" s="487">
        <f>F87*'4C2 Open-burning '!$C$10*'4C2 Open-burning '!$C$11*$C$5*F$15</f>
        <v>0</v>
      </c>
      <c r="AE87" s="487">
        <f>G87*'4C2 Open-burning '!$C$10*'4C2 Open-burning '!$C$11*$C$5*G$15</f>
        <v>0</v>
      </c>
      <c r="AF87" s="487">
        <f>H87*'4C2 Open-burning '!$C$10*'4C2 Open-burning '!$C$11*$C$5*H$15</f>
        <v>0</v>
      </c>
      <c r="AG87" s="487">
        <f>I87*'4C2 Open-burning '!$C$10*'4C2 Open-burning '!$C$11*$C$5*I$15</f>
        <v>7.6383191757061264E-2</v>
      </c>
      <c r="AH87" s="488">
        <f t="shared" si="6"/>
        <v>0.15815094808448069</v>
      </c>
      <c r="AI87" s="1386"/>
      <c r="AJ87" s="418"/>
      <c r="AK87" s="528"/>
      <c r="AL87" s="528"/>
      <c r="AM87" s="775"/>
      <c r="AN87" s="775"/>
      <c r="AO87" s="775"/>
      <c r="AP87" s="775"/>
      <c r="AQ87" s="939"/>
      <c r="AR87" s="938"/>
      <c r="AS87" s="99"/>
    </row>
    <row r="88" spans="1:45" ht="15.75" thickBot="1">
      <c r="A88" s="948" t="s">
        <v>569</v>
      </c>
      <c r="B88" s="814"/>
      <c r="C88" s="528"/>
      <c r="D88" s="938"/>
      <c r="E88" s="938"/>
      <c r="F88" s="938"/>
      <c r="G88" s="938"/>
      <c r="H88" s="938"/>
      <c r="I88" s="938"/>
      <c r="J88" s="939"/>
      <c r="K88" s="158"/>
      <c r="L88" s="158"/>
      <c r="M88" s="158"/>
      <c r="N88" s="158"/>
      <c r="O88" s="158"/>
      <c r="P88" s="158"/>
      <c r="Q88" s="158"/>
      <c r="R88" s="940"/>
      <c r="S88" s="1370"/>
      <c r="T88" s="1370"/>
      <c r="U88" s="1370"/>
      <c r="V88" s="1370"/>
      <c r="W88" s="1370"/>
      <c r="X88" s="1370"/>
      <c r="Y88" s="1370"/>
      <c r="Z88" s="1371"/>
      <c r="AA88" s="946"/>
      <c r="AB88" s="946"/>
      <c r="AC88" s="946"/>
      <c r="AD88" s="946"/>
      <c r="AE88" s="946"/>
      <c r="AF88" s="946"/>
      <c r="AG88" s="946"/>
      <c r="AH88" s="947"/>
      <c r="AI88" s="1386"/>
      <c r="AJ88" s="1386"/>
      <c r="AK88" s="1386"/>
      <c r="AQ88" s="99"/>
      <c r="AR88" s="99"/>
      <c r="AS88" s="99"/>
    </row>
    <row r="89" spans="1:45">
      <c r="A89" s="483">
        <f>'Input data'!A118</f>
        <v>2018</v>
      </c>
      <c r="B89" s="1631">
        <f>'Recycling - Case 1'!AP98</f>
        <v>0.11927634493671938</v>
      </c>
      <c r="C89" s="956">
        <f>$B89*'Recycling - Case 1'!BM98*'Recycling - Case 1'!$AK98</f>
        <v>823.70434200617137</v>
      </c>
      <c r="D89" s="957">
        <f>$B89*'Recycling - Case 1'!BN98*'Recycling - Case 1'!$AK98</f>
        <v>860.28112061410604</v>
      </c>
      <c r="E89" s="957">
        <f>$B89*'Recycling - Case 1'!BO98*'Recycling - Case 1'!$AK98</f>
        <v>234.968890173353</v>
      </c>
      <c r="F89" s="957">
        <f>$B89*'Recycling - Case 1'!BP98*'Recycling - Case 1'!$AK98</f>
        <v>0</v>
      </c>
      <c r="G89" s="957">
        <f>$B89*'Recycling - Case 1'!BQ98*'Recycling - Case 1'!$AK98</f>
        <v>0</v>
      </c>
      <c r="H89" s="957">
        <f>$B89*'Recycling - Case 1'!BR98*'Recycling - Case 1'!$AK98</f>
        <v>0</v>
      </c>
      <c r="I89" s="957">
        <f>$B89*'Recycling - Case 1'!BS98*'Recycling - Case 1'!$AK98</f>
        <v>918.64763290768826</v>
      </c>
      <c r="J89" s="958">
        <f>SUM(C89:I89)</f>
        <v>2837.6019857013184</v>
      </c>
      <c r="K89" s="1376">
        <f>'4C2 Open-burning '!C$14*'4C2 Open-burning '!$C$5*'4C2 Open-burning '!$C$6*'4C2 Open-burning '!$C$7*C89</f>
        <v>0</v>
      </c>
      <c r="L89" s="1376">
        <f>'4C2 Open-burning '!D$14*'4C2 Open-burning '!$C$5*'4C2 Open-burning '!$C$6*'4C2 Open-burning '!$C$7*D89</f>
        <v>0</v>
      </c>
      <c r="M89" s="1376">
        <f>'4C2 Open-burning '!E$14*'4C2 Open-burning '!$C$5*'4C2 Open-burning '!$C$6*'4C2 Open-burning '!$C$7*E89</f>
        <v>1.2412560579853615</v>
      </c>
      <c r="N89" s="1376">
        <f>'4C2 Open-burning '!F$14*'4C2 Open-burning '!$C$5*'4C2 Open-burning '!$C$6*'4C2 Open-burning '!$C$7*F89</f>
        <v>0</v>
      </c>
      <c r="O89" s="1376">
        <f>'4C2 Open-burning '!G$14*'4C2 Open-burning '!$C$5*'4C2 Open-burning '!$C$6*'4C2 Open-burning '!$C$7*G89</f>
        <v>0</v>
      </c>
      <c r="P89" s="1376">
        <f>'4C2 Open-burning '!H$14*'4C2 Open-burning '!$C$5*'4C2 Open-burning '!$C$6*'4C2 Open-burning '!$C$7*H89</f>
        <v>0</v>
      </c>
      <c r="Q89" s="1376">
        <f>'4C2 Open-burning '!I$14*'4C2 Open-burning '!$C$5*'4C2 Open-burning '!$C$6*'4C2 Open-burning '!$C$7*I89</f>
        <v>31.649248248935674</v>
      </c>
      <c r="R89" s="1377">
        <f t="shared" ref="R89:R152" si="8">SUM(K89:Q89)</f>
        <v>32.890504306921038</v>
      </c>
      <c r="S89" s="485">
        <f>C89*'4C2 Open-burning '!$C$9*'4C2 Open-burning '!$C$11*$C$5</f>
        <v>3.2124469338240682</v>
      </c>
      <c r="T89" s="485">
        <f>D89*'4C2 Open-burning '!$C$9*'4C2 Open-burning '!$C$11*$C$5</f>
        <v>3.355096370395013</v>
      </c>
      <c r="U89" s="485">
        <f>E89*'4C2 Open-burning '!$C$9*'4C2 Open-burning '!$C$11*$C$5</f>
        <v>0.91637867167607667</v>
      </c>
      <c r="V89" s="485">
        <f>F89*'4C2 Open-burning '!$C$9*'4C2 Open-burning '!$C$11*$C$5</f>
        <v>0</v>
      </c>
      <c r="W89" s="485">
        <f>G89*'4C2 Open-burning '!$C$9*'4C2 Open-burning '!$C$11*$C$5</f>
        <v>0</v>
      </c>
      <c r="X89" s="485">
        <f>H89*'4C2 Open-burning '!$C$9*'4C2 Open-burning '!$C$11*$C$5</f>
        <v>0</v>
      </c>
      <c r="Y89" s="485">
        <f>I89*'4C2 Open-burning '!$C$9*'4C2 Open-burning '!$C$11*$C$5</f>
        <v>3.582725768339984</v>
      </c>
      <c r="Z89" s="486">
        <f t="shared" ref="Z89:Z152" si="9">SUM(S89:Y89)</f>
        <v>11.066647744235141</v>
      </c>
      <c r="AA89" s="487">
        <f>C89*'4C2 Open-burning '!$C$10*'4C2 Open-burning '!$C$11*$C$5*C$15</f>
        <v>2.965335631222217E-2</v>
      </c>
      <c r="AB89" s="487">
        <f>D89*'4C2 Open-burning '!$C$10*'4C2 Open-burning '!$C$11*$C$5*D$15</f>
        <v>3.0970120342107818E-2</v>
      </c>
      <c r="AC89" s="487">
        <f>E89*'4C2 Open-burning '!$C$10*'4C2 Open-burning '!$C$11*$C$5*E$15</f>
        <v>1.9032480104041589E-2</v>
      </c>
      <c r="AD89" s="487">
        <f>F89*'4C2 Open-burning '!$C$10*'4C2 Open-burning '!$C$11*$C$5*F$15</f>
        <v>0</v>
      </c>
      <c r="AE89" s="487">
        <f>G89*'4C2 Open-burning '!$C$10*'4C2 Open-burning '!$C$11*$C$5*G$15</f>
        <v>0</v>
      </c>
      <c r="AF89" s="487">
        <f>H89*'4C2 Open-burning '!$C$10*'4C2 Open-burning '!$C$11*$C$5*H$15</f>
        <v>0</v>
      </c>
      <c r="AG89" s="487">
        <f>I89*'4C2 Open-burning '!$C$10*'4C2 Open-burning '!$C$11*$C$5*I$15</f>
        <v>7.4410458265522728E-2</v>
      </c>
      <c r="AH89" s="488">
        <f t="shared" ref="AH89:AH152" si="10">SUM(AA89:AG89)</f>
        <v>0.15406641502389429</v>
      </c>
      <c r="AI89" s="1386"/>
      <c r="AJ89" s="1386"/>
      <c r="AK89" s="1386"/>
      <c r="AQ89" s="99"/>
      <c r="AR89" s="99"/>
      <c r="AS89" s="99"/>
    </row>
    <row r="90" spans="1:45">
      <c r="A90" s="489">
        <f>'Input data'!A119</f>
        <v>2019</v>
      </c>
      <c r="B90" s="122">
        <f>'Recycling - Case 1'!AP99</f>
        <v>0.11721836466513541</v>
      </c>
      <c r="C90" s="527">
        <f>$B90*'Recycling - Case 1'!BM99*'Recycling - Case 1'!$AK99</f>
        <v>802.31630527949994</v>
      </c>
      <c r="D90" s="528">
        <f>$B90*'Recycling - Case 1'!BN99*'Recycling - Case 1'!$AK99</f>
        <v>837.94334325318653</v>
      </c>
      <c r="E90" s="528">
        <f>$B90*'Recycling - Case 1'!BO99*'Recycling - Case 1'!$AK99</f>
        <v>228.86776505312724</v>
      </c>
      <c r="F90" s="528">
        <f>$B90*'Recycling - Case 1'!BP99*'Recycling - Case 1'!$AK99</f>
        <v>0</v>
      </c>
      <c r="G90" s="528">
        <f>$B90*'Recycling - Case 1'!BQ99*'Recycling - Case 1'!$AK99</f>
        <v>0</v>
      </c>
      <c r="H90" s="528">
        <f>$B90*'Recycling - Case 1'!BR99*'Recycling - Case 1'!$AK99</f>
        <v>0</v>
      </c>
      <c r="I90" s="528">
        <f>$B90*'Recycling - Case 1'!BS99*'Recycling - Case 1'!$AK99</f>
        <v>894.794329835805</v>
      </c>
      <c r="J90" s="744">
        <f t="shared" ref="J90:J121" si="11">SUM(C90:I90)</f>
        <v>2763.9217434216189</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1.2090260103802521</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30.827454251503152</v>
      </c>
      <c r="R90" s="1378">
        <f t="shared" si="8"/>
        <v>32.036480261883405</v>
      </c>
      <c r="S90" s="485">
        <f>C90*'4C2 Open-burning '!$C$9*'4C2 Open-burning '!$C$11*$C$5</f>
        <v>3.1290335905900495</v>
      </c>
      <c r="T90" s="485">
        <f>D90*'4C2 Open-burning '!$C$9*'4C2 Open-burning '!$C$11*$C$5</f>
        <v>3.267979038687427</v>
      </c>
      <c r="U90" s="485">
        <f>E90*'4C2 Open-burning '!$C$9*'4C2 Open-burning '!$C$11*$C$5</f>
        <v>0.89258428370719611</v>
      </c>
      <c r="V90" s="485">
        <f>F90*'4C2 Open-burning '!$C$9*'4C2 Open-burning '!$C$11*$C$5</f>
        <v>0</v>
      </c>
      <c r="W90" s="485">
        <f>G90*'4C2 Open-burning '!$C$9*'4C2 Open-burning '!$C$11*$C$5</f>
        <v>0</v>
      </c>
      <c r="X90" s="485">
        <f>H90*'4C2 Open-burning '!$C$9*'4C2 Open-burning '!$C$11*$C$5</f>
        <v>0</v>
      </c>
      <c r="Y90" s="485">
        <f>I90*'4C2 Open-burning '!$C$9*'4C2 Open-burning '!$C$11*$C$5</f>
        <v>3.4896978863596395</v>
      </c>
      <c r="Z90" s="486">
        <f t="shared" si="9"/>
        <v>10.779294799344312</v>
      </c>
      <c r="AA90" s="487">
        <f>C90*'4C2 Open-burning '!$C$10*'4C2 Open-burning '!$C$11*$C$5*C$15</f>
        <v>2.8883386990062002E-2</v>
      </c>
      <c r="AB90" s="487">
        <f>D90*'4C2 Open-burning '!$C$10*'4C2 Open-burning '!$C$11*$C$5*D$15</f>
        <v>3.0165960357114715E-2</v>
      </c>
      <c r="AC90" s="487">
        <f>E90*'4C2 Open-burning '!$C$10*'4C2 Open-burning '!$C$11*$C$5*E$15</f>
        <v>1.8538288969303301E-2</v>
      </c>
      <c r="AD90" s="487">
        <f>F90*'4C2 Open-burning '!$C$10*'4C2 Open-burning '!$C$11*$C$5*F$15</f>
        <v>0</v>
      </c>
      <c r="AE90" s="487">
        <f>G90*'4C2 Open-burning '!$C$10*'4C2 Open-burning '!$C$11*$C$5*G$15</f>
        <v>0</v>
      </c>
      <c r="AF90" s="487">
        <f>H90*'4C2 Open-burning '!$C$10*'4C2 Open-burning '!$C$11*$C$5*H$15</f>
        <v>0</v>
      </c>
      <c r="AG90" s="487">
        <f>I90*'4C2 Open-burning '!$C$10*'4C2 Open-burning '!$C$11*$C$5*I$15</f>
        <v>7.2478340716700188E-2</v>
      </c>
      <c r="AH90" s="488">
        <f t="shared" si="10"/>
        <v>0.1500659770331802</v>
      </c>
      <c r="AI90" s="1386"/>
      <c r="AJ90" s="1386"/>
      <c r="AK90" s="1386"/>
    </row>
    <row r="91" spans="1:45">
      <c r="A91" s="489">
        <f>'Input data'!A120</f>
        <v>2020</v>
      </c>
      <c r="B91" s="122">
        <f>'Recycling - Case 1'!AP100</f>
        <v>0.11503127801861517</v>
      </c>
      <c r="C91" s="527">
        <f>$B91*'Recycling - Case 1'!BM100*'Recycling - Case 1'!$AK100</f>
        <v>781.36403170691767</v>
      </c>
      <c r="D91" s="528">
        <f>$B91*'Recycling - Case 1'!BN100*'Recycling - Case 1'!$AK100</f>
        <v>816.06067920830117</v>
      </c>
      <c r="E91" s="528">
        <f>$B91*'Recycling - Case 1'!BO100*'Recycling - Case 1'!$AK100</f>
        <v>222.89094519569196</v>
      </c>
      <c r="F91" s="528">
        <f>$B91*'Recycling - Case 1'!BP100*'Recycling - Case 1'!$AK100</f>
        <v>0</v>
      </c>
      <c r="G91" s="528">
        <f>$B91*'Recycling - Case 1'!BQ100*'Recycling - Case 1'!$AK100</f>
        <v>0</v>
      </c>
      <c r="H91" s="528">
        <f>$B91*'Recycling - Case 1'!BR100*'Recycling - Case 1'!$AK100</f>
        <v>0</v>
      </c>
      <c r="I91" s="528">
        <f>$B91*'Recycling - Case 1'!BS100*'Recycling - Case 1'!$AK100</f>
        <v>871.42701763418643</v>
      </c>
      <c r="J91" s="744">
        <f t="shared" si="11"/>
        <v>2691.7426737450974</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1.1774526227285702</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30.022403611532987</v>
      </c>
      <c r="R91" s="1378">
        <f t="shared" si="8"/>
        <v>31.199856234261556</v>
      </c>
      <c r="S91" s="485">
        <f>C91*'4C2 Open-burning '!$C$9*'4C2 Open-burning '!$C$11*$C$5</f>
        <v>3.0473197236569782</v>
      </c>
      <c r="T91" s="485">
        <f>D91*'4C2 Open-burning '!$C$9*'4C2 Open-burning '!$C$11*$C$5</f>
        <v>3.1826366489123745</v>
      </c>
      <c r="U91" s="485">
        <f>E91*'4C2 Open-burning '!$C$9*'4C2 Open-burning '!$C$11*$C$5</f>
        <v>0.86927468626319848</v>
      </c>
      <c r="V91" s="485">
        <f>F91*'4C2 Open-burning '!$C$9*'4C2 Open-burning '!$C$11*$C$5</f>
        <v>0</v>
      </c>
      <c r="W91" s="485">
        <f>G91*'4C2 Open-burning '!$C$9*'4C2 Open-burning '!$C$11*$C$5</f>
        <v>0</v>
      </c>
      <c r="X91" s="485">
        <f>H91*'4C2 Open-burning '!$C$9*'4C2 Open-burning '!$C$11*$C$5</f>
        <v>0</v>
      </c>
      <c r="Y91" s="485">
        <f>I91*'4C2 Open-burning '!$C$9*'4C2 Open-burning '!$C$11*$C$5</f>
        <v>3.398565368773327</v>
      </c>
      <c r="Z91" s="486">
        <f t="shared" si="9"/>
        <v>10.497796427605877</v>
      </c>
      <c r="AA91" s="487">
        <f>C91*'4C2 Open-burning '!$C$10*'4C2 Open-burning '!$C$11*$C$5*C$15</f>
        <v>2.8129105141449035E-2</v>
      </c>
      <c r="AB91" s="487">
        <f>D91*'4C2 Open-burning '!$C$10*'4C2 Open-burning '!$C$11*$C$5*D$15</f>
        <v>2.937818445149884E-2</v>
      </c>
      <c r="AC91" s="487">
        <f>E91*'4C2 Open-burning '!$C$10*'4C2 Open-burning '!$C$11*$C$5*E$15</f>
        <v>1.8054166560851046E-2</v>
      </c>
      <c r="AD91" s="487">
        <f>F91*'4C2 Open-burning '!$C$10*'4C2 Open-burning '!$C$11*$C$5*F$15</f>
        <v>0</v>
      </c>
      <c r="AE91" s="487">
        <f>G91*'4C2 Open-burning '!$C$10*'4C2 Open-burning '!$C$11*$C$5*G$15</f>
        <v>0</v>
      </c>
      <c r="AF91" s="487">
        <f>H91*'4C2 Open-burning '!$C$10*'4C2 Open-burning '!$C$11*$C$5*H$15</f>
        <v>0</v>
      </c>
      <c r="AG91" s="487">
        <f>I91*'4C2 Open-burning '!$C$10*'4C2 Open-burning '!$C$11*$C$5*I$15</f>
        <v>7.0585588428369095E-2</v>
      </c>
      <c r="AH91" s="488">
        <f t="shared" si="10"/>
        <v>0.14614704458216801</v>
      </c>
      <c r="AI91" s="1386"/>
      <c r="AJ91" s="1386"/>
      <c r="AK91" s="1386"/>
    </row>
    <row r="92" spans="1:45">
      <c r="A92" s="489">
        <f>'Input data'!A121</f>
        <v>2021</v>
      </c>
      <c r="B92" s="122">
        <f>'Recycling - Case 1'!AP101</f>
        <v>0.11285443457014931</v>
      </c>
      <c r="C92" s="527">
        <f>$B92*'Recycling - Case 1'!BM101*'Recycling - Case 1'!$AK101</f>
        <v>761.07898803775493</v>
      </c>
      <c r="D92" s="528">
        <f>$B92*'Recycling - Case 1'!BN101*'Recycling - Case 1'!$AK101</f>
        <v>794.87487356241729</v>
      </c>
      <c r="E92" s="528">
        <f>$B92*'Recycling - Case 1'!BO101*'Recycling - Case 1'!$AK101</f>
        <v>217.104458522024</v>
      </c>
      <c r="F92" s="528">
        <f>$B92*'Recycling - Case 1'!BP101*'Recycling - Case 1'!$AK101</f>
        <v>0</v>
      </c>
      <c r="G92" s="528">
        <f>$B92*'Recycling - Case 1'!BQ101*'Recycling - Case 1'!$AK101</f>
        <v>0</v>
      </c>
      <c r="H92" s="528">
        <f>$B92*'Recycling - Case 1'!BR101*'Recycling - Case 1'!$AK101</f>
        <v>0</v>
      </c>
      <c r="I92" s="528">
        <f>$B92*'Recycling - Case 1'!BS101*'Recycling - Case 1'!$AK101</f>
        <v>848.80384278880513</v>
      </c>
      <c r="J92" s="744">
        <f t="shared" si="11"/>
        <v>2621.8621629110016</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1.146884696766785</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29.242989991759913</v>
      </c>
      <c r="R92" s="1378">
        <f t="shared" si="8"/>
        <v>30.389874688526699</v>
      </c>
      <c r="S92" s="485">
        <f>C92*'4C2 Open-burning '!$C$9*'4C2 Open-burning '!$C$11*$C$5</f>
        <v>2.9682080533472446</v>
      </c>
      <c r="T92" s="485">
        <f>D92*'4C2 Open-burning '!$C$9*'4C2 Open-burning '!$C$11*$C$5</f>
        <v>3.1000120068934272</v>
      </c>
      <c r="U92" s="485">
        <f>E92*'4C2 Open-burning '!$C$9*'4C2 Open-burning '!$C$11*$C$5</f>
        <v>0.84670738823589342</v>
      </c>
      <c r="V92" s="485">
        <f>F92*'4C2 Open-burning '!$C$9*'4C2 Open-burning '!$C$11*$C$5</f>
        <v>0</v>
      </c>
      <c r="W92" s="485">
        <f>G92*'4C2 Open-burning '!$C$9*'4C2 Open-burning '!$C$11*$C$5</f>
        <v>0</v>
      </c>
      <c r="X92" s="485">
        <f>H92*'4C2 Open-burning '!$C$9*'4C2 Open-burning '!$C$11*$C$5</f>
        <v>0</v>
      </c>
      <c r="Y92" s="485">
        <f>I92*'4C2 Open-burning '!$C$9*'4C2 Open-burning '!$C$11*$C$5</f>
        <v>3.3103349868763399</v>
      </c>
      <c r="Z92" s="486">
        <f t="shared" si="9"/>
        <v>10.225262435352905</v>
      </c>
      <c r="AA92" s="487">
        <f>C92*'4C2 Open-burning '!$C$10*'4C2 Open-burning '!$C$11*$C$5*C$15</f>
        <v>2.7398843569359177E-2</v>
      </c>
      <c r="AB92" s="487">
        <f>D92*'4C2 Open-burning '!$C$10*'4C2 Open-burning '!$C$11*$C$5*D$15</f>
        <v>2.8615495448247021E-2</v>
      </c>
      <c r="AC92" s="487">
        <f>E92*'4C2 Open-burning '!$C$10*'4C2 Open-burning '!$C$11*$C$5*E$15</f>
        <v>1.7585461140283944E-2</v>
      </c>
      <c r="AD92" s="487">
        <f>F92*'4C2 Open-burning '!$C$10*'4C2 Open-burning '!$C$11*$C$5*F$15</f>
        <v>0</v>
      </c>
      <c r="AE92" s="487">
        <f>G92*'4C2 Open-burning '!$C$10*'4C2 Open-burning '!$C$11*$C$5*G$15</f>
        <v>0</v>
      </c>
      <c r="AF92" s="487">
        <f>H92*'4C2 Open-burning '!$C$10*'4C2 Open-burning '!$C$11*$C$5*H$15</f>
        <v>0</v>
      </c>
      <c r="AG92" s="487">
        <f>I92*'4C2 Open-burning '!$C$10*'4C2 Open-burning '!$C$11*$C$5*I$15</f>
        <v>6.8753111265893216E-2</v>
      </c>
      <c r="AH92" s="488">
        <f t="shared" si="10"/>
        <v>0.14235291142378337</v>
      </c>
      <c r="AI92" s="1386"/>
      <c r="AJ92" s="1386"/>
      <c r="AK92" s="1386"/>
    </row>
    <row r="93" spans="1:45">
      <c r="A93" s="489">
        <f>'Input data'!A122</f>
        <v>2022</v>
      </c>
      <c r="B93" s="122">
        <f>'Recycling - Case 1'!AP102</f>
        <v>0.11063109443404516</v>
      </c>
      <c r="C93" s="527">
        <f>$B93*'Recycling - Case 1'!BM102*'Recycling - Case 1'!$AK102</f>
        <v>741.41594334633407</v>
      </c>
      <c r="D93" s="528">
        <f>$B93*'Recycling - Case 1'!BN102*'Recycling - Case 1'!$AK102</f>
        <v>774.33868690031761</v>
      </c>
      <c r="E93" s="528">
        <f>$B93*'Recycling - Case 1'!BO102*'Recycling - Case 1'!$AK102</f>
        <v>211.49540251374864</v>
      </c>
      <c r="F93" s="528">
        <f>$B93*'Recycling - Case 1'!BP102*'Recycling - Case 1'!$AK102</f>
        <v>0</v>
      </c>
      <c r="G93" s="528">
        <f>$B93*'Recycling - Case 1'!BQ102*'Recycling - Case 1'!$AK102</f>
        <v>0</v>
      </c>
      <c r="H93" s="528">
        <f>$B93*'Recycling - Case 1'!BR102*'Recycling - Case 1'!$AK102</f>
        <v>0</v>
      </c>
      <c r="I93" s="528">
        <f>$B93*'Recycling - Case 1'!BS102*'Recycling - Case 1'!$AK102</f>
        <v>826.87436088570189</v>
      </c>
      <c r="J93" s="744">
        <f t="shared" si="11"/>
        <v>2554.1243936461024</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1.1172540731352292</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28.487475481234199</v>
      </c>
      <c r="R93" s="1378">
        <f t="shared" si="8"/>
        <v>29.604729554369428</v>
      </c>
      <c r="S93" s="485">
        <f>C93*'4C2 Open-burning '!$C$9*'4C2 Open-burning '!$C$11*$C$5</f>
        <v>2.8915221790507029</v>
      </c>
      <c r="T93" s="485">
        <f>D93*'4C2 Open-burning '!$C$9*'4C2 Open-burning '!$C$11*$C$5</f>
        <v>3.0199208789112384</v>
      </c>
      <c r="U93" s="485">
        <f>E93*'4C2 Open-burning '!$C$9*'4C2 Open-burning '!$C$11*$C$5</f>
        <v>0.82483206980361967</v>
      </c>
      <c r="V93" s="485">
        <f>F93*'4C2 Open-burning '!$C$9*'4C2 Open-burning '!$C$11*$C$5</f>
        <v>0</v>
      </c>
      <c r="W93" s="485">
        <f>G93*'4C2 Open-burning '!$C$9*'4C2 Open-burning '!$C$11*$C$5</f>
        <v>0</v>
      </c>
      <c r="X93" s="485">
        <f>H93*'4C2 Open-burning '!$C$9*'4C2 Open-burning '!$C$11*$C$5</f>
        <v>0</v>
      </c>
      <c r="Y93" s="485">
        <f>I93*'4C2 Open-burning '!$C$9*'4C2 Open-burning '!$C$11*$C$5</f>
        <v>3.2248100074542374</v>
      </c>
      <c r="Z93" s="486">
        <f t="shared" si="9"/>
        <v>9.9610851352197987</v>
      </c>
      <c r="AA93" s="487">
        <f>C93*'4C2 Open-burning '!$C$10*'4C2 Open-burning '!$C$11*$C$5*C$15</f>
        <v>2.6690973960468031E-2</v>
      </c>
      <c r="AB93" s="487">
        <f>D93*'4C2 Open-burning '!$C$10*'4C2 Open-burning '!$C$11*$C$5*D$15</f>
        <v>2.7876192728411433E-2</v>
      </c>
      <c r="AC93" s="487">
        <f>E93*'4C2 Open-burning '!$C$10*'4C2 Open-burning '!$C$11*$C$5*E$15</f>
        <v>1.7131127603613641E-2</v>
      </c>
      <c r="AD93" s="487">
        <f>F93*'4C2 Open-burning '!$C$10*'4C2 Open-burning '!$C$11*$C$5*F$15</f>
        <v>0</v>
      </c>
      <c r="AE93" s="487">
        <f>G93*'4C2 Open-burning '!$C$10*'4C2 Open-burning '!$C$11*$C$5*G$15</f>
        <v>0</v>
      </c>
      <c r="AF93" s="487">
        <f>H93*'4C2 Open-burning '!$C$10*'4C2 Open-burning '!$C$11*$C$5*H$15</f>
        <v>0</v>
      </c>
      <c r="AG93" s="487">
        <f>I93*'4C2 Open-burning '!$C$10*'4C2 Open-burning '!$C$11*$C$5*I$15</f>
        <v>6.6976823231741853E-2</v>
      </c>
      <c r="AH93" s="488">
        <f t="shared" si="10"/>
        <v>0.13867511752423495</v>
      </c>
      <c r="AI93" s="1386"/>
      <c r="AJ93" s="1386"/>
      <c r="AK93" s="1386"/>
    </row>
    <row r="94" spans="1:45">
      <c r="A94" s="489">
        <f>'Input data'!A123</f>
        <v>2023</v>
      </c>
      <c r="B94" s="122">
        <f>'Recycling - Case 1'!AP103</f>
        <v>0.10837933302011556</v>
      </c>
      <c r="C94" s="527">
        <f>$B94*'Recycling - Case 1'!BM103*'Recycling - Case 1'!$AK103</f>
        <v>722.41279766128594</v>
      </c>
      <c r="D94" s="528">
        <f>$B94*'Recycling - Case 1'!BN103*'Recycling - Case 1'!$AK103</f>
        <v>754.49170221002237</v>
      </c>
      <c r="E94" s="528">
        <f>$B94*'Recycling - Case 1'!BO103*'Recycling - Case 1'!$AK103</f>
        <v>206.07458848654176</v>
      </c>
      <c r="F94" s="528">
        <f>$B94*'Recycling - Case 1'!BP103*'Recycling - Case 1'!$AK103</f>
        <v>0</v>
      </c>
      <c r="G94" s="528">
        <f>$B94*'Recycling - Case 1'!BQ103*'Recycling - Case 1'!$AK103</f>
        <v>0</v>
      </c>
      <c r="H94" s="528">
        <f>$B94*'Recycling - Case 1'!BR103*'Recycling - Case 1'!$AK103</f>
        <v>0</v>
      </c>
      <c r="I94" s="528">
        <f>$B94*'Recycling - Case 1'!BS103*'Recycling - Case 1'!$AK103</f>
        <v>805.68084045475268</v>
      </c>
      <c r="J94" s="744">
        <f t="shared" si="11"/>
        <v>2488.6599288126031</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1.088617864122545</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27.757316315347136</v>
      </c>
      <c r="R94" s="1378">
        <f t="shared" si="8"/>
        <v>28.84593417946968</v>
      </c>
      <c r="S94" s="485">
        <f>C94*'4C2 Open-burning '!$C$9*'4C2 Open-burning '!$C$11*$C$5</f>
        <v>2.8174099108790149</v>
      </c>
      <c r="T94" s="485">
        <f>D94*'4C2 Open-burning '!$C$9*'4C2 Open-burning '!$C$11*$C$5</f>
        <v>2.9425176386190874</v>
      </c>
      <c r="U94" s="485">
        <f>E94*'4C2 Open-burning '!$C$9*'4C2 Open-burning '!$C$11*$C$5</f>
        <v>0.80369089509751279</v>
      </c>
      <c r="V94" s="485">
        <f>F94*'4C2 Open-burning '!$C$9*'4C2 Open-burning '!$C$11*$C$5</f>
        <v>0</v>
      </c>
      <c r="W94" s="485">
        <f>G94*'4C2 Open-burning '!$C$9*'4C2 Open-burning '!$C$11*$C$5</f>
        <v>0</v>
      </c>
      <c r="X94" s="485">
        <f>H94*'4C2 Open-burning '!$C$9*'4C2 Open-burning '!$C$11*$C$5</f>
        <v>0</v>
      </c>
      <c r="Y94" s="485">
        <f>I94*'4C2 Open-burning '!$C$9*'4C2 Open-burning '!$C$11*$C$5</f>
        <v>3.1421552777735351</v>
      </c>
      <c r="Z94" s="486">
        <f t="shared" si="9"/>
        <v>9.70577372236915</v>
      </c>
      <c r="AA94" s="487">
        <f>C94*'4C2 Open-burning '!$C$10*'4C2 Open-burning '!$C$11*$C$5*C$15</f>
        <v>2.6006860715806292E-2</v>
      </c>
      <c r="AB94" s="487">
        <f>D94*'4C2 Open-burning '!$C$10*'4C2 Open-burning '!$C$11*$C$5*D$15</f>
        <v>2.7161701279560801E-2</v>
      </c>
      <c r="AC94" s="487">
        <f>E94*'4C2 Open-burning '!$C$10*'4C2 Open-burning '!$C$11*$C$5*E$15</f>
        <v>1.6692041667409882E-2</v>
      </c>
      <c r="AD94" s="487">
        <f>F94*'4C2 Open-burning '!$C$10*'4C2 Open-burning '!$C$11*$C$5*F$15</f>
        <v>0</v>
      </c>
      <c r="AE94" s="487">
        <f>G94*'4C2 Open-burning '!$C$10*'4C2 Open-burning '!$C$11*$C$5*G$15</f>
        <v>0</v>
      </c>
      <c r="AF94" s="487">
        <f>H94*'4C2 Open-burning '!$C$10*'4C2 Open-burning '!$C$11*$C$5*H$15</f>
        <v>0</v>
      </c>
      <c r="AG94" s="487">
        <f>I94*'4C2 Open-burning '!$C$10*'4C2 Open-burning '!$C$11*$C$5*I$15</f>
        <v>6.5260148076834973E-2</v>
      </c>
      <c r="AH94" s="488">
        <f t="shared" si="10"/>
        <v>0.13512075173961197</v>
      </c>
      <c r="AI94" s="1386"/>
      <c r="AJ94" s="1386"/>
      <c r="AK94" s="1386"/>
    </row>
    <row r="95" spans="1:45">
      <c r="A95" s="489">
        <f>'Input data'!A124</f>
        <v>2024</v>
      </c>
      <c r="B95" s="122">
        <f>'Recycling - Case 1'!AP104</f>
        <v>0.10608508622820707</v>
      </c>
      <c r="C95" s="527">
        <f>$B95*'Recycling - Case 1'!BM104*'Recycling - Case 1'!$AK104</f>
        <v>704.01891214978878</v>
      </c>
      <c r="D95" s="528">
        <f>$B95*'Recycling - Case 1'!BN104*'Recycling - Case 1'!$AK104</f>
        <v>735.28103202982334</v>
      </c>
      <c r="E95" s="528">
        <f>$B95*'Recycling - Case 1'!BO104*'Recycling - Case 1'!$AK104</f>
        <v>200.82757126907049</v>
      </c>
      <c r="F95" s="528">
        <f>$B95*'Recycling - Case 1'!BP104*'Recycling - Case 1'!$AK104</f>
        <v>0</v>
      </c>
      <c r="G95" s="528">
        <f>$B95*'Recycling - Case 1'!BQ104*'Recycling - Case 1'!$AK104</f>
        <v>0</v>
      </c>
      <c r="H95" s="528">
        <f>$B95*'Recycling - Case 1'!BR104*'Recycling - Case 1'!$AK104</f>
        <v>0</v>
      </c>
      <c r="I95" s="528">
        <f>$B95*'Recycling - Case 1'!BS104*'Recycling - Case 1'!$AK104</f>
        <v>785.16680583893742</v>
      </c>
      <c r="J95" s="744">
        <f t="shared" si="11"/>
        <v>2425.2943212876198</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1.0608997610888424</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27.050566794763068</v>
      </c>
      <c r="R95" s="1378">
        <f t="shared" si="8"/>
        <v>28.111466555851909</v>
      </c>
      <c r="S95" s="485">
        <f>C95*'4C2 Open-burning '!$C$9*'4C2 Open-burning '!$C$11*$C$5</f>
        <v>2.7456737573841759</v>
      </c>
      <c r="T95" s="485">
        <f>D95*'4C2 Open-burning '!$C$9*'4C2 Open-burning '!$C$11*$C$5</f>
        <v>2.8675960249163106</v>
      </c>
      <c r="U95" s="485">
        <f>E95*'4C2 Open-burning '!$C$9*'4C2 Open-burning '!$C$11*$C$5</f>
        <v>0.78322752794937489</v>
      </c>
      <c r="V95" s="485">
        <f>F95*'4C2 Open-burning '!$C$9*'4C2 Open-burning '!$C$11*$C$5</f>
        <v>0</v>
      </c>
      <c r="W95" s="485">
        <f>G95*'4C2 Open-burning '!$C$9*'4C2 Open-burning '!$C$11*$C$5</f>
        <v>0</v>
      </c>
      <c r="X95" s="485">
        <f>H95*'4C2 Open-burning '!$C$9*'4C2 Open-burning '!$C$11*$C$5</f>
        <v>0</v>
      </c>
      <c r="Y95" s="485">
        <f>I95*'4C2 Open-burning '!$C$9*'4C2 Open-burning '!$C$11*$C$5</f>
        <v>3.0621505427718554</v>
      </c>
      <c r="Z95" s="486">
        <f t="shared" si="9"/>
        <v>9.4586478530217164</v>
      </c>
      <c r="AA95" s="487">
        <f>C95*'4C2 Open-burning '!$C$10*'4C2 Open-burning '!$C$11*$C$5*C$15</f>
        <v>2.53446808373924E-2</v>
      </c>
      <c r="AB95" s="487">
        <f>D95*'4C2 Open-burning '!$C$10*'4C2 Open-burning '!$C$11*$C$5*D$15</f>
        <v>2.6470117153073638E-2</v>
      </c>
      <c r="AC95" s="487">
        <f>E95*'4C2 Open-burning '!$C$10*'4C2 Open-burning '!$C$11*$C$5*E$15</f>
        <v>1.6267033272794711E-2</v>
      </c>
      <c r="AD95" s="487">
        <f>F95*'4C2 Open-burning '!$C$10*'4C2 Open-burning '!$C$11*$C$5*F$15</f>
        <v>0</v>
      </c>
      <c r="AE95" s="487">
        <f>G95*'4C2 Open-burning '!$C$10*'4C2 Open-burning '!$C$11*$C$5*G$15</f>
        <v>0</v>
      </c>
      <c r="AF95" s="487">
        <f>H95*'4C2 Open-burning '!$C$10*'4C2 Open-burning '!$C$11*$C$5*H$15</f>
        <v>0</v>
      </c>
      <c r="AG95" s="487">
        <f>I95*'4C2 Open-burning '!$C$10*'4C2 Open-burning '!$C$11*$C$5*I$15</f>
        <v>6.3598511272953934E-2</v>
      </c>
      <c r="AH95" s="488">
        <f t="shared" si="10"/>
        <v>0.13168034253621469</v>
      </c>
      <c r="AI95" s="1386"/>
      <c r="AJ95" s="1386"/>
      <c r="AK95" s="1386"/>
    </row>
    <row r="96" spans="1:45">
      <c r="A96" s="489">
        <f>'Input data'!A125</f>
        <v>2025</v>
      </c>
      <c r="B96" s="122">
        <f>'Recycling - Case 1'!AP105</f>
        <v>0.10376077637915469</v>
      </c>
      <c r="C96" s="527">
        <f>$B96*'Recycling - Case 1'!BM105*'Recycling - Case 1'!$AK105</f>
        <v>686.23489196148068</v>
      </c>
      <c r="D96" s="528">
        <f>$B96*'Recycling - Case 1'!BN105*'Recycling - Case 1'!$AK105</f>
        <v>716.70730838116617</v>
      </c>
      <c r="E96" s="528">
        <f>$B96*'Recycling - Case 1'!BO105*'Recycling - Case 1'!$AK105</f>
        <v>195.75452348557835</v>
      </c>
      <c r="F96" s="528">
        <f>$B96*'Recycling - Case 1'!BP105*'Recycling - Case 1'!$AK105</f>
        <v>0</v>
      </c>
      <c r="G96" s="528">
        <f>$B96*'Recycling - Case 1'!BQ105*'Recycling - Case 1'!$AK105</f>
        <v>0</v>
      </c>
      <c r="H96" s="528">
        <f>$B96*'Recycling - Case 1'!BR105*'Recycling - Case 1'!$AK105</f>
        <v>0</v>
      </c>
      <c r="I96" s="528">
        <f>$B96*'Recycling - Case 1'!BS105*'Recycling - Case 1'!$AK105</f>
        <v>765.33293193973998</v>
      </c>
      <c r="J96" s="744">
        <f t="shared" si="11"/>
        <v>2364.0296557679653</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1.0341006759458555</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26.367250171187919</v>
      </c>
      <c r="R96" s="1378">
        <f t="shared" si="8"/>
        <v>27.401350847133774</v>
      </c>
      <c r="S96" s="485">
        <f>C96*'4C2 Open-burning '!$C$9*'4C2 Open-burning '!$C$11*$C$5</f>
        <v>2.6763160786497746</v>
      </c>
      <c r="T96" s="485">
        <f>D96*'4C2 Open-burning '!$C$9*'4C2 Open-burning '!$C$11*$C$5</f>
        <v>2.7951585026865478</v>
      </c>
      <c r="U96" s="485">
        <f>E96*'4C2 Open-burning '!$C$9*'4C2 Open-burning '!$C$11*$C$5</f>
        <v>0.76344264159375541</v>
      </c>
      <c r="V96" s="485">
        <f>F96*'4C2 Open-burning '!$C$9*'4C2 Open-burning '!$C$11*$C$5</f>
        <v>0</v>
      </c>
      <c r="W96" s="485">
        <f>G96*'4C2 Open-burning '!$C$9*'4C2 Open-burning '!$C$11*$C$5</f>
        <v>0</v>
      </c>
      <c r="X96" s="485">
        <f>H96*'4C2 Open-burning '!$C$9*'4C2 Open-burning '!$C$11*$C$5</f>
        <v>0</v>
      </c>
      <c r="Y96" s="485">
        <f>I96*'4C2 Open-burning '!$C$9*'4C2 Open-burning '!$C$11*$C$5</f>
        <v>2.9847984345649858</v>
      </c>
      <c r="Z96" s="486">
        <f t="shared" si="9"/>
        <v>9.2197156574950636</v>
      </c>
      <c r="AA96" s="487">
        <f>C96*'4C2 Open-burning '!$C$10*'4C2 Open-burning '!$C$11*$C$5*C$15</f>
        <v>2.4704456110613306E-2</v>
      </c>
      <c r="AB96" s="487">
        <f>D96*'4C2 Open-burning '!$C$10*'4C2 Open-burning '!$C$11*$C$5*D$15</f>
        <v>2.5801463101721978E-2</v>
      </c>
      <c r="AC96" s="487">
        <f>E96*'4C2 Open-burning '!$C$10*'4C2 Open-burning '!$C$11*$C$5*E$15</f>
        <v>1.5856116402331845E-2</v>
      </c>
      <c r="AD96" s="487">
        <f>F96*'4C2 Open-burning '!$C$10*'4C2 Open-burning '!$C$11*$C$5*F$15</f>
        <v>0</v>
      </c>
      <c r="AE96" s="487">
        <f>G96*'4C2 Open-burning '!$C$10*'4C2 Open-burning '!$C$11*$C$5*G$15</f>
        <v>0</v>
      </c>
      <c r="AF96" s="487">
        <f>H96*'4C2 Open-burning '!$C$10*'4C2 Open-burning '!$C$11*$C$5*H$15</f>
        <v>0</v>
      </c>
      <c r="AG96" s="487">
        <f>I96*'4C2 Open-burning '!$C$10*'4C2 Open-burning '!$C$11*$C$5*I$15</f>
        <v>6.1991967487118937E-2</v>
      </c>
      <c r="AH96" s="488">
        <f t="shared" si="10"/>
        <v>0.12835400310178607</v>
      </c>
      <c r="AI96" s="1386"/>
      <c r="AJ96" s="1386"/>
      <c r="AK96" s="1386"/>
    </row>
    <row r="97" spans="1:37">
      <c r="A97" s="489">
        <f>'Input data'!A126</f>
        <v>2026</v>
      </c>
      <c r="B97" s="122">
        <f>'Recycling - Case 1'!AP106</f>
        <v>0.10141841672974608</v>
      </c>
      <c r="C97" s="527">
        <f>$B97*'Recycling - Case 1'!BM106*'Recycling - Case 1'!$AK106</f>
        <v>669.06141152304394</v>
      </c>
      <c r="D97" s="528">
        <f>$B97*'Recycling - Case 1'!BN106*'Recycling - Case 1'!$AK106</f>
        <v>698.77123563880332</v>
      </c>
      <c r="E97" s="528">
        <f>$B97*'Recycling - Case 1'!BO106*'Recycling - Case 1'!$AK106</f>
        <v>190.8556375221934</v>
      </c>
      <c r="F97" s="528">
        <f>$B97*'Recycling - Case 1'!BP106*'Recycling - Case 1'!$AK106</f>
        <v>0</v>
      </c>
      <c r="G97" s="528">
        <f>$B97*'Recycling - Case 1'!BQ106*'Recycling - Case 1'!$AK106</f>
        <v>0</v>
      </c>
      <c r="H97" s="528">
        <f>$B97*'Recycling - Case 1'!BR106*'Recycling - Case 1'!$AK106</f>
        <v>0</v>
      </c>
      <c r="I97" s="528">
        <f>$B97*'Recycling - Case 1'!BS106*'Recycling - Case 1'!$AK106</f>
        <v>746.17997092082351</v>
      </c>
      <c r="J97" s="744">
        <f t="shared" si="11"/>
        <v>2304.8682556048643</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1.0082216250002398</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25.70739235816421</v>
      </c>
      <c r="R97" s="1378">
        <f t="shared" si="8"/>
        <v>26.715613983164449</v>
      </c>
      <c r="S97" s="485">
        <f>C97*'4C2 Open-burning '!$C$9*'4C2 Open-burning '!$C$11*$C$5</f>
        <v>2.6093395049398711</v>
      </c>
      <c r="T97" s="485">
        <f>D97*'4C2 Open-burning '!$C$9*'4C2 Open-burning '!$C$11*$C$5</f>
        <v>2.7252078189913327</v>
      </c>
      <c r="U97" s="485">
        <f>E97*'4C2 Open-burning '!$C$9*'4C2 Open-burning '!$C$11*$C$5</f>
        <v>0.74433698633655421</v>
      </c>
      <c r="V97" s="485">
        <f>F97*'4C2 Open-burning '!$C$9*'4C2 Open-burning '!$C$11*$C$5</f>
        <v>0</v>
      </c>
      <c r="W97" s="485">
        <f>G97*'4C2 Open-burning '!$C$9*'4C2 Open-burning '!$C$11*$C$5</f>
        <v>0</v>
      </c>
      <c r="X97" s="485">
        <f>H97*'4C2 Open-burning '!$C$9*'4C2 Open-burning '!$C$11*$C$5</f>
        <v>0</v>
      </c>
      <c r="Y97" s="485">
        <f>I97*'4C2 Open-burning '!$C$9*'4C2 Open-burning '!$C$11*$C$5</f>
        <v>2.9101018865912116</v>
      </c>
      <c r="Z97" s="486">
        <f t="shared" si="9"/>
        <v>8.9889861968589706</v>
      </c>
      <c r="AA97" s="487">
        <f>C97*'4C2 Open-burning '!$C$10*'4C2 Open-burning '!$C$11*$C$5*C$15</f>
        <v>2.4086210814829583E-2</v>
      </c>
      <c r="AB97" s="487">
        <f>D97*'4C2 Open-burning '!$C$10*'4C2 Open-burning '!$C$11*$C$5*D$15</f>
        <v>2.5155764482996917E-2</v>
      </c>
      <c r="AC97" s="487">
        <f>E97*'4C2 Open-burning '!$C$10*'4C2 Open-burning '!$C$11*$C$5*E$15</f>
        <v>1.5459306639297666E-2</v>
      </c>
      <c r="AD97" s="487">
        <f>F97*'4C2 Open-burning '!$C$10*'4C2 Open-burning '!$C$11*$C$5*F$15</f>
        <v>0</v>
      </c>
      <c r="AE97" s="487">
        <f>G97*'4C2 Open-burning '!$C$10*'4C2 Open-burning '!$C$11*$C$5*G$15</f>
        <v>0</v>
      </c>
      <c r="AF97" s="487">
        <f>H97*'4C2 Open-burning '!$C$10*'4C2 Open-burning '!$C$11*$C$5*H$15</f>
        <v>0</v>
      </c>
      <c r="AG97" s="487">
        <f>I97*'4C2 Open-burning '!$C$10*'4C2 Open-burning '!$C$11*$C$5*I$15</f>
        <v>6.0440577644586699E-2</v>
      </c>
      <c r="AH97" s="488">
        <f t="shared" si="10"/>
        <v>0.12514185958171087</v>
      </c>
      <c r="AI97" s="1386"/>
      <c r="AJ97" s="1386"/>
      <c r="AK97" s="1386"/>
    </row>
    <row r="98" spans="1:37">
      <c r="A98" s="489">
        <f>'Input data'!A127</f>
        <v>2027</v>
      </c>
      <c r="B98" s="122">
        <f>'Recycling - Case 1'!AP107</f>
        <v>9.9069537527394252E-2</v>
      </c>
      <c r="C98" s="527">
        <f>$B98*'Recycling - Case 1'!BM107*'Recycling - Case 1'!$AK107</f>
        <v>652.49932838229017</v>
      </c>
      <c r="D98" s="528">
        <f>$B98*'Recycling - Case 1'!BN107*'Recycling - Case 1'!$AK107</f>
        <v>681.47370943015198</v>
      </c>
      <c r="E98" s="528">
        <f>$B98*'Recycling - Case 1'!BO107*'Recycling - Case 1'!$AK107</f>
        <v>186.1311580019524</v>
      </c>
      <c r="F98" s="528">
        <f>$B98*'Recycling - Case 1'!BP107*'Recycling - Case 1'!$AK107</f>
        <v>0</v>
      </c>
      <c r="G98" s="528">
        <f>$B98*'Recycling - Case 1'!BQ107*'Recycling - Case 1'!$AK107</f>
        <v>0</v>
      </c>
      <c r="H98" s="528">
        <f>$B98*'Recycling - Case 1'!BR107*'Recycling - Case 1'!$AK107</f>
        <v>0</v>
      </c>
      <c r="I98" s="528">
        <f>$B98*'Recycling - Case 1'!BS107*'Recycling - Case 1'!$AK107</f>
        <v>727.70887917421737</v>
      </c>
      <c r="J98" s="744">
        <f t="shared" si="11"/>
        <v>2247.8130749886122</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0.98326390050743384</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25.071026305310134</v>
      </c>
      <c r="R98" s="1378">
        <f t="shared" si="8"/>
        <v>26.054290205817569</v>
      </c>
      <c r="S98" s="485">
        <f>C98*'4C2 Open-burning '!$C$9*'4C2 Open-burning '!$C$11*$C$5</f>
        <v>2.5447473806909318</v>
      </c>
      <c r="T98" s="485">
        <f>D98*'4C2 Open-burning '!$C$9*'4C2 Open-burning '!$C$11*$C$5</f>
        <v>2.6577474667775927</v>
      </c>
      <c r="U98" s="485">
        <f>E98*'4C2 Open-burning '!$C$9*'4C2 Open-burning '!$C$11*$C$5</f>
        <v>0.72591151620761429</v>
      </c>
      <c r="V98" s="485">
        <f>F98*'4C2 Open-burning '!$C$9*'4C2 Open-burning '!$C$11*$C$5</f>
        <v>0</v>
      </c>
      <c r="W98" s="485">
        <f>G98*'4C2 Open-burning '!$C$9*'4C2 Open-burning '!$C$11*$C$5</f>
        <v>0</v>
      </c>
      <c r="X98" s="485">
        <f>H98*'4C2 Open-burning '!$C$9*'4C2 Open-burning '!$C$11*$C$5</f>
        <v>0</v>
      </c>
      <c r="Y98" s="485">
        <f>I98*'4C2 Open-burning '!$C$9*'4C2 Open-burning '!$C$11*$C$5</f>
        <v>2.8380646287794478</v>
      </c>
      <c r="Z98" s="486">
        <f t="shared" si="9"/>
        <v>8.7664709924555861</v>
      </c>
      <c r="AA98" s="487">
        <f>C98*'4C2 Open-burning '!$C$10*'4C2 Open-burning '!$C$11*$C$5*C$15</f>
        <v>2.3489975821762446E-2</v>
      </c>
      <c r="AB98" s="487">
        <f>D98*'4C2 Open-burning '!$C$10*'4C2 Open-burning '!$C$11*$C$5*D$15</f>
        <v>2.4533053539485469E-2</v>
      </c>
      <c r="AC98" s="487">
        <f>E98*'4C2 Open-burning '!$C$10*'4C2 Open-burning '!$C$11*$C$5*E$15</f>
        <v>1.5076623798158143E-2</v>
      </c>
      <c r="AD98" s="487">
        <f>F98*'4C2 Open-burning '!$C$10*'4C2 Open-burning '!$C$11*$C$5*F$15</f>
        <v>0</v>
      </c>
      <c r="AE98" s="487">
        <f>G98*'4C2 Open-burning '!$C$10*'4C2 Open-burning '!$C$11*$C$5*G$15</f>
        <v>0</v>
      </c>
      <c r="AF98" s="487">
        <f>H98*'4C2 Open-burning '!$C$10*'4C2 Open-burning '!$C$11*$C$5*H$15</f>
        <v>0</v>
      </c>
      <c r="AG98" s="487">
        <f>I98*'4C2 Open-burning '!$C$10*'4C2 Open-burning '!$C$11*$C$5*I$15</f>
        <v>5.8944419213111603E-2</v>
      </c>
      <c r="AH98" s="488">
        <f t="shared" si="10"/>
        <v>0.12204407237251766</v>
      </c>
      <c r="AI98" s="1387"/>
      <c r="AJ98" s="1386"/>
      <c r="AK98" s="1387"/>
    </row>
    <row r="99" spans="1:37">
      <c r="A99" s="489">
        <f>'Input data'!A128</f>
        <v>2028</v>
      </c>
      <c r="B99" s="122">
        <f>'Recycling - Case 1'!AP108</f>
        <v>9.5276296107879438E-2</v>
      </c>
      <c r="C99" s="527">
        <f>$B99*'Recycling - Case 1'!BM108*'Recycling - Case 1'!$AK108</f>
        <v>616.73767895478738</v>
      </c>
      <c r="D99" s="528">
        <f>$B99*'Recycling - Case 1'!BN108*'Recycling - Case 1'!$AK108</f>
        <v>644.12405582802205</v>
      </c>
      <c r="E99" s="528">
        <f>$B99*'Recycling - Case 1'!BO108*'Recycling - Case 1'!$AK108</f>
        <v>175.92983375460994</v>
      </c>
      <c r="F99" s="528">
        <f>$B99*'Recycling - Case 1'!BP108*'Recycling - Case 1'!$AK108</f>
        <v>0</v>
      </c>
      <c r="G99" s="528">
        <f>$B99*'Recycling - Case 1'!BQ108*'Recycling - Case 1'!$AK108</f>
        <v>0</v>
      </c>
      <c r="H99" s="528">
        <f>$B99*'Recycling - Case 1'!BR108*'Recycling - Case 1'!$AK108</f>
        <v>0</v>
      </c>
      <c r="I99" s="528">
        <f>$B99*'Recycling - Case 1'!BS108*'Recycling - Case 1'!$AK108</f>
        <v>687.82520621040078</v>
      </c>
      <c r="J99" s="744">
        <f t="shared" si="11"/>
        <v>2124.6167747478203</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0.92937397698545265</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23.696954004360727</v>
      </c>
      <c r="R99" s="1378">
        <f t="shared" si="8"/>
        <v>24.626327981346179</v>
      </c>
      <c r="S99" s="485">
        <f>C99*'4C2 Open-burning '!$C$9*'4C2 Open-burning '!$C$11*$C$5</f>
        <v>2.4052769479236704</v>
      </c>
      <c r="T99" s="485">
        <f>D99*'4C2 Open-burning '!$C$9*'4C2 Open-burning '!$C$11*$C$5</f>
        <v>2.5120838177292857</v>
      </c>
      <c r="U99" s="485">
        <f>E99*'4C2 Open-burning '!$C$9*'4C2 Open-burning '!$C$11*$C$5</f>
        <v>0.68612635164297875</v>
      </c>
      <c r="V99" s="485">
        <f>F99*'4C2 Open-burning '!$C$9*'4C2 Open-burning '!$C$11*$C$5</f>
        <v>0</v>
      </c>
      <c r="W99" s="485">
        <f>G99*'4C2 Open-burning '!$C$9*'4C2 Open-burning '!$C$11*$C$5</f>
        <v>0</v>
      </c>
      <c r="X99" s="485">
        <f>H99*'4C2 Open-burning '!$C$9*'4C2 Open-burning '!$C$11*$C$5</f>
        <v>0</v>
      </c>
      <c r="Y99" s="485">
        <f>I99*'4C2 Open-burning '!$C$9*'4C2 Open-burning '!$C$11*$C$5</f>
        <v>2.6825183042205625</v>
      </c>
      <c r="Z99" s="486">
        <f t="shared" si="9"/>
        <v>8.2860054215164975</v>
      </c>
      <c r="AA99" s="487">
        <f>C99*'4C2 Open-burning '!$C$10*'4C2 Open-burning '!$C$11*$C$5*C$15</f>
        <v>2.2202556442372345E-2</v>
      </c>
      <c r="AB99" s="487">
        <f>D99*'4C2 Open-burning '!$C$10*'4C2 Open-burning '!$C$11*$C$5*D$15</f>
        <v>2.3188466009808794E-2</v>
      </c>
      <c r="AC99" s="487">
        <f>E99*'4C2 Open-burning '!$C$10*'4C2 Open-burning '!$C$11*$C$5*E$15</f>
        <v>1.4250316534123404E-2</v>
      </c>
      <c r="AD99" s="487">
        <f>F99*'4C2 Open-burning '!$C$10*'4C2 Open-burning '!$C$11*$C$5*F$15</f>
        <v>0</v>
      </c>
      <c r="AE99" s="487">
        <f>G99*'4C2 Open-burning '!$C$10*'4C2 Open-burning '!$C$11*$C$5*G$15</f>
        <v>0</v>
      </c>
      <c r="AF99" s="487">
        <f>H99*'4C2 Open-burning '!$C$10*'4C2 Open-burning '!$C$11*$C$5*H$15</f>
        <v>0</v>
      </c>
      <c r="AG99" s="487">
        <f>I99*'4C2 Open-burning '!$C$10*'4C2 Open-burning '!$C$11*$C$5*I$15</f>
        <v>5.5713841703042458E-2</v>
      </c>
      <c r="AH99" s="488">
        <f t="shared" si="10"/>
        <v>0.115355180689347</v>
      </c>
      <c r="AI99" s="1387"/>
      <c r="AJ99" s="1386"/>
      <c r="AK99" s="1387"/>
    </row>
    <row r="100" spans="1:37">
      <c r="A100" s="489">
        <f>'Input data'!A129</f>
        <v>2029</v>
      </c>
      <c r="B100" s="122">
        <f>'Recycling - Case 1'!AP109</f>
        <v>9.1569549018529733E-2</v>
      </c>
      <c r="C100" s="527">
        <f>$B100*'Recycling - Case 1'!BM109*'Recycling - Case 1'!$AK109</f>
        <v>583.00511308649357</v>
      </c>
      <c r="D100" s="528">
        <f>$B100*'Recycling - Case 1'!BN109*'Recycling - Case 1'!$AK109</f>
        <v>608.89358770193849</v>
      </c>
      <c r="E100" s="528">
        <f>$B100*'Recycling - Case 1'!BO109*'Recycling - Case 1'!$AK109</f>
        <v>166.30732339431714</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650.2044966833181</v>
      </c>
      <c r="J100" s="744">
        <f t="shared" si="11"/>
        <v>2008.4105208660671</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0.87854171885575549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22.400845319733673</v>
      </c>
      <c r="R100" s="1378">
        <f t="shared" si="8"/>
        <v>23.279387038589427</v>
      </c>
      <c r="S100" s="485">
        <f>C100*'4C2 Open-burning '!$C$9*'4C2 Open-burning '!$C$11*$C$5</f>
        <v>2.2737199410373248</v>
      </c>
      <c r="T100" s="485">
        <f>D100*'4C2 Open-burning '!$C$9*'4C2 Open-burning '!$C$11*$C$5</f>
        <v>2.3746849920375599</v>
      </c>
      <c r="U100" s="485">
        <f>E100*'4C2 Open-burning '!$C$9*'4C2 Open-burning '!$C$11*$C$5</f>
        <v>0.64859856123783677</v>
      </c>
      <c r="V100" s="485">
        <f>F100*'4C2 Open-burning '!$C$9*'4C2 Open-burning '!$C$11*$C$5</f>
        <v>0</v>
      </c>
      <c r="W100" s="485">
        <f>G100*'4C2 Open-burning '!$C$9*'4C2 Open-burning '!$C$11*$C$5</f>
        <v>0</v>
      </c>
      <c r="X100" s="485">
        <f>H100*'4C2 Open-burning '!$C$9*'4C2 Open-burning '!$C$11*$C$5</f>
        <v>0</v>
      </c>
      <c r="Y100" s="485">
        <f>I100*'4C2 Open-burning '!$C$9*'4C2 Open-burning '!$C$11*$C$5</f>
        <v>2.5357975370649406</v>
      </c>
      <c r="Z100" s="486">
        <f t="shared" si="9"/>
        <v>7.8328010313776613</v>
      </c>
      <c r="AA100" s="487">
        <f>C100*'4C2 Open-burning '!$C$10*'4C2 Open-burning '!$C$11*$C$5*C$15</f>
        <v>2.0988184071113768E-2</v>
      </c>
      <c r="AB100" s="487">
        <f>D100*'4C2 Open-burning '!$C$10*'4C2 Open-burning '!$C$11*$C$5*D$15</f>
        <v>2.1920169157269784E-2</v>
      </c>
      <c r="AC100" s="487">
        <f>E100*'4C2 Open-burning '!$C$10*'4C2 Open-burning '!$C$11*$C$5*E$15</f>
        <v>1.3470893194939685E-2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5.2666564231348759E-2</v>
      </c>
      <c r="AH100" s="488">
        <f t="shared" si="10"/>
        <v>0.109045810654672</v>
      </c>
      <c r="AI100" s="1387"/>
      <c r="AJ100" s="1386"/>
      <c r="AK100" s="1387"/>
    </row>
    <row r="101" spans="1:37">
      <c r="A101" s="489">
        <f>'Input data'!A130</f>
        <v>2030</v>
      </c>
      <c r="B101" s="122">
        <f>'Recycling - Case 1'!AP110</f>
        <v>8.7952094403034864E-2</v>
      </c>
      <c r="C101" s="527">
        <f>$B101*'Recycling - Case 1'!BM110*'Recycling - Case 1'!$AK110</f>
        <v>551.18092855110081</v>
      </c>
      <c r="D101" s="528">
        <f>$B101*'Recycling - Case 1'!BN110*'Recycling - Case 1'!$AK110</f>
        <v>575.65624301578828</v>
      </c>
      <c r="E101" s="528">
        <f>$B101*'Recycling - Case 1'!BO110*'Recycling - Case 1'!$AK110</f>
        <v>157.22919555206136</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614.71213576962884</v>
      </c>
      <c r="J101" s="744">
        <f t="shared" si="11"/>
        <v>1898.7785028885792</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0.83058523759114133</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21.178062501535251</v>
      </c>
      <c r="R101" s="1378">
        <f t="shared" si="8"/>
        <v>22.008647739126392</v>
      </c>
      <c r="S101" s="485">
        <f>C101*'4C2 Open-burning '!$C$9*'4C2 Open-burning '!$C$11*$C$5</f>
        <v>2.1496056213492931</v>
      </c>
      <c r="T101" s="485">
        <f>D101*'4C2 Open-burning '!$C$9*'4C2 Open-burning '!$C$11*$C$5</f>
        <v>2.2450593477615741</v>
      </c>
      <c r="U101" s="485">
        <f>E101*'4C2 Open-burning '!$C$9*'4C2 Open-burning '!$C$11*$C$5</f>
        <v>0.61319386265303921</v>
      </c>
      <c r="V101" s="485">
        <f>F101*'4C2 Open-burning '!$C$9*'4C2 Open-burning '!$C$11*$C$5</f>
        <v>0</v>
      </c>
      <c r="W101" s="485">
        <f>G101*'4C2 Open-burning '!$C$9*'4C2 Open-burning '!$C$11*$C$5</f>
        <v>0</v>
      </c>
      <c r="X101" s="485">
        <f>H101*'4C2 Open-burning '!$C$9*'4C2 Open-burning '!$C$11*$C$5</f>
        <v>0</v>
      </c>
      <c r="Y101" s="485">
        <f>I101*'4C2 Open-burning '!$C$9*'4C2 Open-burning '!$C$11*$C$5</f>
        <v>2.3973773295015524</v>
      </c>
      <c r="Z101" s="486">
        <f t="shared" si="9"/>
        <v>7.4052361612654583</v>
      </c>
      <c r="AA101" s="487">
        <f>C101*'4C2 Open-burning '!$C$10*'4C2 Open-burning '!$C$11*$C$5*C$15</f>
        <v>1.9842513427839631E-2</v>
      </c>
      <c r="AB101" s="487">
        <f>D101*'4C2 Open-burning '!$C$10*'4C2 Open-burning '!$C$11*$C$5*D$15</f>
        <v>2.072362474856838E-2</v>
      </c>
      <c r="AC101" s="487">
        <f>E101*'4C2 Open-burning '!$C$10*'4C2 Open-burning '!$C$11*$C$5*E$15</f>
        <v>1.2735564839716969E-2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4.979168299733993E-2</v>
      </c>
      <c r="AH101" s="488">
        <f t="shared" si="10"/>
        <v>0.1030933860134649</v>
      </c>
      <c r="AI101" s="1387"/>
      <c r="AJ101" s="1386"/>
      <c r="AK101" s="1387"/>
    </row>
    <row r="102" spans="1:37">
      <c r="A102" s="489">
        <f>'Input data'!A131</f>
        <v>2031</v>
      </c>
      <c r="B102" s="122">
        <f>'Recycling - Case 1'!AP111</f>
        <v>8.4697808940605399E-2</v>
      </c>
      <c r="C102" s="527">
        <f>$B102*'Recycling - Case 1'!BM111*'Recycling - Case 1'!$AK111</f>
        <v>523.66772905378775</v>
      </c>
      <c r="D102" s="528">
        <f>$B102*'Recycling - Case 1'!BN111*'Recycling - Case 1'!$AK111</f>
        <v>546.92131363860324</v>
      </c>
      <c r="E102" s="528">
        <f>$B102*'Recycling - Case 1'!BO111*'Recycling - Case 1'!$AK111</f>
        <v>149.38081401353929</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584.02766040269648</v>
      </c>
      <c r="J102" s="744">
        <f t="shared" si="11"/>
        <v>1803.9975171086269</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0.78912506334048316</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20.120920956193697</v>
      </c>
      <c r="R102" s="1378">
        <f t="shared" si="8"/>
        <v>20.910046019534178</v>
      </c>
      <c r="S102" s="485">
        <f>C102*'4C2 Open-burning '!$C$9*'4C2 Open-burning '!$C$11*$C$5</f>
        <v>2.0423041433097722</v>
      </c>
      <c r="T102" s="485">
        <f>D102*'4C2 Open-burning '!$C$9*'4C2 Open-burning '!$C$11*$C$5</f>
        <v>2.1329931231905523</v>
      </c>
      <c r="U102" s="485">
        <f>E102*'4C2 Open-burning '!$C$9*'4C2 Open-burning '!$C$11*$C$5</f>
        <v>0.58258517465280324</v>
      </c>
      <c r="V102" s="485">
        <f>F102*'4C2 Open-burning '!$C$9*'4C2 Open-burning '!$C$11*$C$5</f>
        <v>0</v>
      </c>
      <c r="W102" s="485">
        <f>G102*'4C2 Open-burning '!$C$9*'4C2 Open-burning '!$C$11*$C$5</f>
        <v>0</v>
      </c>
      <c r="X102" s="485">
        <f>H102*'4C2 Open-burning '!$C$9*'4C2 Open-burning '!$C$11*$C$5</f>
        <v>0</v>
      </c>
      <c r="Y102" s="485">
        <f>I102*'4C2 Open-burning '!$C$9*'4C2 Open-burning '!$C$11*$C$5</f>
        <v>2.277707875570516</v>
      </c>
      <c r="Z102" s="486">
        <f t="shared" si="9"/>
        <v>7.0355903167236438</v>
      </c>
      <c r="AA102" s="487">
        <f>C102*'4C2 Open-burning '!$C$10*'4C2 Open-burning '!$C$11*$C$5*C$15</f>
        <v>1.885203824593636E-2</v>
      </c>
      <c r="AB102" s="487">
        <f>D102*'4C2 Open-burning '!$C$10*'4C2 Open-burning '!$C$11*$C$5*D$15</f>
        <v>1.9689167290989715E-2</v>
      </c>
      <c r="AC102" s="487">
        <f>E102*'4C2 Open-burning '!$C$10*'4C2 Open-burning '!$C$11*$C$5*E$15</f>
        <v>1.209984593509668E-2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4.7306240492618411E-2</v>
      </c>
      <c r="AH102" s="488">
        <f t="shared" si="10"/>
        <v>9.7947291964641164E-2</v>
      </c>
      <c r="AI102" s="1387"/>
      <c r="AJ102" s="1386"/>
      <c r="AK102" s="1387"/>
    </row>
    <row r="103" spans="1:37">
      <c r="A103" s="489">
        <f>'Input data'!A132</f>
        <v>2032</v>
      </c>
      <c r="B103" s="122">
        <f>'Recycling - Case 1'!AP112</f>
        <v>8.1389165230073265E-2</v>
      </c>
      <c r="C103" s="527">
        <f>$B103*'Recycling - Case 1'!BM112*'Recycling - Case 1'!$AK112</f>
        <v>496.35283766226195</v>
      </c>
      <c r="D103" s="528">
        <f>$B103*'Recycling - Case 1'!BN112*'Recycling - Case 1'!$AK112</f>
        <v>518.39349828373622</v>
      </c>
      <c r="E103" s="528">
        <f>$B103*'Recycling - Case 1'!BO112*'Recycling - Case 1'!$AK112</f>
        <v>141.58900160201213</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553.56435088700164</v>
      </c>
      <c r="J103" s="744">
        <f t="shared" si="11"/>
        <v>1709.899688435012</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0.74796372342285333</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19.071399016758978</v>
      </c>
      <c r="R103" s="1378">
        <f t="shared" si="8"/>
        <v>19.81936274018183</v>
      </c>
      <c r="S103" s="485">
        <f>C103*'4C2 Open-burning '!$C$9*'4C2 Open-burning '!$C$11*$C$5</f>
        <v>1.9357760668828217</v>
      </c>
      <c r="T103" s="485">
        <f>D103*'4C2 Open-burning '!$C$9*'4C2 Open-burning '!$C$11*$C$5</f>
        <v>2.021734643306571</v>
      </c>
      <c r="U103" s="485">
        <f>E103*'4C2 Open-burning '!$C$9*'4C2 Open-burning '!$C$11*$C$5</f>
        <v>0.55219710624784724</v>
      </c>
      <c r="V103" s="485">
        <f>F103*'4C2 Open-burning '!$C$9*'4C2 Open-burning '!$C$11*$C$5</f>
        <v>0</v>
      </c>
      <c r="W103" s="485">
        <f>G103*'4C2 Open-burning '!$C$9*'4C2 Open-burning '!$C$11*$C$5</f>
        <v>0</v>
      </c>
      <c r="X103" s="485">
        <f>H103*'4C2 Open-burning '!$C$9*'4C2 Open-burning '!$C$11*$C$5</f>
        <v>0</v>
      </c>
      <c r="Y103" s="485">
        <f>I103*'4C2 Open-burning '!$C$9*'4C2 Open-burning '!$C$11*$C$5</f>
        <v>2.1589009684593061</v>
      </c>
      <c r="Z103" s="486">
        <f t="shared" si="9"/>
        <v>6.6686087848965467</v>
      </c>
      <c r="AA103" s="487">
        <f>C103*'4C2 Open-burning '!$C$10*'4C2 Open-burning '!$C$11*$C$5*C$15</f>
        <v>1.7868702155841427E-2</v>
      </c>
      <c r="AB103" s="487">
        <f>D103*'4C2 Open-burning '!$C$10*'4C2 Open-burning '!$C$11*$C$5*D$15</f>
        <v>1.8662165938214501E-2</v>
      </c>
      <c r="AC103" s="487">
        <f>E103*'4C2 Open-burning '!$C$10*'4C2 Open-burning '!$C$11*$C$5*E$15</f>
        <v>1.1468709129762982E-2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4.4838712421847136E-2</v>
      </c>
      <c r="AH103" s="488">
        <f t="shared" si="10"/>
        <v>9.2838289645666039E-2</v>
      </c>
      <c r="AI103" s="1387"/>
      <c r="AJ103" s="1386"/>
      <c r="AK103" s="1387"/>
    </row>
    <row r="104" spans="1:37">
      <c r="A104" s="489">
        <f>'Input data'!A133</f>
        <v>2033</v>
      </c>
      <c r="B104" s="122">
        <f>'Recycling - Case 1'!AP113</f>
        <v>7.8022048894306154E-2</v>
      </c>
      <c r="C104" s="527">
        <f>$B104*'Recycling - Case 1'!BM113*'Recycling - Case 1'!$AK113</f>
        <v>469.22541793529507</v>
      </c>
      <c r="D104" s="528">
        <f>$B104*'Recycling - Case 1'!BN113*'Recycling - Case 1'!$AK113</f>
        <v>490.06147931532144</v>
      </c>
      <c r="E104" s="528">
        <f>$B104*'Recycling - Case 1'!BO113*'Recycling - Case 1'!$AK113</f>
        <v>133.85066712754801</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523.3101217319429</v>
      </c>
      <c r="J104" s="744">
        <f t="shared" si="11"/>
        <v>1616.4476861101073</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0.70708488819467019</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18.029080313908896</v>
      </c>
      <c r="R104" s="1378">
        <f t="shared" si="8"/>
        <v>18.736165202103567</v>
      </c>
      <c r="S104" s="485">
        <f>C104*'4C2 Open-burning '!$C$9*'4C2 Open-burning '!$C$11*$C$5</f>
        <v>1.8299791299476509</v>
      </c>
      <c r="T104" s="485">
        <f>D104*'4C2 Open-burning '!$C$9*'4C2 Open-burning '!$C$11*$C$5</f>
        <v>1.9112397693297536</v>
      </c>
      <c r="U104" s="485">
        <f>E104*'4C2 Open-burning '!$C$9*'4C2 Open-burning '!$C$11*$C$5</f>
        <v>0.52201760179743717</v>
      </c>
      <c r="V104" s="485">
        <f>F104*'4C2 Open-burning '!$C$9*'4C2 Open-burning '!$C$11*$C$5</f>
        <v>0</v>
      </c>
      <c r="W104" s="485">
        <f>G104*'4C2 Open-burning '!$C$9*'4C2 Open-burning '!$C$11*$C$5</f>
        <v>0</v>
      </c>
      <c r="X104" s="485">
        <f>H104*'4C2 Open-burning '!$C$9*'4C2 Open-burning '!$C$11*$C$5</f>
        <v>0</v>
      </c>
      <c r="Y104" s="485">
        <f>I104*'4C2 Open-burning '!$C$9*'4C2 Open-burning '!$C$11*$C$5</f>
        <v>2.0409094747545771</v>
      </c>
      <c r="Z104" s="486">
        <f t="shared" si="9"/>
        <v>6.3041459758294183</v>
      </c>
      <c r="AA104" s="487">
        <f>C104*'4C2 Open-burning '!$C$10*'4C2 Open-burning '!$C$11*$C$5*C$15</f>
        <v>1.6892115045670623E-2</v>
      </c>
      <c r="AB104" s="487">
        <f>D104*'4C2 Open-burning '!$C$10*'4C2 Open-burning '!$C$11*$C$5*D$15</f>
        <v>1.764221325535157E-2</v>
      </c>
      <c r="AC104" s="487">
        <f>E104*'4C2 Open-burning '!$C$10*'4C2 Open-burning '!$C$11*$C$5*E$15</f>
        <v>1.0841904037331387E-2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4.2388119860287378E-2</v>
      </c>
      <c r="AH104" s="488">
        <f t="shared" si="10"/>
        <v>8.7764352198640955E-2</v>
      </c>
      <c r="AI104" s="1387"/>
      <c r="AJ104" s="1386"/>
      <c r="AK104" s="1387"/>
    </row>
    <row r="105" spans="1:37">
      <c r="A105" s="489">
        <f>'Input data'!A134</f>
        <v>2034</v>
      </c>
      <c r="B105" s="122">
        <f>'Recycling - Case 1'!AP114</f>
        <v>7.45911524937765E-2</v>
      </c>
      <c r="C105" s="527">
        <f>$B105*'Recycling - Case 1'!BM114*'Recycling - Case 1'!$AK114</f>
        <v>442.27260894018087</v>
      </c>
      <c r="D105" s="528">
        <f>$B105*'Recycling - Case 1'!BN114*'Recycling - Case 1'!$AK114</f>
        <v>461.91182470801209</v>
      </c>
      <c r="E105" s="528">
        <f>$B105*'Recycling - Case 1'!BO114*'Recycling - Case 1'!$AK114</f>
        <v>126.16214189625951</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493.25062960486474</v>
      </c>
      <c r="J105" s="744">
        <f t="shared" si="11"/>
        <v>1523.5972051493172</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0.66646917726685639</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16.993470691146797</v>
      </c>
      <c r="R105" s="1378">
        <f t="shared" si="8"/>
        <v>17.659939868413652</v>
      </c>
      <c r="S105" s="485">
        <f>C105*'4C2 Open-burning '!$C$9*'4C2 Open-burning '!$C$11*$C$5</f>
        <v>1.7248631748667054</v>
      </c>
      <c r="T105" s="485">
        <f>D105*'4C2 Open-burning '!$C$9*'4C2 Open-burning '!$C$11*$C$5</f>
        <v>1.8014561163612468</v>
      </c>
      <c r="U105" s="485">
        <f>E105*'4C2 Open-burning '!$C$9*'4C2 Open-burning '!$C$11*$C$5</f>
        <v>0.49203235339541201</v>
      </c>
      <c r="V105" s="485">
        <f>F105*'4C2 Open-burning '!$C$9*'4C2 Open-burning '!$C$11*$C$5</f>
        <v>0</v>
      </c>
      <c r="W105" s="485">
        <f>G105*'4C2 Open-burning '!$C$9*'4C2 Open-burning '!$C$11*$C$5</f>
        <v>0</v>
      </c>
      <c r="X105" s="485">
        <f>H105*'4C2 Open-burning '!$C$9*'4C2 Open-burning '!$C$11*$C$5</f>
        <v>0</v>
      </c>
      <c r="Y105" s="485">
        <f>I105*'4C2 Open-burning '!$C$9*'4C2 Open-burning '!$C$11*$C$5</f>
        <v>1.9236774554589722</v>
      </c>
      <c r="Z105" s="486">
        <f t="shared" si="9"/>
        <v>5.942029100082336</v>
      </c>
      <c r="AA105" s="487">
        <f>C105*'4C2 Open-burning '!$C$10*'4C2 Open-burning '!$C$11*$C$5*C$15</f>
        <v>1.5921813921846512E-2</v>
      </c>
      <c r="AB105" s="487">
        <f>D105*'4C2 Open-burning '!$C$10*'4C2 Open-burning '!$C$11*$C$5*D$15</f>
        <v>1.6628825689488435E-2</v>
      </c>
      <c r="AC105" s="487">
        <f>E105*'4C2 Open-burning '!$C$10*'4C2 Open-burning '!$C$11*$C$5*E$15</f>
        <v>1.0219133493597019E-2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3.9953300997994046E-2</v>
      </c>
      <c r="AH105" s="488">
        <f t="shared" si="10"/>
        <v>8.2723074102926009E-2</v>
      </c>
      <c r="AI105" s="1387"/>
      <c r="AJ105" s="1386"/>
      <c r="AK105" s="1387"/>
    </row>
    <row r="106" spans="1:37">
      <c r="A106" s="489">
        <f>'Input data'!A135</f>
        <v>2035</v>
      </c>
      <c r="B106" s="122">
        <f>'Recycling - Case 1'!AP115</f>
        <v>7.1091985410631664E-2</v>
      </c>
      <c r="C106" s="527">
        <f>$B106*'Recycling - Case 1'!BM115*'Recycling - Case 1'!$AK115</f>
        <v>415.48507091208262</v>
      </c>
      <c r="D106" s="528">
        <f>$B106*'Recycling - Case 1'!BN115*'Recycling - Case 1'!$AK115</f>
        <v>433.93477996258974</v>
      </c>
      <c r="E106" s="528">
        <f>$B106*'Recycling - Case 1'!BO115*'Recycling - Case 1'!$AK115</f>
        <v>118.52076165828623</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463.37545820416233</v>
      </c>
      <c r="J106" s="744">
        <f t="shared" si="11"/>
        <v>1431.316070737121</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0.62610251636652914</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15.9642112860498</v>
      </c>
      <c r="R106" s="1378">
        <f t="shared" si="8"/>
        <v>16.590313802416329</v>
      </c>
      <c r="S106" s="485">
        <f>C106*'4C2 Open-burning '!$C$9*'4C2 Open-burning '!$C$11*$C$5</f>
        <v>1.6203917765571221</v>
      </c>
      <c r="T106" s="485">
        <f>D106*'4C2 Open-burning '!$C$9*'4C2 Open-burning '!$C$11*$C$5</f>
        <v>1.6923456418540999</v>
      </c>
      <c r="U106" s="485">
        <f>E106*'4C2 Open-burning '!$C$9*'4C2 Open-burning '!$C$11*$C$5</f>
        <v>0.46223097046731626</v>
      </c>
      <c r="V106" s="485">
        <f>F106*'4C2 Open-burning '!$C$9*'4C2 Open-burning '!$C$11*$C$5</f>
        <v>0</v>
      </c>
      <c r="W106" s="485">
        <f>G106*'4C2 Open-burning '!$C$9*'4C2 Open-burning '!$C$11*$C$5</f>
        <v>0</v>
      </c>
      <c r="X106" s="485">
        <f>H106*'4C2 Open-burning '!$C$9*'4C2 Open-burning '!$C$11*$C$5</f>
        <v>0</v>
      </c>
      <c r="Y106" s="485">
        <f>I106*'4C2 Open-burning '!$C$9*'4C2 Open-burning '!$C$11*$C$5</f>
        <v>1.8071642869962328</v>
      </c>
      <c r="Z106" s="486">
        <f t="shared" si="9"/>
        <v>5.5821326758747709</v>
      </c>
      <c r="AA106" s="487">
        <f>C106*'4C2 Open-burning '!$C$10*'4C2 Open-burning '!$C$11*$C$5*C$15</f>
        <v>1.4957462552834975E-2</v>
      </c>
      <c r="AB106" s="487">
        <f>D106*'4C2 Open-burning '!$C$10*'4C2 Open-burning '!$C$11*$C$5*D$15</f>
        <v>1.562165207865323E-2</v>
      </c>
      <c r="AC106" s="487">
        <f>E106*'4C2 Open-burning '!$C$10*'4C2 Open-burning '!$C$11*$C$5*E$15</f>
        <v>9.6001816943211832E-3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3.7533412114537146E-2</v>
      </c>
      <c r="AH106" s="488">
        <f t="shared" si="10"/>
        <v>7.7712708440346528E-2</v>
      </c>
      <c r="AI106" s="1387"/>
      <c r="AJ106" s="1386"/>
      <c r="AK106" s="1387"/>
    </row>
    <row r="107" spans="1:37">
      <c r="A107" s="489">
        <f>'Input data'!A136</f>
        <v>2036</v>
      </c>
      <c r="B107" s="122">
        <f>'Recycling - Case 1'!AP116</f>
        <v>6.7519786258509712E-2</v>
      </c>
      <c r="C107" s="527">
        <f>$B107*'Recycling - Case 1'!BM116*'Recycling - Case 1'!$AK116</f>
        <v>388.85386922640129</v>
      </c>
      <c r="D107" s="528">
        <f>$B107*'Recycling - Case 1'!BN116*'Recycling - Case 1'!$AK116</f>
        <v>406.12101371041848</v>
      </c>
      <c r="E107" s="528">
        <f>$B107*'Recycling - Case 1'!BO116*'Recycling - Case 1'!$AK116</f>
        <v>110.92397773357509</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433.67464306647173</v>
      </c>
      <c r="J107" s="744">
        <f t="shared" si="11"/>
        <v>1339.5735037368665</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0.58597144173449311</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14.940958802926083</v>
      </c>
      <c r="R107" s="1378">
        <f t="shared" si="8"/>
        <v>15.526930244660576</v>
      </c>
      <c r="S107" s="485">
        <f>C107*'4C2 Open-burning '!$C$9*'4C2 Open-burning '!$C$11*$C$5</f>
        <v>1.5165300899829648</v>
      </c>
      <c r="T107" s="485">
        <f>D107*'4C2 Open-burning '!$C$9*'4C2 Open-burning '!$C$11*$C$5</f>
        <v>1.5838719534706323</v>
      </c>
      <c r="U107" s="485">
        <f>E107*'4C2 Open-burning '!$C$9*'4C2 Open-burning '!$C$11*$C$5</f>
        <v>0.43260351316094287</v>
      </c>
      <c r="V107" s="485">
        <f>F107*'4C2 Open-burning '!$C$9*'4C2 Open-burning '!$C$11*$C$5</f>
        <v>0</v>
      </c>
      <c r="W107" s="485">
        <f>G107*'4C2 Open-burning '!$C$9*'4C2 Open-burning '!$C$11*$C$5</f>
        <v>0</v>
      </c>
      <c r="X107" s="485">
        <f>H107*'4C2 Open-burning '!$C$9*'4C2 Open-burning '!$C$11*$C$5</f>
        <v>0</v>
      </c>
      <c r="Y107" s="485">
        <f>I107*'4C2 Open-burning '!$C$9*'4C2 Open-burning '!$C$11*$C$5</f>
        <v>1.6913311079592395</v>
      </c>
      <c r="Z107" s="486">
        <f t="shared" si="9"/>
        <v>5.2243366645737792</v>
      </c>
      <c r="AA107" s="487">
        <f>C107*'4C2 Open-burning '!$C$10*'4C2 Open-burning '!$C$11*$C$5*C$15</f>
        <v>1.3998739292150448E-2</v>
      </c>
      <c r="AB107" s="487">
        <f>D107*'4C2 Open-burning '!$C$10*'4C2 Open-burning '!$C$11*$C$5*D$15</f>
        <v>1.4620356493575066E-2</v>
      </c>
      <c r="AC107" s="487">
        <f>E107*'4C2 Open-burning '!$C$10*'4C2 Open-burning '!$C$11*$C$5*E$15</f>
        <v>8.9848421964195801E-3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3.5127646088384201E-2</v>
      </c>
      <c r="AH107" s="488">
        <f t="shared" si="10"/>
        <v>7.2731584070529293E-2</v>
      </c>
      <c r="AI107" s="1387"/>
      <c r="AJ107" s="1386"/>
      <c r="AK107" s="1387"/>
    </row>
    <row r="108" spans="1:37">
      <c r="A108" s="489">
        <f>'Input data'!A137</f>
        <v>2037</v>
      </c>
      <c r="B108" s="122">
        <f>'Recycling - Case 1'!AP117</f>
        <v>6.6080967760768661E-2</v>
      </c>
      <c r="C108" s="527">
        <f>$B108*'Recycling - Case 1'!BM117*'Recycling - Case 1'!$AK117</f>
        <v>379.40140962818725</v>
      </c>
      <c r="D108" s="528">
        <f>$B108*'Recycling - Case 1'!BN117*'Recycling - Case 1'!$AK117</f>
        <v>396.24881549436219</v>
      </c>
      <c r="E108" s="528">
        <f>$B108*'Recycling - Case 1'!BO117*'Recycling - Case 1'!$AK117</f>
        <v>108.2275807037969</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423.1326570743791</v>
      </c>
      <c r="J108" s="744">
        <f t="shared" si="11"/>
        <v>1307.0104629007255</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0.57172734692910565</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14.577766301526507</v>
      </c>
      <c r="R108" s="1378">
        <f t="shared" si="8"/>
        <v>15.149493648455612</v>
      </c>
      <c r="S108" s="485">
        <f>C108*'4C2 Open-burning '!$C$9*'4C2 Open-burning '!$C$11*$C$5</f>
        <v>1.4796654975499302</v>
      </c>
      <c r="T108" s="485">
        <f>D108*'4C2 Open-burning '!$C$9*'4C2 Open-burning '!$C$11*$C$5</f>
        <v>1.5453703804280123</v>
      </c>
      <c r="U108" s="485">
        <f>E108*'4C2 Open-burning '!$C$9*'4C2 Open-burning '!$C$11*$C$5</f>
        <v>0.42208756474480791</v>
      </c>
      <c r="V108" s="485">
        <f>F108*'4C2 Open-burning '!$C$9*'4C2 Open-burning '!$C$11*$C$5</f>
        <v>0</v>
      </c>
      <c r="W108" s="485">
        <f>G108*'4C2 Open-burning '!$C$9*'4C2 Open-burning '!$C$11*$C$5</f>
        <v>0</v>
      </c>
      <c r="X108" s="485">
        <f>H108*'4C2 Open-burning '!$C$9*'4C2 Open-burning '!$C$11*$C$5</f>
        <v>0</v>
      </c>
      <c r="Y108" s="485">
        <f>I108*'4C2 Open-burning '!$C$9*'4C2 Open-burning '!$C$11*$C$5</f>
        <v>1.6502173625900785</v>
      </c>
      <c r="Z108" s="486">
        <f t="shared" si="9"/>
        <v>5.0973408053128288</v>
      </c>
      <c r="AA108" s="487">
        <f>C108*'4C2 Open-burning '!$C$10*'4C2 Open-burning '!$C$11*$C$5*C$15</f>
        <v>1.365845074661474E-2</v>
      </c>
      <c r="AB108" s="487">
        <f>D108*'4C2 Open-burning '!$C$10*'4C2 Open-burning '!$C$11*$C$5*D$15</f>
        <v>1.426495735779704E-2</v>
      </c>
      <c r="AC108" s="487">
        <f>E108*'4C2 Open-burning '!$C$10*'4C2 Open-burning '!$C$11*$C$5*E$15</f>
        <v>8.7664340370075481E-3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3.4273745223024704E-2</v>
      </c>
      <c r="AH108" s="488">
        <f t="shared" si="10"/>
        <v>7.0963587364444025E-2</v>
      </c>
      <c r="AI108" s="1387"/>
      <c r="AJ108" s="1386"/>
      <c r="AK108" s="1387"/>
    </row>
    <row r="109" spans="1:37">
      <c r="A109" s="489">
        <f>'Input data'!A138</f>
        <v>2038</v>
      </c>
      <c r="B109" s="122">
        <f>'Recycling - Case 1'!AP118</f>
        <v>6.3657401284931678E-2</v>
      </c>
      <c r="C109" s="527">
        <f>$B109*'Recycling - Case 1'!BM118*'Recycling - Case 1'!$AK118</f>
        <v>362.40560418524035</v>
      </c>
      <c r="D109" s="528">
        <f>$B109*'Recycling - Case 1'!BN118*'Recycling - Case 1'!$AK118</f>
        <v>378.49830744606527</v>
      </c>
      <c r="E109" s="528">
        <f>$B109*'Recycling - Case 1'!BO118*'Recycling - Case 1'!$AK118</f>
        <v>103.37937809167381</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404.17785054574517</v>
      </c>
      <c r="J109" s="744">
        <f t="shared" si="11"/>
        <v>1248.4611402687246</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0.54611603788219976</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13.924735307002011</v>
      </c>
      <c r="R109" s="1378">
        <f t="shared" si="8"/>
        <v>14.470851344884212</v>
      </c>
      <c r="S109" s="485">
        <f>C109*'4C2 Open-burning '!$C$9*'4C2 Open-burning '!$C$11*$C$5</f>
        <v>1.4133818563224372</v>
      </c>
      <c r="T109" s="485">
        <f>D109*'4C2 Open-burning '!$C$9*'4C2 Open-burning '!$C$11*$C$5</f>
        <v>1.4761433990396546</v>
      </c>
      <c r="U109" s="485">
        <f>E109*'4C2 Open-burning '!$C$9*'4C2 Open-burning '!$C$11*$C$5</f>
        <v>0.40317957455752784</v>
      </c>
      <c r="V109" s="485">
        <f>F109*'4C2 Open-burning '!$C$9*'4C2 Open-burning '!$C$11*$C$5</f>
        <v>0</v>
      </c>
      <c r="W109" s="485">
        <f>G109*'4C2 Open-burning '!$C$9*'4C2 Open-burning '!$C$11*$C$5</f>
        <v>0</v>
      </c>
      <c r="X109" s="485">
        <f>H109*'4C2 Open-burning '!$C$9*'4C2 Open-burning '!$C$11*$C$5</f>
        <v>0</v>
      </c>
      <c r="Y109" s="485">
        <f>I109*'4C2 Open-burning '!$C$9*'4C2 Open-burning '!$C$11*$C$5</f>
        <v>1.5762936171284063</v>
      </c>
      <c r="Z109" s="486">
        <f t="shared" si="9"/>
        <v>4.8689984470480265</v>
      </c>
      <c r="AA109" s="487">
        <f>C109*'4C2 Open-burning '!$C$10*'4C2 Open-burning '!$C$11*$C$5*C$15</f>
        <v>1.3046601750668652E-2</v>
      </c>
      <c r="AB109" s="487">
        <f>D109*'4C2 Open-burning '!$C$10*'4C2 Open-burning '!$C$11*$C$5*D$15</f>
        <v>1.3625939068058349E-2</v>
      </c>
      <c r="AC109" s="487">
        <f>E109*'4C2 Open-burning '!$C$10*'4C2 Open-burning '!$C$11*$C$5*E$15</f>
        <v>8.3737296254255775E-3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3.2738405894205354E-2</v>
      </c>
      <c r="AH109" s="488">
        <f t="shared" si="10"/>
        <v>6.7784676338357941E-2</v>
      </c>
      <c r="AI109" s="1387"/>
      <c r="AJ109" s="1386"/>
      <c r="AK109" s="1387"/>
    </row>
    <row r="110" spans="1:37">
      <c r="A110" s="489">
        <f>'Input data'!A139</f>
        <v>2039</v>
      </c>
      <c r="B110" s="122">
        <f>'Recycling - Case 1'!AP119</f>
        <v>6.121242830038845E-2</v>
      </c>
      <c r="C110" s="527">
        <f>$B110*'Recycling - Case 1'!BM119*'Recycling - Case 1'!$AK119</f>
        <v>345.50464715049009</v>
      </c>
      <c r="D110" s="528">
        <f>$B110*'Recycling - Case 1'!BN119*'Recycling - Case 1'!$AK119</f>
        <v>360.84685957109838</v>
      </c>
      <c r="E110" s="528">
        <f>$B110*'Recycling - Case 1'!BO119*'Recycling - Case 1'!$AK119</f>
        <v>98.558231820123567</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385.32882501307222</v>
      </c>
      <c r="J110" s="744">
        <f t="shared" si="11"/>
        <v>1190.2385635547844</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0.52064765774225752</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13.275348679350362</v>
      </c>
      <c r="R110" s="1378">
        <f t="shared" si="8"/>
        <v>13.795996337092619</v>
      </c>
      <c r="S110" s="485">
        <f>C110*'4C2 Open-burning '!$C$9*'4C2 Open-burning '!$C$11*$C$5</f>
        <v>1.3474681238869113</v>
      </c>
      <c r="T110" s="485">
        <f>D110*'4C2 Open-burning '!$C$9*'4C2 Open-burning '!$C$11*$C$5</f>
        <v>1.4073027523272834</v>
      </c>
      <c r="U110" s="485">
        <f>E110*'4C2 Open-burning '!$C$9*'4C2 Open-burning '!$C$11*$C$5</f>
        <v>0.38437710409848191</v>
      </c>
      <c r="V110" s="485">
        <f>F110*'4C2 Open-burning '!$C$9*'4C2 Open-burning '!$C$11*$C$5</f>
        <v>0</v>
      </c>
      <c r="W110" s="485">
        <f>G110*'4C2 Open-burning '!$C$9*'4C2 Open-burning '!$C$11*$C$5</f>
        <v>0</v>
      </c>
      <c r="X110" s="485">
        <f>H110*'4C2 Open-burning '!$C$9*'4C2 Open-burning '!$C$11*$C$5</f>
        <v>0</v>
      </c>
      <c r="Y110" s="485">
        <f>I110*'4C2 Open-burning '!$C$9*'4C2 Open-burning '!$C$11*$C$5</f>
        <v>1.5027824175509816</v>
      </c>
      <c r="Z110" s="486">
        <f t="shared" si="9"/>
        <v>4.6419303978636588</v>
      </c>
      <c r="AA110" s="487">
        <f>C110*'4C2 Open-burning '!$C$10*'4C2 Open-burning '!$C$11*$C$5*C$15</f>
        <v>1.2438167297417644E-2</v>
      </c>
      <c r="AB110" s="487">
        <f>D110*'4C2 Open-burning '!$C$10*'4C2 Open-burning '!$C$11*$C$5*D$15</f>
        <v>1.2990486944559541E-2</v>
      </c>
      <c r="AC110" s="487">
        <f>E110*'4C2 Open-burning '!$C$10*'4C2 Open-burning '!$C$11*$C$5*E$15</f>
        <v>7.9832167774300071E-3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3.1211634826058848E-2</v>
      </c>
      <c r="AH110" s="488">
        <f t="shared" si="10"/>
        <v>6.4623505845466042E-2</v>
      </c>
      <c r="AI110" s="1387"/>
      <c r="AJ110" s="1386"/>
      <c r="AK110" s="1387"/>
    </row>
    <row r="111" spans="1:37">
      <c r="A111" s="489">
        <f>'Input data'!A140</f>
        <v>2040</v>
      </c>
      <c r="B111" s="122">
        <f>'Recycling - Case 1'!AP120</f>
        <v>5.8744381085617352E-2</v>
      </c>
      <c r="C111" s="527">
        <f>$B111*'Recycling - Case 1'!BM120*'Recycling - Case 1'!$AK120</f>
        <v>328.69371027593041</v>
      </c>
      <c r="D111" s="528">
        <f>$B111*'Recycling - Case 1'!BN120*'Recycling - Case 1'!$AK120</f>
        <v>343.28942922200491</v>
      </c>
      <c r="E111" s="528">
        <f>$B111*'Recycling - Case 1'!BO120*'Recycling - Case 1'!$AK120</f>
        <v>93.762764589042746</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366.58019570615136</v>
      </c>
      <c r="J111" s="744">
        <f t="shared" si="11"/>
        <v>1132.3260997931293</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0.49531493072866078</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12.629420902468325</v>
      </c>
      <c r="R111" s="1378">
        <f t="shared" si="8"/>
        <v>13.124735833196986</v>
      </c>
      <c r="S111" s="485">
        <f>C111*'4C2 Open-burning '!$C$9*'4C2 Open-burning '!$C$11*$C$5</f>
        <v>1.2819054700761285</v>
      </c>
      <c r="T111" s="485">
        <f>D111*'4C2 Open-burning '!$C$9*'4C2 Open-burning '!$C$11*$C$5</f>
        <v>1.3388287739658191</v>
      </c>
      <c r="U111" s="485">
        <f>E111*'4C2 Open-burning '!$C$9*'4C2 Open-burning '!$C$11*$C$5</f>
        <v>0.36567478189726665</v>
      </c>
      <c r="V111" s="485">
        <f>F111*'4C2 Open-burning '!$C$9*'4C2 Open-burning '!$C$11*$C$5</f>
        <v>0</v>
      </c>
      <c r="W111" s="485">
        <f>G111*'4C2 Open-burning '!$C$9*'4C2 Open-burning '!$C$11*$C$5</f>
        <v>0</v>
      </c>
      <c r="X111" s="485">
        <f>H111*'4C2 Open-burning '!$C$9*'4C2 Open-burning '!$C$11*$C$5</f>
        <v>0</v>
      </c>
      <c r="Y111" s="485">
        <f>I111*'4C2 Open-burning '!$C$9*'4C2 Open-burning '!$C$11*$C$5</f>
        <v>1.4296627632539902</v>
      </c>
      <c r="Z111" s="486">
        <f t="shared" si="9"/>
        <v>4.4160717891932046</v>
      </c>
      <c r="AA111" s="487">
        <f>C111*'4C2 Open-burning '!$C$10*'4C2 Open-burning '!$C$11*$C$5*C$15</f>
        <v>1.1832973569933493E-2</v>
      </c>
      <c r="AB111" s="487">
        <f>D111*'4C2 Open-burning '!$C$10*'4C2 Open-burning '!$C$11*$C$5*D$15</f>
        <v>1.2358419451992177E-2</v>
      </c>
      <c r="AC111" s="487">
        <f>E111*'4C2 Open-burning '!$C$10*'4C2 Open-burning '!$C$11*$C$5*E$15</f>
        <v>7.5947839317124614E-3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2.969299585219826E-2</v>
      </c>
      <c r="AH111" s="488">
        <f t="shared" si="10"/>
        <v>6.1479172805836382E-2</v>
      </c>
      <c r="AI111" s="1387"/>
      <c r="AJ111" s="1386"/>
      <c r="AK111" s="1387"/>
    </row>
    <row r="112" spans="1:37">
      <c r="A112" s="489">
        <f>'Input data'!A141</f>
        <v>2041</v>
      </c>
      <c r="B112" s="122">
        <f>'Recycling - Case 1'!AP121</f>
        <v>5.6251527881561694E-2</v>
      </c>
      <c r="C112" s="527">
        <f>$B112*'Recycling - Case 1'!BM121*'Recycling - Case 1'!$AK121</f>
        <v>311.96815207759965</v>
      </c>
      <c r="D112" s="528">
        <f>$B112*'Recycling - Case 1'!BN121*'Recycling - Case 1'!$AK121</f>
        <v>325.8211688086725</v>
      </c>
      <c r="E112" s="528">
        <f>$B112*'Recycling - Case 1'!BO121*'Recycling - Case 1'!$AK121</f>
        <v>88.99165237441008</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347.9267861459511</v>
      </c>
      <c r="J112" s="744">
        <f t="shared" si="11"/>
        <v>1074.7077594066334</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0.47011086249915368</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11.986773636300306</v>
      </c>
      <c r="R112" s="1378">
        <f t="shared" si="8"/>
        <v>12.456884498799459</v>
      </c>
      <c r="S112" s="485">
        <f>C112*'4C2 Open-burning '!$C$9*'4C2 Open-burning '!$C$11*$C$5</f>
        <v>1.2166757931026386</v>
      </c>
      <c r="T112" s="485">
        <f>D112*'4C2 Open-burning '!$C$9*'4C2 Open-burning '!$C$11*$C$5</f>
        <v>1.2707025583538227</v>
      </c>
      <c r="U112" s="485">
        <f>E112*'4C2 Open-burning '!$C$9*'4C2 Open-burning '!$C$11*$C$5</f>
        <v>0.34706744426019936</v>
      </c>
      <c r="V112" s="485">
        <f>F112*'4C2 Open-burning '!$C$9*'4C2 Open-burning '!$C$11*$C$5</f>
        <v>0</v>
      </c>
      <c r="W112" s="485">
        <f>G112*'4C2 Open-burning '!$C$9*'4C2 Open-burning '!$C$11*$C$5</f>
        <v>0</v>
      </c>
      <c r="X112" s="485">
        <f>H112*'4C2 Open-burning '!$C$9*'4C2 Open-burning '!$C$11*$C$5</f>
        <v>0</v>
      </c>
      <c r="Y112" s="485">
        <f>I112*'4C2 Open-burning '!$C$9*'4C2 Open-burning '!$C$11*$C$5</f>
        <v>1.3569144659692094</v>
      </c>
      <c r="Z112" s="486">
        <f t="shared" si="9"/>
        <v>4.1913602616858698</v>
      </c>
      <c r="AA112" s="487">
        <f>C112*'4C2 Open-burning '!$C$10*'4C2 Open-burning '!$C$11*$C$5*C$15</f>
        <v>1.1230853474793587E-2</v>
      </c>
      <c r="AB112" s="487">
        <f>D112*'4C2 Open-burning '!$C$10*'4C2 Open-burning '!$C$11*$C$5*D$15</f>
        <v>1.172956207711221E-2</v>
      </c>
      <c r="AC112" s="487">
        <f>E112*'4C2 Open-burning '!$C$10*'4C2 Open-burning '!$C$11*$C$5*E$15</f>
        <v>7.2083238423272149E-3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2.8182069677822035E-2</v>
      </c>
      <c r="AH112" s="488">
        <f t="shared" si="10"/>
        <v>5.8350809072055046E-2</v>
      </c>
      <c r="AI112" s="1387"/>
      <c r="AJ112" s="1386"/>
      <c r="AK112" s="1387"/>
    </row>
    <row r="113" spans="1:37">
      <c r="A113" s="489">
        <f>'Input data'!A142</f>
        <v>2042</v>
      </c>
      <c r="B113" s="122">
        <f>'Recycling - Case 1'!AP122</f>
        <v>5.3732067118956388E-2</v>
      </c>
      <c r="C113" s="527">
        <f>$B113*'Recycling - Case 1'!BM122*'Recycling - Case 1'!$AK122</f>
        <v>295.3235062496463</v>
      </c>
      <c r="D113" s="528">
        <f>$B113*'Recycling - Case 1'!BN122*'Recycling - Case 1'!$AK122</f>
        <v>308.43741369792269</v>
      </c>
      <c r="E113" s="528">
        <f>$B113*'Recycling - Case 1'!BO122*'Recycling - Case 1'!$AK122</f>
        <v>84.243621123297146</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329.36361522324455</v>
      </c>
      <c r="J113" s="744">
        <f t="shared" si="11"/>
        <v>1017.3681562941106</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0.44502872269077443</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11.34723527167122</v>
      </c>
      <c r="R113" s="1378">
        <f t="shared" si="8"/>
        <v>11.792263994361994</v>
      </c>
      <c r="S113" s="485">
        <f>C113*'4C2 Open-burning '!$C$9*'4C2 Open-burning '!$C$11*$C$5</f>
        <v>1.1517616743736205</v>
      </c>
      <c r="T113" s="485">
        <f>D113*'4C2 Open-burning '!$C$9*'4C2 Open-burning '!$C$11*$C$5</f>
        <v>1.2029059134218987</v>
      </c>
      <c r="U113" s="485">
        <f>E113*'4C2 Open-burning '!$C$9*'4C2 Open-burning '!$C$11*$C$5</f>
        <v>0.32855012238085884</v>
      </c>
      <c r="V113" s="485">
        <f>F113*'4C2 Open-burning '!$C$9*'4C2 Open-burning '!$C$11*$C$5</f>
        <v>0</v>
      </c>
      <c r="W113" s="485">
        <f>G113*'4C2 Open-burning '!$C$9*'4C2 Open-burning '!$C$11*$C$5</f>
        <v>0</v>
      </c>
      <c r="X113" s="485">
        <f>H113*'4C2 Open-burning '!$C$9*'4C2 Open-burning '!$C$11*$C$5</f>
        <v>0</v>
      </c>
      <c r="Y113" s="485">
        <f>I113*'4C2 Open-burning '!$C$9*'4C2 Open-burning '!$C$11*$C$5</f>
        <v>1.2845180993706535</v>
      </c>
      <c r="Z113" s="486">
        <f t="shared" si="9"/>
        <v>3.9677358095470314</v>
      </c>
      <c r="AA113" s="487">
        <f>C113*'4C2 Open-burning '!$C$10*'4C2 Open-burning '!$C$11*$C$5*C$15</f>
        <v>1.0631646224987266E-2</v>
      </c>
      <c r="AB113" s="487">
        <f>D113*'4C2 Open-burning '!$C$10*'4C2 Open-burning '!$C$11*$C$5*D$15</f>
        <v>1.1103746893125217E-2</v>
      </c>
      <c r="AC113" s="487">
        <f>E113*'4C2 Open-burning '!$C$10*'4C2 Open-burning '!$C$11*$C$5*E$15</f>
        <v>6.8237333109870688E-3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2.6678452833082806E-2</v>
      </c>
      <c r="AH113" s="488">
        <f t="shared" si="10"/>
        <v>5.5237579262182354E-2</v>
      </c>
      <c r="AI113" s="1387"/>
      <c r="AJ113" s="1386"/>
      <c r="AK113" s="1387"/>
    </row>
    <row r="114" spans="1:37">
      <c r="A114" s="489">
        <f>'Input data'!A143</f>
        <v>2043</v>
      </c>
      <c r="B114" s="122">
        <f>'Recycling - Case 1'!AP123</f>
        <v>5.1184121315668546E-2</v>
      </c>
      <c r="C114" s="527">
        <f>$B114*'Recycling - Case 1'!BM123*'Recycling - Case 1'!$AK123</f>
        <v>278.75547075586377</v>
      </c>
      <c r="D114" s="528">
        <f>$B114*'Recycling - Case 1'!BN123*'Recycling - Case 1'!$AK123</f>
        <v>291.13367082065287</v>
      </c>
      <c r="E114" s="528">
        <f>$B114*'Recycling - Case 1'!BO123*'Recycling - Case 1'!$AK123</f>
        <v>79.517443642132875</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310.88588503279249</v>
      </c>
      <c r="J114" s="744">
        <f t="shared" si="11"/>
        <v>960.29247025144196</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0.42006202848167679</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10.710640511149766</v>
      </c>
      <c r="R114" s="1378">
        <f t="shared" si="8"/>
        <v>11.130702539631443</v>
      </c>
      <c r="S114" s="485">
        <f>C114*'4C2 Open-burning '!$C$9*'4C2 Open-burning '!$C$11*$C$5</f>
        <v>1.0871463359478686</v>
      </c>
      <c r="T114" s="485">
        <f>D114*'4C2 Open-burning '!$C$9*'4C2 Open-burning '!$C$11*$C$5</f>
        <v>1.135421316200546</v>
      </c>
      <c r="U114" s="485">
        <f>E114*'4C2 Open-burning '!$C$9*'4C2 Open-burning '!$C$11*$C$5</f>
        <v>0.31011803020431816</v>
      </c>
      <c r="V114" s="485">
        <f>F114*'4C2 Open-burning '!$C$9*'4C2 Open-burning '!$C$11*$C$5</f>
        <v>0</v>
      </c>
      <c r="W114" s="485">
        <f>G114*'4C2 Open-burning '!$C$9*'4C2 Open-burning '!$C$11*$C$5</f>
        <v>0</v>
      </c>
      <c r="X114" s="485">
        <f>H114*'4C2 Open-burning '!$C$9*'4C2 Open-burning '!$C$11*$C$5</f>
        <v>0</v>
      </c>
      <c r="Y114" s="485">
        <f>I114*'4C2 Open-burning '!$C$9*'4C2 Open-burning '!$C$11*$C$5</f>
        <v>1.2124549516278906</v>
      </c>
      <c r="Z114" s="486">
        <f t="shared" si="9"/>
        <v>3.7451406339806237</v>
      </c>
      <c r="AA114" s="487">
        <f>C114*'4C2 Open-burning '!$C$10*'4C2 Open-burning '!$C$11*$C$5*C$15</f>
        <v>1.0035196947211096E-2</v>
      </c>
      <c r="AB114" s="487">
        <f>D114*'4C2 Open-burning '!$C$10*'4C2 Open-burning '!$C$11*$C$5*D$15</f>
        <v>1.0480812149543503E-2</v>
      </c>
      <c r="AC114" s="487">
        <f>E114*'4C2 Open-burning '!$C$10*'4C2 Open-burning '!$C$11*$C$5*E$15</f>
        <v>6.4409129350127617E-3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2.5181756687656192E-2</v>
      </c>
      <c r="AH114" s="488">
        <f t="shared" si="10"/>
        <v>5.2138678719423556E-2</v>
      </c>
      <c r="AI114" s="1387"/>
      <c r="AJ114" s="1386"/>
      <c r="AK114" s="1387"/>
    </row>
    <row r="115" spans="1:37">
      <c r="A115" s="489">
        <f>'Input data'!A144</f>
        <v>2044</v>
      </c>
      <c r="B115" s="122">
        <f>'Recycling - Case 1'!AP124</f>
        <v>4.8605702169527497E-2</v>
      </c>
      <c r="C115" s="527">
        <f>$B115*'Recycling - Case 1'!BM124*'Recycling - Case 1'!$AK124</f>
        <v>262.2598401662155</v>
      </c>
      <c r="D115" s="528">
        <f>$B115*'Recycling - Case 1'!BN124*'Recycling - Case 1'!$AK124</f>
        <v>273.90554800374946</v>
      </c>
      <c r="E115" s="528">
        <f>$B115*'Recycling - Case 1'!BO124*'Recycling - Case 1'!$AK124</f>
        <v>74.811920295103789</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292.48890541072018</v>
      </c>
      <c r="J115" s="744">
        <f t="shared" si="11"/>
        <v>903.46621387578898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0.39520444262772708</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10.07682776921013</v>
      </c>
      <c r="R115" s="1378">
        <f t="shared" si="8"/>
        <v>10.472032211837858</v>
      </c>
      <c r="S115" s="485">
        <f>C115*'4C2 Open-burning '!$C$9*'4C2 Open-burning '!$C$11*$C$5</f>
        <v>1.0228133766482403</v>
      </c>
      <c r="T115" s="485">
        <f>D115*'4C2 Open-burning '!$C$9*'4C2 Open-burning '!$C$11*$C$5</f>
        <v>1.0682316372146228</v>
      </c>
      <c r="U115" s="485">
        <f>E115*'4C2 Open-burning '!$C$9*'4C2 Open-burning '!$C$11*$C$5</f>
        <v>0.29176648915090481</v>
      </c>
      <c r="V115" s="485">
        <f>F115*'4C2 Open-burning '!$C$9*'4C2 Open-burning '!$C$11*$C$5</f>
        <v>0</v>
      </c>
      <c r="W115" s="485">
        <f>G115*'4C2 Open-burning '!$C$9*'4C2 Open-burning '!$C$11*$C$5</f>
        <v>0</v>
      </c>
      <c r="X115" s="485">
        <f>H115*'4C2 Open-burning '!$C$9*'4C2 Open-burning '!$C$11*$C$5</f>
        <v>0</v>
      </c>
      <c r="Y115" s="485">
        <f>I115*'4C2 Open-burning '!$C$9*'4C2 Open-burning '!$C$11*$C$5</f>
        <v>1.1407067311018086</v>
      </c>
      <c r="Z115" s="486">
        <f t="shared" si="9"/>
        <v>3.5235182341155764</v>
      </c>
      <c r="AA115" s="487">
        <f>C115*'4C2 Open-burning '!$C$10*'4C2 Open-burning '!$C$11*$C$5*C$15</f>
        <v>9.4413542459837567E-3</v>
      </c>
      <c r="AB115" s="487">
        <f>D115*'4C2 Open-burning '!$C$10*'4C2 Open-burning '!$C$11*$C$5*D$15</f>
        <v>9.8605997281349805E-3</v>
      </c>
      <c r="AC115" s="487">
        <f>E115*'4C2 Open-burning '!$C$10*'4C2 Open-burning '!$C$11*$C$5*E$15</f>
        <v>6.0597655439034058E-3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2.369160133826833E-2</v>
      </c>
      <c r="AH115" s="488">
        <f t="shared" si="10"/>
        <v>4.9053320856290474E-2</v>
      </c>
      <c r="AI115" s="1387"/>
      <c r="AJ115" s="1386"/>
      <c r="AK115" s="1387"/>
    </row>
    <row r="116" spans="1:37">
      <c r="A116" s="489">
        <f>'Input data'!A145</f>
        <v>2045</v>
      </c>
      <c r="B116" s="122">
        <f>'Recycling - Case 1'!AP125</f>
        <v>4.5994764449235066E-2</v>
      </c>
      <c r="C116" s="527">
        <f>$B116*'Recycling - Case 1'!BM125*'Recycling - Case 1'!$AK125</f>
        <v>245.83262262469276</v>
      </c>
      <c r="D116" s="528">
        <f>$B116*'Recycling - Case 1'!BN125*'Recycling - Case 1'!$AK125</f>
        <v>256.74887613192993</v>
      </c>
      <c r="E116" s="528">
        <f>$B116*'Recycling - Case 1'!BO125*'Recycling - Case 1'!$AK125</f>
        <v>70.125912370261602</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274.16822438453414</v>
      </c>
      <c r="J116" s="744">
        <f t="shared" si="11"/>
        <v>846.87563551141841</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0.37044994972363876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9.44564366649597</v>
      </c>
      <c r="R116" s="1378">
        <f t="shared" si="8"/>
        <v>9.8160936162196091</v>
      </c>
      <c r="S116" s="485">
        <f>C116*'4C2 Open-burning '!$C$9*'4C2 Open-burning '!$C$11*$C$5</f>
        <v>0.95874722823630165</v>
      </c>
      <c r="T116" s="485">
        <f>D116*'4C2 Open-burning '!$C$9*'4C2 Open-burning '!$C$11*$C$5</f>
        <v>1.0013206169145266</v>
      </c>
      <c r="U116" s="485">
        <f>E116*'4C2 Open-burning '!$C$9*'4C2 Open-burning '!$C$11*$C$5</f>
        <v>0.2734910582440202</v>
      </c>
      <c r="V116" s="485">
        <f>F116*'4C2 Open-burning '!$C$9*'4C2 Open-burning '!$C$11*$C$5</f>
        <v>0</v>
      </c>
      <c r="W116" s="485">
        <f>G116*'4C2 Open-burning '!$C$9*'4C2 Open-burning '!$C$11*$C$5</f>
        <v>0</v>
      </c>
      <c r="X116" s="485">
        <f>H116*'4C2 Open-burning '!$C$9*'4C2 Open-burning '!$C$11*$C$5</f>
        <v>0</v>
      </c>
      <c r="Y116" s="485">
        <f>I116*'4C2 Open-burning '!$C$9*'4C2 Open-burning '!$C$11*$C$5</f>
        <v>1.0692560750996831</v>
      </c>
      <c r="Z116" s="486">
        <f t="shared" si="9"/>
        <v>3.3028149784945313</v>
      </c>
      <c r="AA116" s="487">
        <f>C116*'4C2 Open-burning '!$C$10*'4C2 Open-burning '!$C$11*$C$5*C$15</f>
        <v>8.849974414488938E-3</v>
      </c>
      <c r="AB116" s="487">
        <f>D116*'4C2 Open-burning '!$C$10*'4C2 Open-burning '!$C$11*$C$5*D$15</f>
        <v>9.2429595407494767E-3</v>
      </c>
      <c r="AC116" s="487">
        <f>E116*'4C2 Open-burning '!$C$10*'4C2 Open-burning '!$C$11*$C$5*E$15</f>
        <v>5.6801989019911892E-3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2.2207626175147266E-2</v>
      </c>
      <c r="AH116" s="488">
        <f t="shared" si="10"/>
        <v>4.5980759032376868E-2</v>
      </c>
      <c r="AI116" s="1387"/>
      <c r="AJ116" s="1386"/>
      <c r="AK116" s="1387"/>
    </row>
    <row r="117" spans="1:37">
      <c r="A117" s="489">
        <f>'Input data'!A146</f>
        <v>2046</v>
      </c>
      <c r="B117" s="122">
        <f>'Recycling - Case 1'!AP126</f>
        <v>4.3349166554594566E-2</v>
      </c>
      <c r="C117" s="527">
        <f>$B117*'Recycling - Case 1'!BM126*'Recycling - Case 1'!$AK126</f>
        <v>229.46996089384447</v>
      </c>
      <c r="D117" s="528">
        <f>$B117*'Recycling - Case 1'!BN126*'Recycling - Case 1'!$AK126</f>
        <v>239.65962668623712</v>
      </c>
      <c r="E117" s="528">
        <f>$B117*'Recycling - Case 1'!BO126*'Recycling - Case 1'!$AK126</f>
        <v>65.458319556782641</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255.91954011694483</v>
      </c>
      <c r="J117" s="744">
        <f t="shared" si="11"/>
        <v>790.50744725380912</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0.34579273722344223</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8.8169399961089816</v>
      </c>
      <c r="R117" s="1378">
        <f t="shared" si="8"/>
        <v>9.1627327333324242</v>
      </c>
      <c r="S117" s="485">
        <f>C117*'4C2 Open-burning '!$C$9*'4C2 Open-burning '!$C$11*$C$5</f>
        <v>0.89493284748599333</v>
      </c>
      <c r="T117" s="485">
        <f>D117*'4C2 Open-burning '!$C$9*'4C2 Open-burning '!$C$11*$C$5</f>
        <v>0.93467254407632461</v>
      </c>
      <c r="U117" s="485">
        <f>E117*'4C2 Open-burning '!$C$9*'4C2 Open-burning '!$C$11*$C$5</f>
        <v>0.25528744627145228</v>
      </c>
      <c r="V117" s="485">
        <f>F117*'4C2 Open-burning '!$C$9*'4C2 Open-burning '!$C$11*$C$5</f>
        <v>0</v>
      </c>
      <c r="W117" s="485">
        <f>G117*'4C2 Open-burning '!$C$9*'4C2 Open-burning '!$C$11*$C$5</f>
        <v>0</v>
      </c>
      <c r="X117" s="485">
        <f>H117*'4C2 Open-burning '!$C$9*'4C2 Open-burning '!$C$11*$C$5</f>
        <v>0</v>
      </c>
      <c r="Y117" s="485">
        <f>I117*'4C2 Open-burning '!$C$9*'4C2 Open-burning '!$C$11*$C$5</f>
        <v>0.9980862064560847</v>
      </c>
      <c r="Z117" s="486">
        <f t="shared" si="9"/>
        <v>3.0829790442898553</v>
      </c>
      <c r="AA117" s="487">
        <f>C117*'4C2 Open-burning '!$C$10*'4C2 Open-burning '!$C$11*$C$5*C$15</f>
        <v>8.2609185921783991E-3</v>
      </c>
      <c r="AB117" s="487">
        <f>D117*'4C2 Open-burning '!$C$10*'4C2 Open-burning '!$C$11*$C$5*D$15</f>
        <v>8.6277465607045353E-3</v>
      </c>
      <c r="AC117" s="487">
        <f>E117*'4C2 Open-burning '!$C$10*'4C2 Open-burning '!$C$11*$C$5*E$15</f>
        <v>5.3021238840993933E-3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2.072948274947253E-2</v>
      </c>
      <c r="AH117" s="488">
        <f t="shared" si="10"/>
        <v>4.2920271786454856E-2</v>
      </c>
      <c r="AI117" s="1387"/>
      <c r="AJ117" s="1386"/>
      <c r="AK117" s="1387"/>
    </row>
    <row r="118" spans="1:37">
      <c r="A118" s="489">
        <f>'Input data'!A147</f>
        <v>2047</v>
      </c>
      <c r="B118" s="122">
        <f>'Recycling - Case 1'!AP127</f>
        <v>4.0666662692833949E-2</v>
      </c>
      <c r="C118" s="527">
        <f>$B118*'Recycling - Case 1'!BM127*'Recycling - Case 1'!$AK127</f>
        <v>213.16812372194255</v>
      </c>
      <c r="D118" s="528">
        <f>$B118*'Recycling - Case 1'!BN127*'Recycling - Case 1'!$AK127</f>
        <v>222.63390272786148</v>
      </c>
      <c r="E118" s="528">
        <f>$B118*'Recycling - Case 1'!BO127*'Recycling - Case 1'!$AK127</f>
        <v>60.808077482376035</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237.73869127797866</v>
      </c>
      <c r="J118" s="744">
        <f t="shared" si="11"/>
        <v>734.34879521015876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0.32122718243149895</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8.1905733919089201</v>
      </c>
      <c r="R118" s="1378">
        <f t="shared" si="8"/>
        <v>8.5118005743404197</v>
      </c>
      <c r="S118" s="485">
        <f>C118*'4C2 Open-burning '!$C$9*'4C2 Open-burning '!$C$11*$C$5</f>
        <v>0.83135568251557601</v>
      </c>
      <c r="T118" s="485">
        <f>D118*'4C2 Open-burning '!$C$9*'4C2 Open-burning '!$C$11*$C$5</f>
        <v>0.86827222063865983</v>
      </c>
      <c r="U118" s="485">
        <f>E118*'4C2 Open-burning '!$C$9*'4C2 Open-burning '!$C$11*$C$5</f>
        <v>0.23715150218126649</v>
      </c>
      <c r="V118" s="485">
        <f>F118*'4C2 Open-burning '!$C$9*'4C2 Open-burning '!$C$11*$C$5</f>
        <v>0</v>
      </c>
      <c r="W118" s="485">
        <f>G118*'4C2 Open-burning '!$C$9*'4C2 Open-burning '!$C$11*$C$5</f>
        <v>0</v>
      </c>
      <c r="X118" s="485">
        <f>H118*'4C2 Open-burning '!$C$9*'4C2 Open-burning '!$C$11*$C$5</f>
        <v>0</v>
      </c>
      <c r="Y118" s="485">
        <f>I118*'4C2 Open-burning '!$C$9*'4C2 Open-burning '!$C$11*$C$5</f>
        <v>0.92718089598411668</v>
      </c>
      <c r="Z118" s="486">
        <f t="shared" si="9"/>
        <v>2.8639603013196191</v>
      </c>
      <c r="AA118" s="487">
        <f>C118*'4C2 Open-burning '!$C$10*'4C2 Open-burning '!$C$11*$C$5*C$15</f>
        <v>7.6740524539899314E-3</v>
      </c>
      <c r="AB118" s="487">
        <f>D118*'4C2 Open-burning '!$C$10*'4C2 Open-burning '!$C$11*$C$5*D$15</f>
        <v>8.0148204982030107E-3</v>
      </c>
      <c r="AC118" s="487">
        <f>E118*'4C2 Open-burning '!$C$10*'4C2 Open-burning '!$C$11*$C$5*E$15</f>
        <v>4.9254542760724584E-3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1.925683399351627E-2</v>
      </c>
      <c r="AH118" s="488">
        <f t="shared" si="10"/>
        <v>3.9871161221781672E-2</v>
      </c>
      <c r="AI118" s="1387"/>
      <c r="AJ118" s="1386"/>
      <c r="AK118" s="1387"/>
    </row>
    <row r="119" spans="1:37">
      <c r="A119" s="489">
        <f>'Input data'!A148</f>
        <v>2048</v>
      </c>
      <c r="B119" s="122">
        <f>'Recycling - Case 1'!AP128</f>
        <v>4.0518007988288356E-2</v>
      </c>
      <c r="C119" s="527">
        <f>$B119*'Recycling - Case 1'!BM128*'Recycling - Case 1'!$AK128</f>
        <v>212.89026774114262</v>
      </c>
      <c r="D119" s="528">
        <f>$B119*'Recycling - Case 1'!BN128*'Recycling - Case 1'!$AK128</f>
        <v>222.34370848905283</v>
      </c>
      <c r="E119" s="528">
        <f>$B119*'Recycling - Case 1'!BO128*'Recycling - Case 1'!$AK128</f>
        <v>60.728816626135348</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237.42880856153045</v>
      </c>
      <c r="J119" s="744">
        <f t="shared" si="11"/>
        <v>733.39160141786124</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0.32080847586188765</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8.1798973125618453</v>
      </c>
      <c r="R119" s="1378">
        <f t="shared" si="8"/>
        <v>8.5007057884237334</v>
      </c>
      <c r="S119" s="485">
        <f>C119*'4C2 Open-burning '!$C$9*'4C2 Open-burning '!$C$11*$C$5</f>
        <v>0.83027204419045619</v>
      </c>
      <c r="T119" s="485">
        <f>D119*'4C2 Open-burning '!$C$9*'4C2 Open-burning '!$C$11*$C$5</f>
        <v>0.86714046310730597</v>
      </c>
      <c r="U119" s="485">
        <f>E119*'4C2 Open-burning '!$C$9*'4C2 Open-burning '!$C$11*$C$5</f>
        <v>0.23684238484192785</v>
      </c>
      <c r="V119" s="485">
        <f>F119*'4C2 Open-burning '!$C$9*'4C2 Open-burning '!$C$11*$C$5</f>
        <v>0</v>
      </c>
      <c r="W119" s="485">
        <f>G119*'4C2 Open-burning '!$C$9*'4C2 Open-burning '!$C$11*$C$5</f>
        <v>0</v>
      </c>
      <c r="X119" s="485">
        <f>H119*'4C2 Open-burning '!$C$9*'4C2 Open-burning '!$C$11*$C$5</f>
        <v>0</v>
      </c>
      <c r="Y119" s="485">
        <f>I119*'4C2 Open-burning '!$C$9*'4C2 Open-burning '!$C$11*$C$5</f>
        <v>0.92597235338996864</v>
      </c>
      <c r="Z119" s="486">
        <f t="shared" si="9"/>
        <v>2.8602272455296589</v>
      </c>
      <c r="AA119" s="487">
        <f>C119*'4C2 Open-burning '!$C$10*'4C2 Open-burning '!$C$11*$C$5*C$15</f>
        <v>7.6640496386811341E-3</v>
      </c>
      <c r="AB119" s="487">
        <f>D119*'4C2 Open-burning '!$C$10*'4C2 Open-burning '!$C$11*$C$5*D$15</f>
        <v>8.0043735056058996E-3</v>
      </c>
      <c r="AC119" s="487">
        <f>E119*'4C2 Open-burning '!$C$10*'4C2 Open-burning '!$C$11*$C$5*E$15</f>
        <v>4.9190341467169633E-3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1.9231733493483966E-2</v>
      </c>
      <c r="AH119" s="488">
        <f t="shared" si="10"/>
        <v>3.9819190784487965E-2</v>
      </c>
      <c r="AI119" s="1387"/>
      <c r="AJ119" s="1386"/>
      <c r="AK119" s="1387"/>
    </row>
    <row r="120" spans="1:37">
      <c r="A120" s="489">
        <f>'Input data'!A149</f>
        <v>2049</v>
      </c>
      <c r="B120" s="122">
        <f>'Recycling - Case 1'!AP129</f>
        <v>4.0376504275680729E-2</v>
      </c>
      <c r="C120" s="527">
        <f>$B120*'Recycling - Case 1'!BM129*'Recycling - Case 1'!$AK129</f>
        <v>212.62671091862376</v>
      </c>
      <c r="D120" s="528">
        <f>$B120*'Recycling - Case 1'!BN129*'Recycling - Case 1'!$AK129</f>
        <v>222.06844836590014</v>
      </c>
      <c r="E120" s="528">
        <f>$B120*'Recycling - Case 1'!BO129*'Recycling - Case 1'!$AK129</f>
        <v>60.653634730245315</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237.13487317865514</v>
      </c>
      <c r="J120" s="744">
        <f t="shared" si="11"/>
        <v>732.48366719342437</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0.32041131697138309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8.1697706507510262</v>
      </c>
      <c r="R120" s="1378">
        <f t="shared" si="8"/>
        <v>8.4901819677224086</v>
      </c>
      <c r="S120" s="485">
        <f>C120*'4C2 Open-burning '!$C$9*'4C2 Open-burning '!$C$11*$C$5</f>
        <v>0.82924417258263261</v>
      </c>
      <c r="T120" s="485">
        <f>D120*'4C2 Open-burning '!$C$9*'4C2 Open-burning '!$C$11*$C$5</f>
        <v>0.86606694862701039</v>
      </c>
      <c r="U120" s="485">
        <f>E120*'4C2 Open-burning '!$C$9*'4C2 Open-burning '!$C$11*$C$5</f>
        <v>0.2365491754479567</v>
      </c>
      <c r="V120" s="485">
        <f>F120*'4C2 Open-burning '!$C$9*'4C2 Open-burning '!$C$11*$C$5</f>
        <v>0</v>
      </c>
      <c r="W120" s="485">
        <f>G120*'4C2 Open-burning '!$C$9*'4C2 Open-burning '!$C$11*$C$5</f>
        <v>0</v>
      </c>
      <c r="X120" s="485">
        <f>H120*'4C2 Open-burning '!$C$9*'4C2 Open-burning '!$C$11*$C$5</f>
        <v>0</v>
      </c>
      <c r="Y120" s="485">
        <f>I120*'4C2 Open-burning '!$C$9*'4C2 Open-burning '!$C$11*$C$5</f>
        <v>0.92482600539675497</v>
      </c>
      <c r="Z120" s="486">
        <f t="shared" si="9"/>
        <v>2.8566863020543547</v>
      </c>
      <c r="AA120" s="487">
        <f>C120*'4C2 Open-burning '!$C$10*'4C2 Open-burning '!$C$11*$C$5*C$15</f>
        <v>7.6545615930704554E-3</v>
      </c>
      <c r="AB120" s="487">
        <f>D120*'4C2 Open-burning '!$C$10*'4C2 Open-burning '!$C$11*$C$5*D$15</f>
        <v>7.9944641411724051E-3</v>
      </c>
      <c r="AC120" s="487">
        <f>E120*'4C2 Open-burning '!$C$10*'4C2 Open-burning '!$C$11*$C$5*E$15</f>
        <v>4.91294441314987E-3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1.9207924727471064E-2</v>
      </c>
      <c r="AH120" s="488">
        <f t="shared" si="10"/>
        <v>3.9769894874863793E-2</v>
      </c>
      <c r="AI120" s="1387"/>
      <c r="AJ120" s="1386"/>
      <c r="AK120" s="1387"/>
    </row>
    <row r="121" spans="1:37" ht="15.75" thickBot="1">
      <c r="A121" s="489">
        <f>'Input data'!A150</f>
        <v>2050</v>
      </c>
      <c r="B121" s="628">
        <f>'Recycling - Case 1'!AP130</f>
        <v>4.0242073422446983E-2</v>
      </c>
      <c r="C121" s="670">
        <f>$B121*'Recycling - Case 1'!BM130*'Recycling - Case 1'!$AK130</f>
        <v>212.37717087659283</v>
      </c>
      <c r="D121" s="667">
        <f>$B121*'Recycling - Case 1'!BN130*'Recycling - Case 1'!$AK130</f>
        <v>221.80782744156025</v>
      </c>
      <c r="E121" s="667">
        <f>$B121*'Recycling - Case 1'!BO130*'Recycling - Case 1'!$AK130</f>
        <v>60.582451243963085</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236.85657020362279</v>
      </c>
      <c r="J121" s="936">
        <f t="shared" si="11"/>
        <v>731.62401976573892</v>
      </c>
      <c r="K121" s="1370">
        <f>'4C2 Open-burning '!C$14*'4C2 Open-burning '!$C$5*'4C2 Open-burning '!$C$6*'4C2 Open-burning '!$C$7*C121</f>
        <v>0</v>
      </c>
      <c r="L121" s="1370">
        <f>'4C2 Open-burning '!D$14*'4C2 Open-burning '!$C$5*'4C2 Open-burning '!$C$6*'4C2 Open-burning '!$C$7*D121</f>
        <v>0</v>
      </c>
      <c r="M121" s="1370">
        <f>'4C2 Open-burning '!E$14*'4C2 Open-burning '!$C$5*'4C2 Open-burning '!$C$6*'4C2 Open-burning '!$C$7*E121</f>
        <v>0.32003528023940914</v>
      </c>
      <c r="N121" s="1370">
        <f>'4C2 Open-burning '!F$14*'4C2 Open-burning '!$C$5*'4C2 Open-burning '!$C$6*'4C2 Open-burning '!$C$7*F121</f>
        <v>0</v>
      </c>
      <c r="O121" s="1370">
        <f>'4C2 Open-burning '!G$14*'4C2 Open-burning '!$C$5*'4C2 Open-burning '!$C$6*'4C2 Open-burning '!$C$7*G121</f>
        <v>0</v>
      </c>
      <c r="P121" s="1370">
        <f>'4C2 Open-burning '!H$14*'4C2 Open-burning '!$C$5*'4C2 Open-burning '!$C$6*'4C2 Open-burning '!$C$7*H121</f>
        <v>0</v>
      </c>
      <c r="Q121" s="1370">
        <f>'4C2 Open-burning '!I$14*'4C2 Open-burning '!$C$5*'4C2 Open-burning '!$C$6*'4C2 Open-burning '!$C$7*I121</f>
        <v>8.1601825566552115</v>
      </c>
      <c r="R121" s="1379">
        <f t="shared" si="8"/>
        <v>8.4802178368946208</v>
      </c>
      <c r="S121" s="485">
        <f>C121*'4C2 Open-burning '!$C$9*'4C2 Open-burning '!$C$11*$C$5</f>
        <v>0.8282709664187119</v>
      </c>
      <c r="T121" s="485">
        <f>D121*'4C2 Open-burning '!$C$9*'4C2 Open-burning '!$C$11*$C$5</f>
        <v>0.86505052702208496</v>
      </c>
      <c r="U121" s="485">
        <f>E121*'4C2 Open-burning '!$C$9*'4C2 Open-burning '!$C$11*$C$5</f>
        <v>0.23627155985145601</v>
      </c>
      <c r="V121" s="485">
        <f>F121*'4C2 Open-burning '!$C$9*'4C2 Open-burning '!$C$11*$C$5</f>
        <v>0</v>
      </c>
      <c r="W121" s="485">
        <f>G121*'4C2 Open-burning '!$C$9*'4C2 Open-burning '!$C$11*$C$5</f>
        <v>0</v>
      </c>
      <c r="X121" s="485">
        <f>H121*'4C2 Open-burning '!$C$9*'4C2 Open-burning '!$C$11*$C$5</f>
        <v>0</v>
      </c>
      <c r="Y121" s="485">
        <f>I121*'4C2 Open-burning '!$C$9*'4C2 Open-burning '!$C$11*$C$5</f>
        <v>0.92374062379412891</v>
      </c>
      <c r="Z121" s="486">
        <f t="shared" si="9"/>
        <v>2.8533336770863817</v>
      </c>
      <c r="AA121" s="487">
        <f>C121*'4C2 Open-burning '!$C$10*'4C2 Open-burning '!$C$11*$C$5*C$15</f>
        <v>7.6455781515573406E-3</v>
      </c>
      <c r="AB121" s="487">
        <f>D121*'4C2 Open-burning '!$C$10*'4C2 Open-burning '!$C$11*$C$5*D$15</f>
        <v>7.9850817878961682E-3</v>
      </c>
      <c r="AC121" s="487">
        <f>E121*'4C2 Open-burning '!$C$10*'4C2 Open-burning '!$C$11*$C$5*E$15</f>
        <v>4.9071785507610096E-3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1.9185382186493443E-2</v>
      </c>
      <c r="AH121" s="493">
        <f t="shared" si="10"/>
        <v>3.9723220676707957E-2</v>
      </c>
      <c r="AI121" s="1387"/>
      <c r="AJ121" s="1386"/>
      <c r="AK121" s="1387"/>
    </row>
    <row r="122" spans="1:37" ht="21.75" thickBot="1">
      <c r="A122" s="950" t="s">
        <v>621</v>
      </c>
      <c r="B122" s="797"/>
      <c r="C122" s="528"/>
      <c r="D122" s="938"/>
      <c r="E122" s="938"/>
      <c r="F122" s="938"/>
      <c r="G122" s="938"/>
      <c r="H122" s="938"/>
      <c r="I122" s="938"/>
      <c r="J122" s="939"/>
      <c r="K122" s="1370"/>
      <c r="L122" s="1370"/>
      <c r="M122" s="1370"/>
      <c r="N122" s="1370"/>
      <c r="O122" s="1370"/>
      <c r="P122" s="1370"/>
      <c r="Q122" s="1370"/>
      <c r="R122" s="1371"/>
      <c r="S122" s="944"/>
      <c r="T122" s="944"/>
      <c r="U122" s="944"/>
      <c r="V122" s="944"/>
      <c r="W122" s="944"/>
      <c r="X122" s="944"/>
      <c r="Y122" s="944"/>
      <c r="Z122" s="945"/>
      <c r="AA122" s="946"/>
      <c r="AB122" s="946"/>
      <c r="AC122" s="946"/>
      <c r="AD122" s="946"/>
      <c r="AE122" s="946"/>
      <c r="AF122" s="946"/>
      <c r="AG122" s="946"/>
      <c r="AH122" s="947"/>
      <c r="AI122" s="1387"/>
      <c r="AJ122" s="1386"/>
      <c r="AK122" s="1387"/>
    </row>
    <row r="123" spans="1:37">
      <c r="A123" s="157">
        <f>'Input data'!A118</f>
        <v>2018</v>
      </c>
      <c r="B123" s="417">
        <f>'Recycling - Case 2'!AP98</f>
        <v>0.11929747585785701</v>
      </c>
      <c r="C123" s="956">
        <f>'Recycling - Case 2'!$AK98*'Recycling - Case 2'!BM98*'4C2 Open-burning '!$B123</f>
        <v>824.36909931569244</v>
      </c>
      <c r="D123" s="957">
        <f>'Recycling - Case 2'!$AK98*'Recycling - Case 2'!BN98*'4C2 Open-burning '!$B123</f>
        <v>860.97539662311488</v>
      </c>
      <c r="E123" s="957">
        <f>'Recycling - Case 2'!$AK98*'Recycling - Case 2'!BO98*'4C2 Open-burning '!$B123</f>
        <v>235.15851802801794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919.38901266946345</v>
      </c>
      <c r="J123" s="958">
        <f>SUM(C123:I123)</f>
        <v>2839.8920266362884</v>
      </c>
      <c r="K123" s="1380">
        <f>'4C2 Open-burning '!C$14*'4C2 Open-burning '!$C$5*'4C2 Open-burning '!$C$6*'4C2 Open-burning '!$C$7*C123</f>
        <v>0</v>
      </c>
      <c r="L123" s="1380">
        <f>'4C2 Open-burning '!D$14*'4C2 Open-burning '!$C$5*'4C2 Open-burning '!$C$6*'4C2 Open-burning '!$C$7*D123</f>
        <v>0</v>
      </c>
      <c r="M123" s="1380">
        <f>'4C2 Open-burning '!E$14*'4C2 Open-burning '!$C$5*'4C2 Open-burning '!$C$6*'4C2 Open-burning '!$C$7*E123</f>
        <v>1.2422577936755286</v>
      </c>
      <c r="N123" s="1380">
        <f>'4C2 Open-burning '!F$14*'4C2 Open-burning '!$C$5*'4C2 Open-burning '!$C$6*'4C2 Open-burning '!$C$7*F123</f>
        <v>0</v>
      </c>
      <c r="O123" s="1380">
        <f>'4C2 Open-burning '!G$14*'4C2 Open-burning '!$C$5*'4C2 Open-burning '!$C$6*'4C2 Open-burning '!$C$7*G123</f>
        <v>0</v>
      </c>
      <c r="P123" s="1380">
        <f>'4C2 Open-burning '!H$14*'4C2 Open-burning '!$C$5*'4C2 Open-burning '!$C$6*'4C2 Open-burning '!$C$7*H123</f>
        <v>0</v>
      </c>
      <c r="Q123" s="1380">
        <f>'4C2 Open-burning '!I$14*'4C2 Open-burning '!$C$5*'4C2 Open-burning '!$C$6*'4C2 Open-burning '!$C$7*I123</f>
        <v>31.674790264488351</v>
      </c>
      <c r="R123" s="1381">
        <f t="shared" si="8"/>
        <v>32.917048058163878</v>
      </c>
      <c r="S123" s="485">
        <f>C123*'4C2 Open-burning '!$C$9*'4C2 Open-burning '!$C$11*$C$5</f>
        <v>3.2150394873312007</v>
      </c>
      <c r="T123" s="485">
        <f>D123*'4C2 Open-burning '!$C$9*'4C2 Open-burning '!$C$11*$C$5</f>
        <v>3.3578040468301475</v>
      </c>
      <c r="U123" s="485">
        <f>E123*'4C2 Open-burning '!$C$9*'4C2 Open-burning '!$C$11*$C$5</f>
        <v>0.91711822030926982</v>
      </c>
      <c r="V123" s="485">
        <f>F123*'4C2 Open-burning '!$C$9*'4C2 Open-burning '!$C$11*$C$5</f>
        <v>0</v>
      </c>
      <c r="W123" s="485">
        <f>G123*'4C2 Open-burning '!$C$9*'4C2 Open-burning '!$C$11*$C$5</f>
        <v>0</v>
      </c>
      <c r="X123" s="485">
        <f>H123*'4C2 Open-burning '!$C$9*'4C2 Open-burning '!$C$11*$C$5</f>
        <v>0</v>
      </c>
      <c r="Y123" s="485">
        <f>I123*'4C2 Open-burning '!$C$9*'4C2 Open-burning '!$C$11*$C$5</f>
        <v>3.5856171494109073</v>
      </c>
      <c r="Z123" s="486">
        <f t="shared" si="9"/>
        <v>11.075578903881526</v>
      </c>
      <c r="AA123" s="487">
        <f>C123*'4C2 Open-burning '!$C$10*'4C2 Open-burning '!$C$11*$C$5*C$15</f>
        <v>2.9677287575364926E-2</v>
      </c>
      <c r="AB123" s="487">
        <f>D123*'4C2 Open-burning '!$C$10*'4C2 Open-burning '!$C$11*$C$5*D$15</f>
        <v>3.0995114278432136E-2</v>
      </c>
      <c r="AC123" s="487">
        <f>E123*'4C2 Open-burning '!$C$10*'4C2 Open-burning '!$C$11*$C$5*E$15</f>
        <v>1.9047839960269455E-2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7.4470510026226525E-2</v>
      </c>
      <c r="AH123" s="937">
        <f t="shared" si="10"/>
        <v>0.15419075184029304</v>
      </c>
      <c r="AI123" s="1387"/>
      <c r="AJ123" s="1386"/>
      <c r="AK123" s="1387"/>
    </row>
    <row r="124" spans="1:37">
      <c r="A124" s="157">
        <f>'Input data'!A119</f>
        <v>2019</v>
      </c>
      <c r="B124" s="417">
        <f>'Recycling - Case 2'!AP99</f>
        <v>0.11764988013805638</v>
      </c>
      <c r="C124" s="527">
        <f>'Recycling - Case 2'!$AK99*'Recycling - Case 2'!BM99*'4C2 Open-burning '!$B124</f>
        <v>809.92524865024029</v>
      </c>
      <c r="D124" s="528">
        <f>'Recycling - Case 2'!$AK99*'Recycling - Case 2'!BN99*'4C2 Open-burning '!$B124</f>
        <v>845.8901634844932</v>
      </c>
      <c r="E124" s="528">
        <f>'Recycling - Case 2'!$AK99*'Recycling - Case 2'!BO99*'4C2 Open-burning '!$B124</f>
        <v>231.03828290527346</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903.28030891834203</v>
      </c>
      <c r="J124" s="744">
        <f t="shared" ref="J124:J155" si="12">SUM(C124:I124)</f>
        <v>2790.1340039583488</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1.2204920748067138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31.119813202854715</v>
      </c>
      <c r="R124" s="1382">
        <f t="shared" si="8"/>
        <v>32.340305277661429</v>
      </c>
      <c r="S124" s="485">
        <f>C124*'4C2 Open-burning '!$C$9*'4C2 Open-burning '!$C$11*$C$5</f>
        <v>3.1587084697359371</v>
      </c>
      <c r="T124" s="485">
        <f>D124*'4C2 Open-burning '!$C$9*'4C2 Open-burning '!$C$11*$C$5</f>
        <v>3.2989716375895237</v>
      </c>
      <c r="U124" s="485">
        <f>E124*'4C2 Open-burning '!$C$9*'4C2 Open-burning '!$C$11*$C$5</f>
        <v>0.90104930333056643</v>
      </c>
      <c r="V124" s="485">
        <f>F124*'4C2 Open-burning '!$C$9*'4C2 Open-burning '!$C$11*$C$5</f>
        <v>0</v>
      </c>
      <c r="W124" s="485">
        <f>G124*'4C2 Open-burning '!$C$9*'4C2 Open-burning '!$C$11*$C$5</f>
        <v>0</v>
      </c>
      <c r="X124" s="485">
        <f>H124*'4C2 Open-burning '!$C$9*'4C2 Open-burning '!$C$11*$C$5</f>
        <v>0</v>
      </c>
      <c r="Y124" s="485">
        <f>I124*'4C2 Open-burning '!$C$9*'4C2 Open-burning '!$C$11*$C$5</f>
        <v>3.5227932047815336</v>
      </c>
      <c r="Z124" s="486">
        <f t="shared" si="9"/>
        <v>10.881522615437561</v>
      </c>
      <c r="AA124" s="487">
        <f>C124*'4C2 Open-burning '!$C$10*'4C2 Open-burning '!$C$11*$C$5*C$15</f>
        <v>2.9157308951408653E-2</v>
      </c>
      <c r="AB124" s="487">
        <f>D124*'4C2 Open-burning '!$C$10*'4C2 Open-burning '!$C$11*$C$5*D$15</f>
        <v>3.0452045885441755E-2</v>
      </c>
      <c r="AC124" s="487">
        <f>E124*'4C2 Open-burning '!$C$10*'4C2 Open-burning '!$C$11*$C$5*E$15</f>
        <v>1.8714100915327148E-2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7.3165705022385688E-2</v>
      </c>
      <c r="AH124" s="488">
        <f t="shared" si="10"/>
        <v>0.15148916077456326</v>
      </c>
      <c r="AI124" s="1387"/>
      <c r="AJ124" s="1386"/>
      <c r="AK124" s="1387"/>
    </row>
    <row r="125" spans="1:37">
      <c r="A125" s="157">
        <f>'Input data'!A120</f>
        <v>2020</v>
      </c>
      <c r="B125" s="417">
        <f>'Recycling - Case 2'!AP100</f>
        <v>0.11516499941226198</v>
      </c>
      <c r="C125" s="527">
        <f>'Recycling - Case 2'!$AK100*'Recycling - Case 2'!BM100*'4C2 Open-burning '!$B125</f>
        <v>788.11293543078432</v>
      </c>
      <c r="D125" s="528">
        <f>'Recycling - Case 2'!$AK100*'Recycling - Case 2'!BN100*'4C2 Open-burning '!$B125</f>
        <v>823.10926953665137</v>
      </c>
      <c r="E125" s="528">
        <f>'Recycling - Case 2'!$AK100*'Recycling - Case 2'!BO100*'4C2 Open-burning '!$B125</f>
        <v>224.81612919317038</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878.95382563370708</v>
      </c>
      <c r="J125" s="744">
        <f t="shared" si="12"/>
        <v>2714.992159794313</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1.1876226767210096</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30.281717200732473</v>
      </c>
      <c r="R125" s="1382">
        <f t="shared" si="8"/>
        <v>31.469339877453482</v>
      </c>
      <c r="S125" s="485">
        <f>C125*'4C2 Open-burning '!$C$9*'4C2 Open-burning '!$C$11*$C$5</f>
        <v>3.073640448180059</v>
      </c>
      <c r="T125" s="485">
        <f>D125*'4C2 Open-burning '!$C$9*'4C2 Open-burning '!$C$11*$C$5</f>
        <v>3.2101261511929402</v>
      </c>
      <c r="U125" s="485">
        <f>E125*'4C2 Open-burning '!$C$9*'4C2 Open-burning '!$C$11*$C$5</f>
        <v>0.87678290385336444</v>
      </c>
      <c r="V125" s="485">
        <f>F125*'4C2 Open-burning '!$C$9*'4C2 Open-burning '!$C$11*$C$5</f>
        <v>0</v>
      </c>
      <c r="W125" s="485">
        <f>G125*'4C2 Open-burning '!$C$9*'4C2 Open-burning '!$C$11*$C$5</f>
        <v>0</v>
      </c>
      <c r="X125" s="485">
        <f>H125*'4C2 Open-burning '!$C$9*'4C2 Open-burning '!$C$11*$C$5</f>
        <v>0</v>
      </c>
      <c r="Y125" s="485">
        <f>I125*'4C2 Open-burning '!$C$9*'4C2 Open-burning '!$C$11*$C$5</f>
        <v>3.4279199199714574</v>
      </c>
      <c r="Z125" s="486">
        <f t="shared" si="9"/>
        <v>10.588469423197822</v>
      </c>
      <c r="AA125" s="487">
        <f>C125*'4C2 Open-burning '!$C$10*'4C2 Open-burning '!$C$11*$C$5*C$15</f>
        <v>2.8372065675508235E-2</v>
      </c>
      <c r="AB125" s="487">
        <f>D125*'4C2 Open-burning '!$C$10*'4C2 Open-burning '!$C$11*$C$5*D$15</f>
        <v>2.9631933703319447E-2</v>
      </c>
      <c r="AC125" s="487">
        <f>E125*'4C2 Open-burning '!$C$10*'4C2 Open-burning '!$C$11*$C$5*E$15</f>
        <v>1.82101064646468E-2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7.1195259876330269E-2</v>
      </c>
      <c r="AH125" s="488">
        <f t="shared" si="10"/>
        <v>0.14740936571980473</v>
      </c>
      <c r="AI125" s="1387"/>
      <c r="AJ125" s="1386"/>
      <c r="AK125" s="1387"/>
    </row>
    <row r="126" spans="1:37">
      <c r="A126" s="157">
        <f>'Input data'!A121</f>
        <v>2021</v>
      </c>
      <c r="B126" s="417">
        <f>'Recycling - Case 2'!AP101</f>
        <v>0.10852435589189079</v>
      </c>
      <c r="C126" s="527">
        <f>'Recycling - Case 2'!$AK101*'Recycling - Case 2'!BM101*'4C2 Open-burning '!$B126</f>
        <v>724.19703159378423</v>
      </c>
      <c r="D126" s="528">
        <f>'Recycling - Case 2'!$AK101*'Recycling - Case 2'!BN101*'4C2 Open-burning '!$B126</f>
        <v>756.35516545600797</v>
      </c>
      <c r="E126" s="528">
        <f>'Recycling - Case 2'!$AK101*'Recycling - Case 2'!BO101*'4C2 Open-burning '!$B126</f>
        <v>206.58355686942977</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807.67073196685874</v>
      </c>
      <c r="J126" s="744">
        <f t="shared" si="12"/>
        <v>2494.8064858860807</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1.0913065608607244</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27.825872057722215</v>
      </c>
      <c r="R126" s="1382">
        <f t="shared" si="8"/>
        <v>28.917178618582938</v>
      </c>
      <c r="S126" s="485">
        <f>C126*'4C2 Open-burning '!$C$9*'4C2 Open-burning '!$C$11*$C$5</f>
        <v>2.8243684232157582</v>
      </c>
      <c r="T126" s="485">
        <f>D126*'4C2 Open-burning '!$C$9*'4C2 Open-burning '!$C$11*$C$5</f>
        <v>2.9497851452784314</v>
      </c>
      <c r="U126" s="485">
        <f>E126*'4C2 Open-burning '!$C$9*'4C2 Open-burning '!$C$11*$C$5</f>
        <v>0.80567587179077615</v>
      </c>
      <c r="V126" s="485">
        <f>F126*'4C2 Open-burning '!$C$9*'4C2 Open-burning '!$C$11*$C$5</f>
        <v>0</v>
      </c>
      <c r="W126" s="485">
        <f>G126*'4C2 Open-burning '!$C$9*'4C2 Open-burning '!$C$11*$C$5</f>
        <v>0</v>
      </c>
      <c r="X126" s="485">
        <f>H126*'4C2 Open-burning '!$C$9*'4C2 Open-burning '!$C$11*$C$5</f>
        <v>0</v>
      </c>
      <c r="Y126" s="485">
        <f>I126*'4C2 Open-burning '!$C$9*'4C2 Open-burning '!$C$11*$C$5</f>
        <v>3.1499158546707489</v>
      </c>
      <c r="Z126" s="486">
        <f t="shared" si="9"/>
        <v>9.7297452949557144</v>
      </c>
      <c r="AA126" s="487">
        <f>C126*'4C2 Open-burning '!$C$10*'4C2 Open-burning '!$C$11*$C$5*C$15</f>
        <v>2.6071093137376228E-2</v>
      </c>
      <c r="AB126" s="487">
        <f>D126*'4C2 Open-burning '!$C$10*'4C2 Open-burning '!$C$11*$C$5*D$15</f>
        <v>2.7228785956416285E-2</v>
      </c>
      <c r="AC126" s="487">
        <f>E126*'4C2 Open-burning '!$C$10*'4C2 Open-burning '!$C$11*$C$5*E$15</f>
        <v>1.673326810642381E-2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6.5421329289315544E-2</v>
      </c>
      <c r="AH126" s="488">
        <f t="shared" si="10"/>
        <v>0.13545447648953185</v>
      </c>
      <c r="AI126" s="1387"/>
      <c r="AJ126" s="1386"/>
      <c r="AK126" s="1387"/>
    </row>
    <row r="127" spans="1:37">
      <c r="A127" s="157">
        <f>'Input data'!A122</f>
        <v>2022</v>
      </c>
      <c r="B127" s="417">
        <f>'Recycling - Case 2'!AP102</f>
        <v>9.5617380076228706E-2</v>
      </c>
      <c r="C127" s="527">
        <f>'Recycling - Case 2'!$AK102*'Recycling - Case 2'!BM102*'4C2 Open-burning '!$B127</f>
        <v>602.43508286264455</v>
      </c>
      <c r="D127" s="528">
        <f>'Recycling - Case 2'!$AK102*'Recycling - Case 2'!BN102*'4C2 Open-burning '!$B127</f>
        <v>629.18634970415724</v>
      </c>
      <c r="E127" s="528">
        <f>'Recycling - Case 2'!$AK102*'Recycling - Case 2'!BO102*'4C2 Open-burning '!$B127</f>
        <v>171.84989273817254</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671.87403857119534</v>
      </c>
      <c r="J127" s="744">
        <f t="shared" si="12"/>
        <v>2075.3453638761694</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0.90782111737437976</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23.147404376854819</v>
      </c>
      <c r="R127" s="1382">
        <f t="shared" si="8"/>
        <v>24.055225494229198</v>
      </c>
      <c r="S127" s="485">
        <f>C127*'4C2 Open-burning '!$C$9*'4C2 Open-burning '!$C$11*$C$5</f>
        <v>2.3494968231643134</v>
      </c>
      <c r="T127" s="485">
        <f>D127*'4C2 Open-burning '!$C$9*'4C2 Open-burning '!$C$11*$C$5</f>
        <v>2.4538267638462128</v>
      </c>
      <c r="U127" s="485">
        <f>E127*'4C2 Open-burning '!$C$9*'4C2 Open-burning '!$C$11*$C$5</f>
        <v>0.67021458167887282</v>
      </c>
      <c r="V127" s="485">
        <f>F127*'4C2 Open-burning '!$C$9*'4C2 Open-burning '!$C$11*$C$5</f>
        <v>0</v>
      </c>
      <c r="W127" s="485">
        <f>G127*'4C2 Open-burning '!$C$9*'4C2 Open-burning '!$C$11*$C$5</f>
        <v>0</v>
      </c>
      <c r="X127" s="485">
        <f>H127*'4C2 Open-burning '!$C$9*'4C2 Open-burning '!$C$11*$C$5</f>
        <v>0</v>
      </c>
      <c r="Y127" s="485">
        <f>I127*'4C2 Open-burning '!$C$9*'4C2 Open-burning '!$C$11*$C$5</f>
        <v>2.6203087504276619</v>
      </c>
      <c r="Z127" s="486">
        <f t="shared" si="9"/>
        <v>8.0938469191170608</v>
      </c>
      <c r="AA127" s="487">
        <f>C127*'4C2 Open-burning '!$C$10*'4C2 Open-burning '!$C$11*$C$5*C$15</f>
        <v>2.1687662983055203E-2</v>
      </c>
      <c r="AB127" s="487">
        <f>D127*'4C2 Open-burning '!$C$10*'4C2 Open-burning '!$C$11*$C$5*D$15</f>
        <v>2.2650708589349658E-2</v>
      </c>
      <c r="AC127" s="487">
        <f>E127*'4C2 Open-burning '!$C$10*'4C2 Open-burning '!$C$11*$C$5*E$15</f>
        <v>1.3919841311791975E-2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5.4421797124266813E-2</v>
      </c>
      <c r="AH127" s="488">
        <f t="shared" si="10"/>
        <v>0.11268001000846364</v>
      </c>
      <c r="AI127" s="1387"/>
      <c r="AJ127" s="1386"/>
      <c r="AK127" s="1387"/>
    </row>
    <row r="128" spans="1:37">
      <c r="A128" s="157">
        <f>'Input data'!A123</f>
        <v>2023</v>
      </c>
      <c r="B128" s="417">
        <f>'Recycling - Case 2'!AP103</f>
        <v>9.1714454815048363E-2</v>
      </c>
      <c r="C128" s="527">
        <f>'Recycling - Case 2'!$AK103*'Recycling - Case 2'!BM103*'4C2 Open-burning '!$B128</f>
        <v>571.34372724729792</v>
      </c>
      <c r="D128" s="528">
        <f>'Recycling - Case 2'!$AK103*'Recycling - Case 2'!BN103*'4C2 Open-burning '!$B128</f>
        <v>596.71437537288477</v>
      </c>
      <c r="E128" s="528">
        <f>'Recycling - Case 2'!$AK103*'Recycling - Case 2'!BO103*'4C2 Open-burning '!$B128</f>
        <v>162.98081077469746</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637.19897522217229</v>
      </c>
      <c r="J128" s="744">
        <f t="shared" si="12"/>
        <v>1968.2378886170522</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0.86096895023084774</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21.952779094354277</v>
      </c>
      <c r="R128" s="1382">
        <f t="shared" si="8"/>
        <v>22.813748044585125</v>
      </c>
      <c r="S128" s="485">
        <f>C128*'4C2 Open-burning '!$C$9*'4C2 Open-burning '!$C$11*$C$5</f>
        <v>2.2282405362644617</v>
      </c>
      <c r="T128" s="485">
        <f>D128*'4C2 Open-burning '!$C$9*'4C2 Open-burning '!$C$11*$C$5</f>
        <v>2.3271860639542505</v>
      </c>
      <c r="U128" s="485">
        <f>E128*'4C2 Open-burning '!$C$9*'4C2 Open-burning '!$C$11*$C$5</f>
        <v>0.63562516202132002</v>
      </c>
      <c r="V128" s="485">
        <f>F128*'4C2 Open-burning '!$C$9*'4C2 Open-burning '!$C$11*$C$5</f>
        <v>0</v>
      </c>
      <c r="W128" s="485">
        <f>G128*'4C2 Open-burning '!$C$9*'4C2 Open-burning '!$C$11*$C$5</f>
        <v>0</v>
      </c>
      <c r="X128" s="485">
        <f>H128*'4C2 Open-burning '!$C$9*'4C2 Open-burning '!$C$11*$C$5</f>
        <v>0</v>
      </c>
      <c r="Y128" s="485">
        <f>I128*'4C2 Open-burning '!$C$9*'4C2 Open-burning '!$C$11*$C$5</f>
        <v>2.4850760033664718</v>
      </c>
      <c r="Z128" s="486">
        <f t="shared" si="9"/>
        <v>7.6761277656065046</v>
      </c>
      <c r="AA128" s="487">
        <f>C128*'4C2 Open-burning '!$C$10*'4C2 Open-burning '!$C$11*$C$5*C$15</f>
        <v>2.0568374180902724E-2</v>
      </c>
      <c r="AB128" s="487">
        <f>D128*'4C2 Open-burning '!$C$10*'4C2 Open-burning '!$C$11*$C$5*D$15</f>
        <v>2.1481717513423853E-2</v>
      </c>
      <c r="AC128" s="487">
        <f>E128*'4C2 Open-burning '!$C$10*'4C2 Open-burning '!$C$11*$C$5*E$15</f>
        <v>1.3201445672750493E-2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5.1613116992995943E-2</v>
      </c>
      <c r="AH128" s="488">
        <f t="shared" si="10"/>
        <v>0.10686465436007302</v>
      </c>
      <c r="AI128" s="1387"/>
      <c r="AJ128" s="1386"/>
      <c r="AK128" s="1387"/>
    </row>
    <row r="129" spans="1:37">
      <c r="A129" s="157">
        <f>'Input data'!A124</f>
        <v>2024</v>
      </c>
      <c r="B129" s="417">
        <f>'Recycling - Case 2'!AP104</f>
        <v>8.7648330767794269E-2</v>
      </c>
      <c r="C129" s="527">
        <f>'Recycling - Case 2'!$AK104*'Recycling - Case 2'!BM104*'4C2 Open-burning '!$B129</f>
        <v>539.78151707393977</v>
      </c>
      <c r="D129" s="528">
        <f>'Recycling - Case 2'!$AK104*'Recycling - Case 2'!BN104*'4C2 Open-burning '!$B129</f>
        <v>563.75063807988522</v>
      </c>
      <c r="E129" s="528">
        <f>'Recycling - Case 2'!$AK104*'Recycling - Case 2'!BO104*'4C2 Open-burning '!$B129</f>
        <v>153.97741341759513</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601.99878483046825</v>
      </c>
      <c r="J129" s="744">
        <f t="shared" si="12"/>
        <v>1859.5083534018881</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0.81340724321632474</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20.74006213497929</v>
      </c>
      <c r="R129" s="1382">
        <f t="shared" si="8"/>
        <v>21.553469378195615</v>
      </c>
      <c r="S129" s="485">
        <f>C129*'4C2 Open-burning '!$C$9*'4C2 Open-burning '!$C$11*$C$5</f>
        <v>2.1051479165883649</v>
      </c>
      <c r="T129" s="485">
        <f>D129*'4C2 Open-burning '!$C$9*'4C2 Open-burning '!$C$11*$C$5</f>
        <v>2.1986274885115522</v>
      </c>
      <c r="U129" s="485">
        <f>E129*'4C2 Open-burning '!$C$9*'4C2 Open-burning '!$C$11*$C$5</f>
        <v>0.60051191232862089</v>
      </c>
      <c r="V129" s="485">
        <f>F129*'4C2 Open-burning '!$C$9*'4C2 Open-burning '!$C$11*$C$5</f>
        <v>0</v>
      </c>
      <c r="W129" s="485">
        <f>G129*'4C2 Open-burning '!$C$9*'4C2 Open-burning '!$C$11*$C$5</f>
        <v>0</v>
      </c>
      <c r="X129" s="485">
        <f>H129*'4C2 Open-burning '!$C$9*'4C2 Open-burning '!$C$11*$C$5</f>
        <v>0</v>
      </c>
      <c r="Y129" s="485">
        <f>I129*'4C2 Open-burning '!$C$9*'4C2 Open-burning '!$C$11*$C$5</f>
        <v>2.3477952608388262</v>
      </c>
      <c r="Z129" s="486">
        <f t="shared" si="9"/>
        <v>7.2520825782673644</v>
      </c>
      <c r="AA129" s="487">
        <f>C129*'4C2 Open-burning '!$C$10*'4C2 Open-burning '!$C$11*$C$5*C$15</f>
        <v>1.9432134614661832E-2</v>
      </c>
      <c r="AB129" s="487">
        <f>D129*'4C2 Open-burning '!$C$10*'4C2 Open-burning '!$C$11*$C$5*D$15</f>
        <v>2.0295022970875869E-2</v>
      </c>
      <c r="AC129" s="487">
        <f>E129*'4C2 Open-burning '!$C$10*'4C2 Open-burning '!$C$11*$C$5*E$15</f>
        <v>1.2472170486825206E-2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4.8761901571267932E-2</v>
      </c>
      <c r="AH129" s="488">
        <f t="shared" si="10"/>
        <v>0.10096122964363084</v>
      </c>
      <c r="AI129" s="1387"/>
      <c r="AJ129" s="1386"/>
      <c r="AK129" s="1387"/>
    </row>
    <row r="130" spans="1:37">
      <c r="A130" s="157">
        <f>'Input data'!A125</f>
        <v>2025</v>
      </c>
      <c r="B130" s="417">
        <f>'Recycling - Case 2'!AP105</f>
        <v>8.3408745662583356E-2</v>
      </c>
      <c r="C130" s="527">
        <f>'Recycling - Case 2'!$AK105*'Recycling - Case 2'!BM105*'4C2 Open-burning '!$B130</f>
        <v>507.71732521056754</v>
      </c>
      <c r="D130" s="528">
        <f>'Recycling - Case 2'!$AK105*'Recycling - Case 2'!BN105*'4C2 Open-burning '!$B130</f>
        <v>530.26262848578153</v>
      </c>
      <c r="E130" s="528">
        <f>'Recycling - Case 2'!$AK105*'Recycling - Case 2'!BO105*'4C2 Open-burning '!$B130</f>
        <v>144.83082137937373</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566.23875243262512</v>
      </c>
      <c r="J130" s="744">
        <f t="shared" si="12"/>
        <v>1749.0495275083481</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0.76508909025153482</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19.5080574988088</v>
      </c>
      <c r="R130" s="1382">
        <f t="shared" si="8"/>
        <v>20.273146589060335</v>
      </c>
      <c r="S130" s="485">
        <f>C130*'4C2 Open-burning '!$C$9*'4C2 Open-burning '!$C$11*$C$5</f>
        <v>1.9800975683212134</v>
      </c>
      <c r="T130" s="485">
        <f>D130*'4C2 Open-burning '!$C$9*'4C2 Open-burning '!$C$11*$C$5</f>
        <v>2.0680242510945477</v>
      </c>
      <c r="U130" s="485">
        <f>E130*'4C2 Open-burning '!$C$9*'4C2 Open-burning '!$C$11*$C$5</f>
        <v>0.56484020337955754</v>
      </c>
      <c r="V130" s="485">
        <f>F130*'4C2 Open-burning '!$C$9*'4C2 Open-burning '!$C$11*$C$5</f>
        <v>0</v>
      </c>
      <c r="W130" s="485">
        <f>G130*'4C2 Open-burning '!$C$9*'4C2 Open-burning '!$C$11*$C$5</f>
        <v>0</v>
      </c>
      <c r="X130" s="485">
        <f>H130*'4C2 Open-burning '!$C$9*'4C2 Open-burning '!$C$11*$C$5</f>
        <v>0</v>
      </c>
      <c r="Y130" s="485">
        <f>I130*'4C2 Open-burning '!$C$9*'4C2 Open-burning '!$C$11*$C$5</f>
        <v>2.2083311344872376</v>
      </c>
      <c r="Z130" s="486">
        <f t="shared" si="9"/>
        <v>6.8212931572825566</v>
      </c>
      <c r="AA130" s="487">
        <f>C130*'4C2 Open-burning '!$C$10*'4C2 Open-burning '!$C$11*$C$5*C$15</f>
        <v>1.827782370758043E-2</v>
      </c>
      <c r="AB130" s="487">
        <f>D130*'4C2 Open-burning '!$C$10*'4C2 Open-burning '!$C$11*$C$5*D$15</f>
        <v>1.9089454625488136E-2</v>
      </c>
      <c r="AC130" s="487">
        <f>E130*'4C2 Open-burning '!$C$10*'4C2 Open-burning '!$C$11*$C$5*E$15</f>
        <v>1.1731296531729272E-2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4.586533894704263E-2</v>
      </c>
      <c r="AH130" s="488">
        <f t="shared" si="10"/>
        <v>9.4963913811840467E-2</v>
      </c>
      <c r="AI130" s="1387"/>
      <c r="AJ130" s="1386"/>
      <c r="AK130" s="1387"/>
    </row>
    <row r="131" spans="1:37">
      <c r="A131" s="157">
        <f>'Input data'!A126</f>
        <v>2026</v>
      </c>
      <c r="B131" s="417">
        <f>'Recycling - Case 2'!AP106</f>
        <v>7.8984557903022903E-2</v>
      </c>
      <c r="C131" s="527">
        <f>'Recycling - Case 2'!$AK106*'Recycling - Case 2'!BM106*'4C2 Open-burning '!$B131</f>
        <v>475.11902549323787</v>
      </c>
      <c r="D131" s="528">
        <f>'Recycling - Case 2'!$AK106*'Recycling - Case 2'!BN106*'4C2 Open-burning '!$B131</f>
        <v>496.2167938570152</v>
      </c>
      <c r="E131" s="528">
        <f>'Recycling - Case 2'!$AK106*'Recycling - Case 2'!BO106*'4C2 Open-burning '!$B131</f>
        <v>135.53187038991558</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529.88304888102732</v>
      </c>
      <c r="J131" s="744">
        <f t="shared" si="12"/>
        <v>1636.750738621196</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0.71596607979658367</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18.255530800049151</v>
      </c>
      <c r="R131" s="1382">
        <f t="shared" si="8"/>
        <v>18.971496879845734</v>
      </c>
      <c r="S131" s="485">
        <f>C131*'4C2 Open-burning '!$C$9*'4C2 Open-burning '!$C$11*$C$5</f>
        <v>1.8529641994236277</v>
      </c>
      <c r="T131" s="485">
        <f>D131*'4C2 Open-burning '!$C$9*'4C2 Open-burning '!$C$11*$C$5</f>
        <v>1.9352454960423593</v>
      </c>
      <c r="U131" s="485">
        <f>E131*'4C2 Open-burning '!$C$9*'4C2 Open-burning '!$C$11*$C$5</f>
        <v>0.52857429452067073</v>
      </c>
      <c r="V131" s="485">
        <f>F131*'4C2 Open-burning '!$C$9*'4C2 Open-burning '!$C$11*$C$5</f>
        <v>0</v>
      </c>
      <c r="W131" s="485">
        <f>G131*'4C2 Open-burning '!$C$9*'4C2 Open-burning '!$C$11*$C$5</f>
        <v>0</v>
      </c>
      <c r="X131" s="485">
        <f>H131*'4C2 Open-burning '!$C$9*'4C2 Open-burning '!$C$11*$C$5</f>
        <v>0</v>
      </c>
      <c r="Y131" s="485">
        <f>I131*'4C2 Open-burning '!$C$9*'4C2 Open-burning '!$C$11*$C$5</f>
        <v>2.0665438906360065</v>
      </c>
      <c r="Z131" s="486">
        <f t="shared" si="9"/>
        <v>6.3833278806226641</v>
      </c>
      <c r="AA131" s="487">
        <f>C131*'4C2 Open-burning '!$C$10*'4C2 Open-burning '!$C$11*$C$5*C$15</f>
        <v>1.7104284917756563E-2</v>
      </c>
      <c r="AB131" s="487">
        <f>D131*'4C2 Open-burning '!$C$10*'4C2 Open-burning '!$C$11*$C$5*D$15</f>
        <v>1.7863804578852546E-2</v>
      </c>
      <c r="AC131" s="487">
        <f>E131*'4C2 Open-burning '!$C$10*'4C2 Open-burning '!$C$11*$C$5*E$15</f>
        <v>1.0978081501583163E-2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4.2920526959363207E-2</v>
      </c>
      <c r="AH131" s="488">
        <f t="shared" si="10"/>
        <v>8.8866697957555474E-2</v>
      </c>
      <c r="AI131" s="1387"/>
      <c r="AJ131" s="1386"/>
      <c r="AK131" s="1387"/>
    </row>
    <row r="132" spans="1:37">
      <c r="A132" s="157">
        <f>'Input data'!A127</f>
        <v>2027</v>
      </c>
      <c r="B132" s="417">
        <f>'Recycling - Case 2'!AP107</f>
        <v>7.4363639056064371E-2</v>
      </c>
      <c r="C132" s="527">
        <f>'Recycling - Case 2'!$AK107*'Recycling - Case 2'!BM107*'4C2 Open-burning '!$B132</f>
        <v>441.95337732021881</v>
      </c>
      <c r="D132" s="528">
        <f>'Recycling - Case 2'!$AK107*'Recycling - Case 2'!BN107*'4C2 Open-burning '!$B132</f>
        <v>461.57841753537593</v>
      </c>
      <c r="E132" s="528">
        <f>'Recycling - Case 2'!$AK107*'Recycling - Case 2'!BO107*'4C2 Open-burning '!$B132</f>
        <v>126.07107827594636</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492.89460213593912</v>
      </c>
      <c r="J132" s="744">
        <f t="shared" si="12"/>
        <v>1522.4974752674802</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0.66598812094364523</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16.981204832787373</v>
      </c>
      <c r="R132" s="1382">
        <f t="shared" si="8"/>
        <v>17.647192953731018</v>
      </c>
      <c r="S132" s="485">
        <f>C132*'4C2 Open-burning '!$C$9*'4C2 Open-burning '!$C$11*$C$5</f>
        <v>1.7236181715488532</v>
      </c>
      <c r="T132" s="485">
        <f>D132*'4C2 Open-burning '!$C$9*'4C2 Open-burning '!$C$11*$C$5</f>
        <v>1.800155828387966</v>
      </c>
      <c r="U132" s="485">
        <f>E132*'4C2 Open-burning '!$C$9*'4C2 Open-burning '!$C$11*$C$5</f>
        <v>0.49167720527619074</v>
      </c>
      <c r="V132" s="485">
        <f>F132*'4C2 Open-burning '!$C$9*'4C2 Open-burning '!$C$11*$C$5</f>
        <v>0</v>
      </c>
      <c r="W132" s="485">
        <f>G132*'4C2 Open-burning '!$C$9*'4C2 Open-burning '!$C$11*$C$5</f>
        <v>0</v>
      </c>
      <c r="X132" s="485">
        <f>H132*'4C2 Open-burning '!$C$9*'4C2 Open-burning '!$C$11*$C$5</f>
        <v>0</v>
      </c>
      <c r="Y132" s="485">
        <f>I132*'4C2 Open-burning '!$C$9*'4C2 Open-burning '!$C$11*$C$5</f>
        <v>1.9222889483301622</v>
      </c>
      <c r="Z132" s="486">
        <f t="shared" si="9"/>
        <v>5.9377401535431718</v>
      </c>
      <c r="AA132" s="487">
        <f>C132*'4C2 Open-burning '!$C$10*'4C2 Open-burning '!$C$11*$C$5*C$15</f>
        <v>1.5910321583527877E-2</v>
      </c>
      <c r="AB132" s="487">
        <f>D132*'4C2 Open-burning '!$C$10*'4C2 Open-burning '!$C$11*$C$5*D$15</f>
        <v>1.6616823031273532E-2</v>
      </c>
      <c r="AC132" s="487">
        <f>E132*'4C2 Open-burning '!$C$10*'4C2 Open-burning '!$C$11*$C$5*E$15</f>
        <v>1.0211757340351655E-2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3.9924462773011066E-2</v>
      </c>
      <c r="AH132" s="488">
        <f t="shared" si="10"/>
        <v>8.2663364728164129E-2</v>
      </c>
      <c r="AI132" s="1387"/>
      <c r="AJ132" s="1386"/>
      <c r="AK132" s="1387"/>
    </row>
    <row r="133" spans="1:37">
      <c r="A133" s="157">
        <f>'Input data'!A128</f>
        <v>2028</v>
      </c>
      <c r="B133" s="417">
        <f>'Recycling - Case 2'!AP108</f>
        <v>6.9532752151043223E-2</v>
      </c>
      <c r="C133" s="527">
        <f>'Recycling - Case 2'!$AK108*'Recycling - Case 2'!BM108*'4C2 Open-burning '!$B133</f>
        <v>408.18590358377429</v>
      </c>
      <c r="D133" s="528">
        <f>'Recycling - Case 2'!$AK108*'Recycling - Case 2'!BN108*'4C2 Open-burning '!$B133</f>
        <v>426.31149144931891</v>
      </c>
      <c r="E133" s="528">
        <f>'Recycling - Case 2'!$AK108*'Recycling - Case 2'!BO108*'4C2 Open-burning '!$B133</f>
        <v>116.43861014000596</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455.23496112724229</v>
      </c>
      <c r="J133" s="744">
        <f t="shared" si="12"/>
        <v>1406.1709663003414</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0.61510325947000111</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15.68375488075575</v>
      </c>
      <c r="R133" s="1382">
        <f t="shared" si="8"/>
        <v>16.29885814022575</v>
      </c>
      <c r="S133" s="485">
        <f>C133*'4C2 Open-burning '!$C$9*'4C2 Open-burning '!$C$11*$C$5</f>
        <v>1.5919250239767198</v>
      </c>
      <c r="T133" s="485">
        <f>D133*'4C2 Open-burning '!$C$9*'4C2 Open-burning '!$C$11*$C$5</f>
        <v>1.6626148166523436</v>
      </c>
      <c r="U133" s="485">
        <f>E133*'4C2 Open-burning '!$C$9*'4C2 Open-burning '!$C$11*$C$5</f>
        <v>0.45411057954602324</v>
      </c>
      <c r="V133" s="485">
        <f>F133*'4C2 Open-burning '!$C$9*'4C2 Open-burning '!$C$11*$C$5</f>
        <v>0</v>
      </c>
      <c r="W133" s="485">
        <f>G133*'4C2 Open-burning '!$C$9*'4C2 Open-burning '!$C$11*$C$5</f>
        <v>0</v>
      </c>
      <c r="X133" s="485">
        <f>H133*'4C2 Open-burning '!$C$9*'4C2 Open-burning '!$C$11*$C$5</f>
        <v>0</v>
      </c>
      <c r="Y133" s="485">
        <f>I133*'4C2 Open-burning '!$C$9*'4C2 Open-burning '!$C$11*$C$5</f>
        <v>1.7754163483962448</v>
      </c>
      <c r="Z133" s="486">
        <f t="shared" si="9"/>
        <v>5.4840667685713314</v>
      </c>
      <c r="AA133" s="487">
        <f>C133*'4C2 Open-burning '!$C$10*'4C2 Open-burning '!$C$11*$C$5*C$15</f>
        <v>1.4694692529015875E-2</v>
      </c>
      <c r="AB133" s="487">
        <f>D133*'4C2 Open-burning '!$C$10*'4C2 Open-burning '!$C$11*$C$5*D$15</f>
        <v>1.534721369217548E-2</v>
      </c>
      <c r="AC133" s="487">
        <f>E133*'4C2 Open-burning '!$C$10*'4C2 Open-burning '!$C$11*$C$5*E$15</f>
        <v>9.4315274213404819E-3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3.6874031851306631E-2</v>
      </c>
      <c r="AH133" s="488">
        <f t="shared" si="10"/>
        <v>7.6347465493838473E-2</v>
      </c>
      <c r="AI133" s="1387"/>
      <c r="AJ133" s="1386"/>
      <c r="AK133" s="1387"/>
    </row>
    <row r="134" spans="1:37">
      <c r="A134" s="157">
        <f>'Input data'!A129</f>
        <v>2029</v>
      </c>
      <c r="B134" s="417">
        <f>'Recycling - Case 2'!AP109</f>
        <v>6.4473840914548081E-2</v>
      </c>
      <c r="C134" s="527">
        <f>'Recycling - Case 2'!$AK109*'Recycling - Case 2'!BM109*'4C2 Open-burning '!$B134</f>
        <v>373.77132451549107</v>
      </c>
      <c r="D134" s="528">
        <f>'Recycling - Case 2'!$AK109*'Recycling - Case 2'!BN109*'4C2 Open-burning '!$B134</f>
        <v>390.36872517201834</v>
      </c>
      <c r="E134" s="528">
        <f>'Recycling - Case 2'!$AK109*'Recycling - Case 2'!BO109*'4C2 Open-burning '!$B134</f>
        <v>106.62154953090086</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416.85362696844282</v>
      </c>
      <c r="J134" s="744">
        <f t="shared" si="12"/>
        <v>1287.6152261868531</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0.56324326241391809</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14.361441156316792</v>
      </c>
      <c r="R134" s="1382">
        <f t="shared" si="8"/>
        <v>14.92468441873071</v>
      </c>
      <c r="S134" s="485">
        <f>C134*'4C2 Open-burning '!$C$9*'4C2 Open-burning '!$C$11*$C$5</f>
        <v>1.4577081656104149</v>
      </c>
      <c r="T134" s="485">
        <f>D134*'4C2 Open-burning '!$C$9*'4C2 Open-burning '!$C$11*$C$5</f>
        <v>1.5224380281708714</v>
      </c>
      <c r="U134" s="485">
        <f>E134*'4C2 Open-burning '!$C$9*'4C2 Open-burning '!$C$11*$C$5</f>
        <v>0.41582404317051336</v>
      </c>
      <c r="V134" s="485">
        <f>F134*'4C2 Open-burning '!$C$9*'4C2 Open-burning '!$C$11*$C$5</f>
        <v>0</v>
      </c>
      <c r="W134" s="485">
        <f>G134*'4C2 Open-burning '!$C$9*'4C2 Open-burning '!$C$11*$C$5</f>
        <v>0</v>
      </c>
      <c r="X134" s="485">
        <f>H134*'4C2 Open-burning '!$C$9*'4C2 Open-burning '!$C$11*$C$5</f>
        <v>0</v>
      </c>
      <c r="Y134" s="485">
        <f>I134*'4C2 Open-burning '!$C$9*'4C2 Open-burning '!$C$11*$C$5</f>
        <v>1.6257291451769269</v>
      </c>
      <c r="Z134" s="486">
        <f t="shared" si="9"/>
        <v>5.0216993821287268</v>
      </c>
      <c r="AA134" s="487">
        <f>C134*'4C2 Open-burning '!$C$10*'4C2 Open-burning '!$C$11*$C$5*C$15</f>
        <v>1.3455767682557679E-2</v>
      </c>
      <c r="AB134" s="487">
        <f>D134*'4C2 Open-burning '!$C$10*'4C2 Open-burning '!$C$11*$C$5*D$15</f>
        <v>1.405327410619266E-2</v>
      </c>
      <c r="AC134" s="487">
        <f>E134*'4C2 Open-burning '!$C$10*'4C2 Open-burning '!$C$11*$C$5*E$15</f>
        <v>8.6363455120029697E-3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3.3765143784443868E-2</v>
      </c>
      <c r="AH134" s="488">
        <f t="shared" si="10"/>
        <v>6.9910531085197181E-2</v>
      </c>
      <c r="AI134" s="1387"/>
      <c r="AJ134" s="1386"/>
      <c r="AK134" s="1387"/>
    </row>
    <row r="135" spans="1:37">
      <c r="A135" s="157">
        <f>'Input data'!A130</f>
        <v>2030</v>
      </c>
      <c r="B135" s="417">
        <f>'Recycling - Case 2'!AP110</f>
        <v>5.9171666276371604E-2</v>
      </c>
      <c r="C135" s="527">
        <f>'Recycling - Case 2'!$AK110*'Recycling - Case 2'!BM110*'4C2 Open-burning '!$B135</f>
        <v>338.67490666835062</v>
      </c>
      <c r="D135" s="528">
        <f>'Recycling - Case 2'!$AK110*'Recycling - Case 2'!BN110*'4C2 Open-burning '!$B135</f>
        <v>353.71384290984298</v>
      </c>
      <c r="E135" s="528">
        <f>'Recycling - Case 2'!$AK110*'Recycling - Case 2'!BO110*'4C2 Open-burning '!$B135</f>
        <v>96.609988428141662</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377.71186270350086</v>
      </c>
      <c r="J135" s="744">
        <f t="shared" si="12"/>
        <v>1166.7106007098362</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0.51035578927003822</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13.012929093861009</v>
      </c>
      <c r="R135" s="1382">
        <f t="shared" si="8"/>
        <v>13.523284883131048</v>
      </c>
      <c r="S135" s="485">
        <f>C135*'4C2 Open-burning '!$C$9*'4C2 Open-burning '!$C$11*$C$5</f>
        <v>1.3208321360065673</v>
      </c>
      <c r="T135" s="485">
        <f>D135*'4C2 Open-burning '!$C$9*'4C2 Open-burning '!$C$11*$C$5</f>
        <v>1.3794839873483877</v>
      </c>
      <c r="U135" s="485">
        <f>E135*'4C2 Open-burning '!$C$9*'4C2 Open-burning '!$C$11*$C$5</f>
        <v>0.37677895486975249</v>
      </c>
      <c r="V135" s="485">
        <f>F135*'4C2 Open-burning '!$C$9*'4C2 Open-burning '!$C$11*$C$5</f>
        <v>0</v>
      </c>
      <c r="W135" s="485">
        <f>G135*'4C2 Open-burning '!$C$9*'4C2 Open-burning '!$C$11*$C$5</f>
        <v>0</v>
      </c>
      <c r="X135" s="485">
        <f>H135*'4C2 Open-burning '!$C$9*'4C2 Open-burning '!$C$11*$C$5</f>
        <v>0</v>
      </c>
      <c r="Y135" s="485">
        <f>I135*'4C2 Open-burning '!$C$9*'4C2 Open-burning '!$C$11*$C$5</f>
        <v>1.4730762645436533</v>
      </c>
      <c r="Z135" s="486">
        <f t="shared" si="9"/>
        <v>4.550171342768361</v>
      </c>
      <c r="AA135" s="487">
        <f>C135*'4C2 Open-burning '!$C$10*'4C2 Open-burning '!$C$11*$C$5*C$15</f>
        <v>1.2192296640060621E-2</v>
      </c>
      <c r="AB135" s="487">
        <f>D135*'4C2 Open-burning '!$C$10*'4C2 Open-burning '!$C$11*$C$5*D$15</f>
        <v>1.2733698344754346E-2</v>
      </c>
      <c r="AC135" s="487">
        <f>E135*'4C2 Open-burning '!$C$10*'4C2 Open-burning '!$C$11*$C$5*E$15</f>
        <v>7.8254090626794729E-3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3.0594660878983566E-2</v>
      </c>
      <c r="AH135" s="488">
        <f t="shared" si="10"/>
        <v>6.3346064926477999E-2</v>
      </c>
      <c r="AI135" s="1387"/>
      <c r="AJ135" s="1386"/>
      <c r="AK135" s="1387"/>
    </row>
    <row r="136" spans="1:37">
      <c r="A136" s="157">
        <f>'Input data'!A131</f>
        <v>2031</v>
      </c>
      <c r="B136" s="417">
        <f>'Recycling - Case 2'!AP111</f>
        <v>5.322853899378515E-2</v>
      </c>
      <c r="C136" s="527">
        <f>'Recycling - Case 2'!$AK111*'Recycling - Case 2'!BM111*'4C2 Open-burning '!$B136</f>
        <v>298.64217437500093</v>
      </c>
      <c r="D136" s="528">
        <f>'Recycling - Case 2'!$AK111*'Recycling - Case 2'!BN111*'4C2 Open-burning '!$B136</f>
        <v>311.9034480360117</v>
      </c>
      <c r="E136" s="528">
        <f>'Recycling - Case 2'!$AK111*'Recycling - Case 2'!BO111*'4C2 Open-burning '!$B136</f>
        <v>85.190300321769101</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333.06480564108068</v>
      </c>
      <c r="J136" s="744">
        <f t="shared" si="12"/>
        <v>1028.8007283738623</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0.45002968809179034</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11.47474868394651</v>
      </c>
      <c r="R136" s="1382">
        <f t="shared" si="8"/>
        <v>11.9247783720383</v>
      </c>
      <c r="S136" s="485">
        <f>C136*'4C2 Open-burning '!$C$9*'4C2 Open-burning '!$C$11*$C$5</f>
        <v>1.1647044800625037</v>
      </c>
      <c r="T136" s="485">
        <f>D136*'4C2 Open-burning '!$C$9*'4C2 Open-burning '!$C$11*$C$5</f>
        <v>1.2164234473404456</v>
      </c>
      <c r="U136" s="485">
        <f>E136*'4C2 Open-burning '!$C$9*'4C2 Open-burning '!$C$11*$C$5</f>
        <v>0.33224217125489947</v>
      </c>
      <c r="V136" s="485">
        <f>F136*'4C2 Open-burning '!$C$9*'4C2 Open-burning '!$C$11*$C$5</f>
        <v>0</v>
      </c>
      <c r="W136" s="485">
        <f>G136*'4C2 Open-burning '!$C$9*'4C2 Open-burning '!$C$11*$C$5</f>
        <v>0</v>
      </c>
      <c r="X136" s="485">
        <f>H136*'4C2 Open-burning '!$C$9*'4C2 Open-burning '!$C$11*$C$5</f>
        <v>0</v>
      </c>
      <c r="Y136" s="485">
        <f>I136*'4C2 Open-burning '!$C$9*'4C2 Open-burning '!$C$11*$C$5</f>
        <v>1.2989527420002145</v>
      </c>
      <c r="Z136" s="486">
        <f t="shared" si="9"/>
        <v>4.0123228406580633</v>
      </c>
      <c r="AA136" s="487">
        <f>C136*'4C2 Open-burning '!$C$10*'4C2 Open-burning '!$C$11*$C$5*C$15</f>
        <v>1.0751118277500034E-2</v>
      </c>
      <c r="AB136" s="487">
        <f>D136*'4C2 Open-burning '!$C$10*'4C2 Open-burning '!$C$11*$C$5*D$15</f>
        <v>1.1228524129296421E-2</v>
      </c>
      <c r="AC136" s="487">
        <f>E136*'4C2 Open-burning '!$C$10*'4C2 Open-burning '!$C$11*$C$5*E$15</f>
        <v>6.9004143260632967E-3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2.6978249256927534E-2</v>
      </c>
      <c r="AH136" s="488">
        <f t="shared" si="10"/>
        <v>5.5858305989787291E-2</v>
      </c>
      <c r="AI136" s="1387"/>
      <c r="AJ136" s="1386"/>
      <c r="AK136" s="1387"/>
    </row>
    <row r="137" spans="1:37">
      <c r="A137" s="157">
        <f>'Input data'!A132</f>
        <v>2032</v>
      </c>
      <c r="B137" s="417">
        <f>'Recycling - Case 2'!AP112</f>
        <v>4.7094685590777383E-2</v>
      </c>
      <c r="C137" s="527">
        <f>'Recycling - Case 2'!$AK112*'Recycling - Case 2'!BM112*'4C2 Open-burning '!$B137</f>
        <v>258.89473166408089</v>
      </c>
      <c r="D137" s="528">
        <f>'Recycling - Case 2'!$AK112*'Recycling - Case 2'!BN112*'4C2 Open-burning '!$B137</f>
        <v>270.39101109338947</v>
      </c>
      <c r="E137" s="528">
        <f>'Recycling - Case 2'!$AK112*'Recycling - Case 2'!BO112*'4C2 Open-burning '!$B137</f>
        <v>73.851993571719376</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288.73592172189507</v>
      </c>
      <c r="J137" s="744">
        <f t="shared" si="12"/>
        <v>891.87365805108493</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0.39013349532170766</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9.9475299751627286</v>
      </c>
      <c r="R137" s="1382">
        <f t="shared" si="8"/>
        <v>10.337663470484436</v>
      </c>
      <c r="S137" s="485">
        <f>C137*'4C2 Open-burning '!$C$9*'4C2 Open-burning '!$C$11*$C$5</f>
        <v>1.0096894534899155</v>
      </c>
      <c r="T137" s="485">
        <f>D137*'4C2 Open-burning '!$C$9*'4C2 Open-burning '!$C$11*$C$5</f>
        <v>1.0545249432642188</v>
      </c>
      <c r="U137" s="485">
        <f>E137*'4C2 Open-burning '!$C$9*'4C2 Open-burning '!$C$11*$C$5</f>
        <v>0.28802277492970557</v>
      </c>
      <c r="V137" s="485">
        <f>F137*'4C2 Open-burning '!$C$9*'4C2 Open-burning '!$C$11*$C$5</f>
        <v>0</v>
      </c>
      <c r="W137" s="485">
        <f>G137*'4C2 Open-burning '!$C$9*'4C2 Open-burning '!$C$11*$C$5</f>
        <v>0</v>
      </c>
      <c r="X137" s="485">
        <f>H137*'4C2 Open-burning '!$C$9*'4C2 Open-burning '!$C$11*$C$5</f>
        <v>0</v>
      </c>
      <c r="Y137" s="485">
        <f>I137*'4C2 Open-burning '!$C$9*'4C2 Open-burning '!$C$11*$C$5</f>
        <v>1.1260700947153908</v>
      </c>
      <c r="Z137" s="486">
        <f t="shared" si="9"/>
        <v>3.4783072663992307</v>
      </c>
      <c r="AA137" s="487">
        <f>C137*'4C2 Open-burning '!$C$10*'4C2 Open-burning '!$C$11*$C$5*C$15</f>
        <v>9.3202103399069106E-3</v>
      </c>
      <c r="AB137" s="487">
        <f>D137*'4C2 Open-burning '!$C$10*'4C2 Open-burning '!$C$11*$C$5*D$15</f>
        <v>9.7340763993620204E-3</v>
      </c>
      <c r="AC137" s="487">
        <f>E137*'4C2 Open-burning '!$C$10*'4C2 Open-burning '!$C$11*$C$5*E$15</f>
        <v>5.9820114793092682E-3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2.33876096594735E-2</v>
      </c>
      <c r="AH137" s="488">
        <f t="shared" si="10"/>
        <v>4.8423907878051703E-2</v>
      </c>
      <c r="AI137" s="1387"/>
      <c r="AJ137" s="1386"/>
      <c r="AK137" s="1387"/>
    </row>
    <row r="138" spans="1:37">
      <c r="A138" s="157">
        <f>'Input data'!A133</f>
        <v>2033</v>
      </c>
      <c r="B138" s="417">
        <f>'Recycling - Case 2'!AP113</f>
        <v>4.6766994951349034E-2</v>
      </c>
      <c r="C138" s="527">
        <f>'Recycling - Case 2'!$AK113*'Recycling - Case 2'!BM113*'4C2 Open-burning '!$B138</f>
        <v>258.13552968327957</v>
      </c>
      <c r="D138" s="528">
        <f>'Recycling - Case 2'!$AK113*'Recycling - Case 2'!BN113*'4C2 Open-burning '!$B138</f>
        <v>269.59809657599669</v>
      </c>
      <c r="E138" s="528">
        <f>'Recycling - Case 2'!$AK113*'Recycling - Case 2'!BO113*'4C2 Open-burning '!$B138</f>
        <v>73.635424545979149</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287.88921123732575</v>
      </c>
      <c r="J138" s="744">
        <f t="shared" si="12"/>
        <v>889.25826204258112</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0.38898943912357126</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9.9183591055483458</v>
      </c>
      <c r="R138" s="1382">
        <f t="shared" si="8"/>
        <v>10.307348544671918</v>
      </c>
      <c r="S138" s="485">
        <f>C138*'4C2 Open-burning '!$C$9*'4C2 Open-burning '!$C$11*$C$5</f>
        <v>1.0067285657647902</v>
      </c>
      <c r="T138" s="485">
        <f>D138*'4C2 Open-burning '!$C$9*'4C2 Open-burning '!$C$11*$C$5</f>
        <v>1.051432576646387</v>
      </c>
      <c r="U138" s="485">
        <f>E138*'4C2 Open-burning '!$C$9*'4C2 Open-burning '!$C$11*$C$5</f>
        <v>0.28717815572931865</v>
      </c>
      <c r="V138" s="485">
        <f>F138*'4C2 Open-burning '!$C$9*'4C2 Open-burning '!$C$11*$C$5</f>
        <v>0</v>
      </c>
      <c r="W138" s="485">
        <f>G138*'4C2 Open-burning '!$C$9*'4C2 Open-burning '!$C$11*$C$5</f>
        <v>0</v>
      </c>
      <c r="X138" s="485">
        <f>H138*'4C2 Open-burning '!$C$9*'4C2 Open-burning '!$C$11*$C$5</f>
        <v>0</v>
      </c>
      <c r="Y138" s="485">
        <f>I138*'4C2 Open-burning '!$C$9*'4C2 Open-burning '!$C$11*$C$5</f>
        <v>1.1227679238255703</v>
      </c>
      <c r="Z138" s="486">
        <f t="shared" si="9"/>
        <v>3.4681072219660662</v>
      </c>
      <c r="AA138" s="487">
        <f>C138*'4C2 Open-burning '!$C$10*'4C2 Open-burning '!$C$11*$C$5*C$15</f>
        <v>9.2928790685980634E-3</v>
      </c>
      <c r="AB138" s="487">
        <f>D138*'4C2 Open-burning '!$C$10*'4C2 Open-burning '!$C$11*$C$5*D$15</f>
        <v>9.7055314767358816E-3</v>
      </c>
      <c r="AC138" s="487">
        <f>E138*'4C2 Open-burning '!$C$10*'4C2 Open-burning '!$C$11*$C$5*E$15</f>
        <v>5.9644693882243104E-3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2.3319026110223386E-2</v>
      </c>
      <c r="AH138" s="488">
        <f t="shared" si="10"/>
        <v>4.8281906043781644E-2</v>
      </c>
      <c r="AI138" s="1387"/>
      <c r="AJ138" s="1386"/>
      <c r="AK138" s="1387"/>
    </row>
    <row r="139" spans="1:37">
      <c r="A139" s="157">
        <f>'Input data'!A134</f>
        <v>2034</v>
      </c>
      <c r="B139" s="417">
        <f>'Recycling - Case 2'!AP114</f>
        <v>4.6451389955373623E-2</v>
      </c>
      <c r="C139" s="527">
        <f>'Recycling - Case 2'!$AK114*'Recycling - Case 2'!BM114*'4C2 Open-burning '!$B139</f>
        <v>257.408302038616</v>
      </c>
      <c r="D139" s="528">
        <f>'Recycling - Case 2'!$AK114*'Recycling - Case 2'!BN114*'4C2 Open-burning '!$B139</f>
        <v>268.83857622240839</v>
      </c>
      <c r="E139" s="528">
        <f>'Recycling - Case 2'!$AK114*'Recycling - Case 2'!BO114*'4C2 Open-burning '!$B139</f>
        <v>73.42797648014303</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287.07816057231639</v>
      </c>
      <c r="J139" s="744">
        <f t="shared" si="12"/>
        <v>886.75301531348384</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0.38789356567306277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9.8904167880374434</v>
      </c>
      <c r="R139" s="1382">
        <f t="shared" si="8"/>
        <v>10.278310353710506</v>
      </c>
      <c r="S139" s="485">
        <f>C139*'4C2 Open-burning '!$C$9*'4C2 Open-burning '!$C$11*$C$5</f>
        <v>1.0038923779506024</v>
      </c>
      <c r="T139" s="485">
        <f>D139*'4C2 Open-burning '!$C$9*'4C2 Open-burning '!$C$11*$C$5</f>
        <v>1.0484704472673927</v>
      </c>
      <c r="U139" s="485">
        <f>E139*'4C2 Open-burning '!$C$9*'4C2 Open-burning '!$C$11*$C$5</f>
        <v>0.28636910827255779</v>
      </c>
      <c r="V139" s="485">
        <f>F139*'4C2 Open-burning '!$C$9*'4C2 Open-burning '!$C$11*$C$5</f>
        <v>0</v>
      </c>
      <c r="W139" s="485">
        <f>G139*'4C2 Open-burning '!$C$9*'4C2 Open-burning '!$C$11*$C$5</f>
        <v>0</v>
      </c>
      <c r="X139" s="485">
        <f>H139*'4C2 Open-burning '!$C$9*'4C2 Open-burning '!$C$11*$C$5</f>
        <v>0</v>
      </c>
      <c r="Y139" s="485">
        <f>I139*'4C2 Open-burning '!$C$9*'4C2 Open-burning '!$C$11*$C$5</f>
        <v>1.1196048262320337</v>
      </c>
      <c r="Z139" s="486">
        <f t="shared" si="9"/>
        <v>3.4583367597225863</v>
      </c>
      <c r="AA139" s="487">
        <f>C139*'4C2 Open-burning '!$C$10*'4C2 Open-burning '!$C$11*$C$5*C$15</f>
        <v>9.2666988733901764E-3</v>
      </c>
      <c r="AB139" s="487">
        <f>D139*'4C2 Open-burning '!$C$10*'4C2 Open-burning '!$C$11*$C$5*D$15</f>
        <v>9.6781887440067025E-3</v>
      </c>
      <c r="AC139" s="487">
        <f>E139*'4C2 Open-burning '!$C$10*'4C2 Open-burning '!$C$11*$C$5*E$15</f>
        <v>5.9476660948915849E-3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2.3253331006357628E-2</v>
      </c>
      <c r="AH139" s="488">
        <f t="shared" si="10"/>
        <v>4.8145884718646087E-2</v>
      </c>
      <c r="AI139" s="1387"/>
      <c r="AJ139" s="1386"/>
      <c r="AK139" s="1387"/>
    </row>
    <row r="140" spans="1:37">
      <c r="A140" s="157">
        <f>'Input data'!A135</f>
        <v>2035</v>
      </c>
      <c r="B140" s="417">
        <f>'Recycling - Case 2'!AP115</f>
        <v>4.6147594585465912E-2</v>
      </c>
      <c r="C140" s="527">
        <f>'Recycling - Case 2'!$AK115*'Recycling - Case 2'!BM115*'4C2 Open-burning '!$B140</f>
        <v>256.7119824658667</v>
      </c>
      <c r="D140" s="528">
        <f>'Recycling - Case 2'!$AK115*'Recycling - Case 2'!BN115*'4C2 Open-burning '!$B140</f>
        <v>268.11133642069581</v>
      </c>
      <c r="E140" s="528">
        <f>'Recycling - Case 2'!$AK115*'Recycling - Case 2'!BO115*'4C2 Open-burning '!$B140</f>
        <v>73.229345212986658</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286.3015805609794</v>
      </c>
      <c r="J140" s="744">
        <f t="shared" si="12"/>
        <v>884.35424466052859</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0.38684426819593182</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9.8636620534868609</v>
      </c>
      <c r="R140" s="1382">
        <f t="shared" si="8"/>
        <v>10.250506321682792</v>
      </c>
      <c r="S140" s="485">
        <f>C140*'4C2 Open-burning '!$C$9*'4C2 Open-burning '!$C$11*$C$5</f>
        <v>1.00117673161688</v>
      </c>
      <c r="T140" s="485">
        <f>D140*'4C2 Open-burning '!$C$9*'4C2 Open-burning '!$C$11*$C$5</f>
        <v>1.0456342120407136</v>
      </c>
      <c r="U140" s="485">
        <f>E140*'4C2 Open-burning '!$C$9*'4C2 Open-burning '!$C$11*$C$5</f>
        <v>0.28559444633064796</v>
      </c>
      <c r="V140" s="485">
        <f>F140*'4C2 Open-burning '!$C$9*'4C2 Open-burning '!$C$11*$C$5</f>
        <v>0</v>
      </c>
      <c r="W140" s="485">
        <f>G140*'4C2 Open-burning '!$C$9*'4C2 Open-burning '!$C$11*$C$5</f>
        <v>0</v>
      </c>
      <c r="X140" s="485">
        <f>H140*'4C2 Open-burning '!$C$9*'4C2 Open-burning '!$C$11*$C$5</f>
        <v>0</v>
      </c>
      <c r="Y140" s="485">
        <f>I140*'4C2 Open-burning '!$C$9*'4C2 Open-burning '!$C$11*$C$5</f>
        <v>1.1165761641878196</v>
      </c>
      <c r="Z140" s="486">
        <f t="shared" si="9"/>
        <v>3.4489815541760613</v>
      </c>
      <c r="AA140" s="487">
        <f>C140*'4C2 Open-burning '!$C$10*'4C2 Open-burning '!$C$11*$C$5*C$15</f>
        <v>9.2416313687712012E-3</v>
      </c>
      <c r="AB140" s="487">
        <f>D140*'4C2 Open-burning '!$C$10*'4C2 Open-burning '!$C$11*$C$5*D$15</f>
        <v>9.6520081111450481E-3</v>
      </c>
      <c r="AC140" s="487">
        <f>E140*'4C2 Open-burning '!$C$10*'4C2 Open-burning '!$C$11*$C$5*E$15</f>
        <v>5.9315769622519197E-3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2.319042802543933E-2</v>
      </c>
      <c r="AH140" s="488">
        <f t="shared" si="10"/>
        <v>4.8015644467607498E-2</v>
      </c>
      <c r="AI140" s="1387"/>
      <c r="AJ140" s="1386"/>
      <c r="AK140" s="1387"/>
    </row>
    <row r="141" spans="1:37">
      <c r="A141" s="157">
        <f>'Input data'!A136</f>
        <v>2036</v>
      </c>
      <c r="B141" s="417">
        <f>'Recycling - Case 2'!AP116</f>
        <v>4.5855347858393132E-2</v>
      </c>
      <c r="C141" s="527">
        <f>'Recycling - Case 2'!$AK116*'Recycling - Case 2'!BM116*'4C2 Open-burning '!$B141</f>
        <v>256.04556558232332</v>
      </c>
      <c r="D141" s="528">
        <f>'Recycling - Case 2'!$AK116*'Recycling - Case 2'!BN116*'4C2 Open-burning '!$B141</f>
        <v>267.41532714390297</v>
      </c>
      <c r="E141" s="528">
        <f>'Recycling - Case 2'!$AK116*'Recycling - Case 2'!BO116*'4C2 Open-burning '!$B141</f>
        <v>73.039243950271938</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285.55834993637717</v>
      </c>
      <c r="J141" s="744">
        <f t="shared" si="12"/>
        <v>882.05848661287541</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0.38584003166146452</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9.8380562720080658</v>
      </c>
      <c r="R141" s="1382">
        <f t="shared" si="8"/>
        <v>10.22389630366953</v>
      </c>
      <c r="S141" s="485">
        <f>C141*'4C2 Open-burning '!$C$9*'4C2 Open-burning '!$C$11*$C$5</f>
        <v>0.99857770577106075</v>
      </c>
      <c r="T141" s="485">
        <f>D141*'4C2 Open-burning '!$C$9*'4C2 Open-burning '!$C$11*$C$5</f>
        <v>1.0429197758612214</v>
      </c>
      <c r="U141" s="485">
        <f>E141*'4C2 Open-burning '!$C$9*'4C2 Open-burning '!$C$11*$C$5</f>
        <v>0.28485305140606054</v>
      </c>
      <c r="V141" s="485">
        <f>F141*'4C2 Open-burning '!$C$9*'4C2 Open-burning '!$C$11*$C$5</f>
        <v>0</v>
      </c>
      <c r="W141" s="485">
        <f>G141*'4C2 Open-burning '!$C$9*'4C2 Open-burning '!$C$11*$C$5</f>
        <v>0</v>
      </c>
      <c r="X141" s="485">
        <f>H141*'4C2 Open-burning '!$C$9*'4C2 Open-burning '!$C$11*$C$5</f>
        <v>0</v>
      </c>
      <c r="Y141" s="485">
        <f>I141*'4C2 Open-burning '!$C$9*'4C2 Open-burning '!$C$11*$C$5</f>
        <v>1.1136775647518711</v>
      </c>
      <c r="Z141" s="486">
        <f t="shared" si="9"/>
        <v>3.440028097790214</v>
      </c>
      <c r="AA141" s="487">
        <f>C141*'4C2 Open-burning '!$C$10*'4C2 Open-burning '!$C$11*$C$5*C$15</f>
        <v>9.2176403609636384E-3</v>
      </c>
      <c r="AB141" s="487">
        <f>D141*'4C2 Open-burning '!$C$10*'4C2 Open-burning '!$C$11*$C$5*D$15</f>
        <v>9.6269517771805074E-3</v>
      </c>
      <c r="AC141" s="487">
        <f>E141*'4C2 Open-burning '!$C$10*'4C2 Open-burning '!$C$11*$C$5*E$15</f>
        <v>5.9161787599720265E-3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2.3130226344846551E-2</v>
      </c>
      <c r="AH141" s="488">
        <f t="shared" si="10"/>
        <v>4.7890997242962724E-2</v>
      </c>
      <c r="AI141" s="1387"/>
      <c r="AJ141" s="1386"/>
      <c r="AK141" s="1387"/>
    </row>
    <row r="142" spans="1:37">
      <c r="A142" s="157">
        <f>'Input data'!A137</f>
        <v>2037</v>
      </c>
      <c r="B142" s="417">
        <f>'Recycling - Case 2'!AP117</f>
        <v>4.5574403000462525E-2</v>
      </c>
      <c r="C142" s="527">
        <f>'Recycling - Case 2'!$AK117*'Recycling - Case 2'!BM117*'4C2 Open-burning '!$B142</f>
        <v>255.40810338555843</v>
      </c>
      <c r="D142" s="528">
        <f>'Recycling - Case 2'!$AK117*'Recycling - Case 2'!BN117*'4C2 Open-burning '!$B142</f>
        <v>266.74955829333902</v>
      </c>
      <c r="E142" s="528">
        <f>'Recycling - Case 2'!$AK117*'Recycling - Case 2'!BO117*'4C2 Open-burning '!$B142</f>
        <v>72.857402265989307</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284.84741142572182</v>
      </c>
      <c r="J142" s="744">
        <f t="shared" si="12"/>
        <v>879.86247537060865</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0.38487942750640575</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9.8135630184389662</v>
      </c>
      <c r="R142" s="1382">
        <f t="shared" si="8"/>
        <v>10.198442445945371</v>
      </c>
      <c r="S142" s="485">
        <f>C142*'4C2 Open-burning '!$C$9*'4C2 Open-burning '!$C$11*$C$5</f>
        <v>0.99609160320367773</v>
      </c>
      <c r="T142" s="485">
        <f>D142*'4C2 Open-burning '!$C$9*'4C2 Open-burning '!$C$11*$C$5</f>
        <v>1.0403232773440221</v>
      </c>
      <c r="U142" s="485">
        <f>E142*'4C2 Open-burning '!$C$9*'4C2 Open-burning '!$C$11*$C$5</f>
        <v>0.28414386883735826</v>
      </c>
      <c r="V142" s="485">
        <f>F142*'4C2 Open-burning '!$C$9*'4C2 Open-burning '!$C$11*$C$5</f>
        <v>0</v>
      </c>
      <c r="W142" s="485">
        <f>G142*'4C2 Open-burning '!$C$9*'4C2 Open-burning '!$C$11*$C$5</f>
        <v>0</v>
      </c>
      <c r="X142" s="485">
        <f>H142*'4C2 Open-burning '!$C$9*'4C2 Open-burning '!$C$11*$C$5</f>
        <v>0</v>
      </c>
      <c r="Y142" s="485">
        <f>I142*'4C2 Open-burning '!$C$9*'4C2 Open-burning '!$C$11*$C$5</f>
        <v>1.110904904560315</v>
      </c>
      <c r="Z142" s="486">
        <f t="shared" si="9"/>
        <v>3.4314636539453733</v>
      </c>
      <c r="AA142" s="487">
        <f>C142*'4C2 Open-burning '!$C$10*'4C2 Open-burning '!$C$11*$C$5*C$15</f>
        <v>9.1946917218801039E-3</v>
      </c>
      <c r="AB142" s="487">
        <f>D142*'4C2 Open-burning '!$C$10*'4C2 Open-burning '!$C$11*$C$5*D$15</f>
        <v>9.6029840985602053E-3</v>
      </c>
      <c r="AC142" s="487">
        <f>E142*'4C2 Open-burning '!$C$10*'4C2 Open-burning '!$C$11*$C$5*E$15</f>
        <v>5.9014495835451337E-3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2.3072640325483465E-2</v>
      </c>
      <c r="AH142" s="488">
        <f t="shared" si="10"/>
        <v>4.777176572946891E-2</v>
      </c>
      <c r="AI142" s="1387"/>
      <c r="AJ142" s="1386"/>
      <c r="AK142" s="1387"/>
    </row>
    <row r="143" spans="1:37">
      <c r="A143" s="157">
        <f>'Input data'!A138</f>
        <v>2038</v>
      </c>
      <c r="B143" s="417">
        <f>'Recycling - Case 2'!AP118</f>
        <v>4.5304526686490987E-2</v>
      </c>
      <c r="C143" s="527">
        <f>'Recycling - Case 2'!$AK118*'Recycling - Case 2'!BM118*'4C2 Open-burning '!$B143</f>
        <v>254.79870201823857</v>
      </c>
      <c r="D143" s="528">
        <f>'Recycling - Case 2'!$AK118*'Recycling - Case 2'!BN118*'4C2 Open-burning '!$B143</f>
        <v>266.11309631973228</v>
      </c>
      <c r="E143" s="528">
        <f>'Recycling - Case 2'!$AK118*'Recycling - Case 2'!BO118*'4C2 Open-burning '!$B143</f>
        <v>72.683565179492319</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284.16776814228882</v>
      </c>
      <c r="J143" s="744">
        <f t="shared" si="12"/>
        <v>877.76313165975193</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0.38396110875979328</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9.7901479480381326</v>
      </c>
      <c r="R143" s="1382">
        <f t="shared" si="8"/>
        <v>10.174109056797926</v>
      </c>
      <c r="S143" s="485">
        <f>C143*'4C2 Open-burning '!$C$9*'4C2 Open-burning '!$C$11*$C$5</f>
        <v>0.9937149378711303</v>
      </c>
      <c r="T143" s="485">
        <f>D143*'4C2 Open-burning '!$C$9*'4C2 Open-burning '!$C$11*$C$5</f>
        <v>1.0378410756469558</v>
      </c>
      <c r="U143" s="485">
        <f>E143*'4C2 Open-burning '!$C$9*'4C2 Open-burning '!$C$11*$C$5</f>
        <v>0.28346590420002005</v>
      </c>
      <c r="V143" s="485">
        <f>F143*'4C2 Open-burning '!$C$9*'4C2 Open-burning '!$C$11*$C$5</f>
        <v>0</v>
      </c>
      <c r="W143" s="485">
        <f>G143*'4C2 Open-burning '!$C$9*'4C2 Open-burning '!$C$11*$C$5</f>
        <v>0</v>
      </c>
      <c r="X143" s="485">
        <f>H143*'4C2 Open-burning '!$C$9*'4C2 Open-burning '!$C$11*$C$5</f>
        <v>0</v>
      </c>
      <c r="Y143" s="485">
        <f>I143*'4C2 Open-burning '!$C$9*'4C2 Open-burning '!$C$11*$C$5</f>
        <v>1.1082542957549264</v>
      </c>
      <c r="Z143" s="486">
        <f t="shared" si="9"/>
        <v>3.423276213473033</v>
      </c>
      <c r="AA143" s="487">
        <f>C143*'4C2 Open-burning '!$C$10*'4C2 Open-burning '!$C$11*$C$5*C$15</f>
        <v>9.1727532726565888E-3</v>
      </c>
      <c r="AB143" s="487">
        <f>D143*'4C2 Open-burning '!$C$10*'4C2 Open-burning '!$C$11*$C$5*D$15</f>
        <v>9.5800714675103628E-3</v>
      </c>
      <c r="AC143" s="487">
        <f>E143*'4C2 Open-burning '!$C$10*'4C2 Open-burning '!$C$11*$C$5*E$15</f>
        <v>5.8873687795388784E-3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2.3017589219525396E-2</v>
      </c>
      <c r="AH143" s="488">
        <f t="shared" si="10"/>
        <v>4.7657782739231228E-2</v>
      </c>
      <c r="AI143" s="1387"/>
      <c r="AJ143" s="1386"/>
      <c r="AK143" s="1387"/>
    </row>
    <row r="144" spans="1:37">
      <c r="A144" s="157">
        <f>'Input data'!A139</f>
        <v>2039</v>
      </c>
      <c r="B144" s="417">
        <f>'Recycling - Case 2'!AP119</f>
        <v>4.5044743124892074E-2</v>
      </c>
      <c r="C144" s="527">
        <f>'Recycling - Case 2'!$AK119*'Recycling - Case 2'!BM119*'4C2 Open-burning '!$B144</f>
        <v>254.21482529347011</v>
      </c>
      <c r="D144" s="528">
        <f>'Recycling - Case 2'!$AK119*'Recycling - Case 2'!BN119*'4C2 Open-burning '!$B144</f>
        <v>265.50329241623336</v>
      </c>
      <c r="E144" s="528">
        <f>'Recycling - Case 2'!$AK119*'Recycling - Case 2'!BO119*'4C2 Open-burning '!$B144</f>
        <v>72.5170092212188</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283.51659156865065</v>
      </c>
      <c r="J144" s="744">
        <f t="shared" si="12"/>
        <v>875.75171849957292</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0.38308125359237927</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9.767713612723151</v>
      </c>
      <c r="R144" s="1382">
        <f t="shared" si="8"/>
        <v>10.150794866315531</v>
      </c>
      <c r="S144" s="485">
        <f>C144*'4C2 Open-burning '!$C$9*'4C2 Open-burning '!$C$11*$C$5</f>
        <v>0.9914378186445334</v>
      </c>
      <c r="T144" s="485">
        <f>D144*'4C2 Open-burning '!$C$9*'4C2 Open-burning '!$C$11*$C$5</f>
        <v>1.0354628404233099</v>
      </c>
      <c r="U144" s="485">
        <f>E144*'4C2 Open-burning '!$C$9*'4C2 Open-burning '!$C$11*$C$5</f>
        <v>0.2828163359627533</v>
      </c>
      <c r="V144" s="485">
        <f>F144*'4C2 Open-burning '!$C$9*'4C2 Open-burning '!$C$11*$C$5</f>
        <v>0</v>
      </c>
      <c r="W144" s="485">
        <f>G144*'4C2 Open-burning '!$C$9*'4C2 Open-burning '!$C$11*$C$5</f>
        <v>0</v>
      </c>
      <c r="X144" s="485">
        <f>H144*'4C2 Open-burning '!$C$9*'4C2 Open-burning '!$C$11*$C$5</f>
        <v>0</v>
      </c>
      <c r="Y144" s="485">
        <f>I144*'4C2 Open-burning '!$C$9*'4C2 Open-burning '!$C$11*$C$5</f>
        <v>1.1057147071177376</v>
      </c>
      <c r="Z144" s="486">
        <f t="shared" si="9"/>
        <v>3.415431702148334</v>
      </c>
      <c r="AA144" s="487">
        <f>C144*'4C2 Open-burning '!$C$10*'4C2 Open-burning '!$C$11*$C$5*C$15</f>
        <v>9.1517337105649233E-3</v>
      </c>
      <c r="AB144" s="487">
        <f>D144*'4C2 Open-burning '!$C$10*'4C2 Open-burning '!$C$11*$C$5*D$15</f>
        <v>9.5581185269844014E-3</v>
      </c>
      <c r="AC144" s="487">
        <f>E144*'4C2 Open-burning '!$C$10*'4C2 Open-burning '!$C$11*$C$5*E$15</f>
        <v>5.8738777469187218E-3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2.2964843917060704E-2</v>
      </c>
      <c r="AH144" s="488">
        <f t="shared" si="10"/>
        <v>4.7548573901528751E-2</v>
      </c>
      <c r="AI144" s="1387"/>
      <c r="AJ144" s="1386"/>
      <c r="AK144" s="1387"/>
    </row>
    <row r="145" spans="1:39">
      <c r="A145" s="157">
        <f>'Input data'!A140</f>
        <v>2040</v>
      </c>
      <c r="B145" s="417">
        <f>'Recycling - Case 2'!AP120</f>
        <v>4.4794858642171469E-2</v>
      </c>
      <c r="C145" s="527">
        <f>'Recycling - Case 2'!$AK120*'Recycling - Case 2'!BM120*'4C2 Open-burning '!$B145</f>
        <v>253.65573447308122</v>
      </c>
      <c r="D145" s="528">
        <f>'Recycling - Case 2'!$AK120*'Recycling - Case 2'!BN120*'4C2 Open-burning '!$B145</f>
        <v>264.91937504083415</v>
      </c>
      <c r="E145" s="528">
        <f>'Recycling - Case 2'!$AK120*'Recycling - Case 2'!BO120*'4C2 Open-burning '!$B145</f>
        <v>72.357523659624064</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282.89305781686818</v>
      </c>
      <c r="J145" s="744">
        <f t="shared" si="12"/>
        <v>873.82569099040757</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0.38223874878527647</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9.7462316279067416</v>
      </c>
      <c r="R145" s="1382">
        <f t="shared" si="8"/>
        <v>10.128470376692018</v>
      </c>
      <c r="S145" s="485">
        <f>C145*'4C2 Open-burning '!$C$9*'4C2 Open-burning '!$C$11*$C$5</f>
        <v>0.98925736444501666</v>
      </c>
      <c r="T145" s="485">
        <f>D145*'4C2 Open-burning '!$C$9*'4C2 Open-burning '!$C$11*$C$5</f>
        <v>1.0331855626592532</v>
      </c>
      <c r="U145" s="485">
        <f>E145*'4C2 Open-burning '!$C$9*'4C2 Open-burning '!$C$11*$C$5</f>
        <v>0.28219434227253382</v>
      </c>
      <c r="V145" s="485">
        <f>F145*'4C2 Open-burning '!$C$9*'4C2 Open-burning '!$C$11*$C$5</f>
        <v>0</v>
      </c>
      <c r="W145" s="485">
        <f>G145*'4C2 Open-burning '!$C$9*'4C2 Open-burning '!$C$11*$C$5</f>
        <v>0</v>
      </c>
      <c r="X145" s="485">
        <f>H145*'4C2 Open-burning '!$C$9*'4C2 Open-burning '!$C$11*$C$5</f>
        <v>0</v>
      </c>
      <c r="Y145" s="485">
        <f>I145*'4C2 Open-burning '!$C$9*'4C2 Open-burning '!$C$11*$C$5</f>
        <v>1.1032829254857859</v>
      </c>
      <c r="Z145" s="486">
        <f t="shared" si="9"/>
        <v>3.4079201948625895</v>
      </c>
      <c r="AA145" s="487">
        <f>C145*'4C2 Open-burning '!$C$10*'4C2 Open-burning '!$C$11*$C$5*C$15</f>
        <v>9.1316064410309258E-3</v>
      </c>
      <c r="AB145" s="487">
        <f>D145*'4C2 Open-burning '!$C$10*'4C2 Open-burning '!$C$11*$C$5*D$15</f>
        <v>9.53709750147003E-3</v>
      </c>
      <c r="AC145" s="487">
        <f>E145*'4C2 Open-burning '!$C$10*'4C2 Open-burning '!$C$11*$C$5*E$15</f>
        <v>5.8609594164295486E-3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2.2914337683166322E-2</v>
      </c>
      <c r="AH145" s="488">
        <f t="shared" si="10"/>
        <v>4.7444001042096826E-2</v>
      </c>
      <c r="AI145" s="1387"/>
      <c r="AJ145" s="1386"/>
      <c r="AK145" s="1387"/>
    </row>
    <row r="146" spans="1:39">
      <c r="A146" s="157">
        <f>'Input data'!A141</f>
        <v>2041</v>
      </c>
      <c r="B146" s="417">
        <f>'Recycling - Case 2'!AP121</f>
        <v>4.4554689677662442E-2</v>
      </c>
      <c r="C146" s="527">
        <f>'Recycling - Case 2'!$AK121*'Recycling - Case 2'!BM121*'4C2 Open-burning '!$B146</f>
        <v>253.12073127799522</v>
      </c>
      <c r="D146" s="528">
        <f>'Recycling - Case 2'!$AK121*'Recycling - Case 2'!BN121*'4C2 Open-burning '!$B146</f>
        <v>264.36061490721664</v>
      </c>
      <c r="E146" s="528">
        <f>'Recycling - Case 2'!$AK121*'Recycling - Case 2'!BO121*'4C2 Open-burning '!$B146</f>
        <v>72.204909304475237</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282.29638812156611</v>
      </c>
      <c r="J146" s="744">
        <f t="shared" si="12"/>
        <v>871.98264361125314</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0.38143254208819305</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9.725675163564194</v>
      </c>
      <c r="R146" s="1382">
        <f t="shared" si="8"/>
        <v>10.107107705652387</v>
      </c>
      <c r="S146" s="485">
        <f>C146*'4C2 Open-burning '!$C$9*'4C2 Open-burning '!$C$11*$C$5</f>
        <v>0.9871708519841812</v>
      </c>
      <c r="T146" s="485">
        <f>D146*'4C2 Open-burning '!$C$9*'4C2 Open-burning '!$C$11*$C$5</f>
        <v>1.0310063981381448</v>
      </c>
      <c r="U146" s="485">
        <f>E146*'4C2 Open-burning '!$C$9*'4C2 Open-burning '!$C$11*$C$5</f>
        <v>0.28159914628745342</v>
      </c>
      <c r="V146" s="485">
        <f>F146*'4C2 Open-burning '!$C$9*'4C2 Open-burning '!$C$11*$C$5</f>
        <v>0</v>
      </c>
      <c r="W146" s="485">
        <f>G146*'4C2 Open-burning '!$C$9*'4C2 Open-burning '!$C$11*$C$5</f>
        <v>0</v>
      </c>
      <c r="X146" s="485">
        <f>H146*'4C2 Open-burning '!$C$9*'4C2 Open-burning '!$C$11*$C$5</f>
        <v>0</v>
      </c>
      <c r="Y146" s="485">
        <f>I146*'4C2 Open-burning '!$C$9*'4C2 Open-burning '!$C$11*$C$5</f>
        <v>1.1009559136741078</v>
      </c>
      <c r="Z146" s="486">
        <f t="shared" si="9"/>
        <v>3.4007323100838871</v>
      </c>
      <c r="AA146" s="487">
        <f>C146*'4C2 Open-burning '!$C$10*'4C2 Open-burning '!$C$11*$C$5*C$15</f>
        <v>9.112346326007827E-3</v>
      </c>
      <c r="AB146" s="487">
        <f>D146*'4C2 Open-burning '!$C$10*'4C2 Open-burning '!$C$11*$C$5*D$15</f>
        <v>9.5169821366598E-3</v>
      </c>
      <c r="AC146" s="487">
        <f>E146*'4C2 Open-burning '!$C$10*'4C2 Open-burning '!$C$11*$C$5*E$15</f>
        <v>5.8485976536624936E-3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2.2866007437846857E-2</v>
      </c>
      <c r="AH146" s="488">
        <f t="shared" si="10"/>
        <v>4.7343933554176973E-2</v>
      </c>
      <c r="AI146" s="1387"/>
      <c r="AJ146" s="1386"/>
      <c r="AK146" s="1387"/>
    </row>
    <row r="147" spans="1:39">
      <c r="A147" s="157">
        <f>'Input data'!A142</f>
        <v>2042</v>
      </c>
      <c r="B147" s="417">
        <f>'Recycling - Case 2'!AP122</f>
        <v>4.4324062301071603E-2</v>
      </c>
      <c r="C147" s="527">
        <f>'Recycling - Case 2'!$AK122*'Recycling - Case 2'!BM122*'4C2 Open-burning '!$B147</f>
        <v>252.60915582819115</v>
      </c>
      <c r="D147" s="528">
        <f>'Recycling - Case 2'!$AK122*'Recycling - Case 2'!BN122*'4C2 Open-burning '!$B147</f>
        <v>263.8263228332375</v>
      </c>
      <c r="E147" s="528">
        <f>'Recycling - Case 2'!$AK122*'Recycling - Case 2'!BO122*'4C2 Open-burning '!$B147</f>
        <v>72.058977919207038</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281.72584654244611</v>
      </c>
      <c r="J147" s="744">
        <f t="shared" si="12"/>
        <v>870.22030312308175</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0.38066163911511985</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9.7060188650803525</v>
      </c>
      <c r="R147" s="1382">
        <f t="shared" si="8"/>
        <v>10.086680504195472</v>
      </c>
      <c r="S147" s="485">
        <f>C147*'4C2 Open-burning '!$C$9*'4C2 Open-burning '!$C$11*$C$5</f>
        <v>0.98517570772994545</v>
      </c>
      <c r="T147" s="485">
        <f>D147*'4C2 Open-burning '!$C$9*'4C2 Open-burning '!$C$11*$C$5</f>
        <v>1.0289226590496261</v>
      </c>
      <c r="U147" s="485">
        <f>E147*'4C2 Open-burning '!$C$9*'4C2 Open-burning '!$C$11*$C$5</f>
        <v>0.28103001388490739</v>
      </c>
      <c r="V147" s="485">
        <f>F147*'4C2 Open-burning '!$C$9*'4C2 Open-burning '!$C$11*$C$5</f>
        <v>0</v>
      </c>
      <c r="W147" s="485">
        <f>G147*'4C2 Open-burning '!$C$9*'4C2 Open-burning '!$C$11*$C$5</f>
        <v>0</v>
      </c>
      <c r="X147" s="485">
        <f>H147*'4C2 Open-burning '!$C$9*'4C2 Open-burning '!$C$11*$C$5</f>
        <v>0</v>
      </c>
      <c r="Y147" s="485">
        <f>I147*'4C2 Open-burning '!$C$9*'4C2 Open-burning '!$C$11*$C$5</f>
        <v>1.0987308015155397</v>
      </c>
      <c r="Z147" s="486">
        <f t="shared" si="9"/>
        <v>3.3938591821800186</v>
      </c>
      <c r="AA147" s="487">
        <f>C147*'4C2 Open-burning '!$C$10*'4C2 Open-burning '!$C$11*$C$5*C$15</f>
        <v>9.0939296098148797E-3</v>
      </c>
      <c r="AB147" s="487">
        <f>D147*'4C2 Open-burning '!$C$10*'4C2 Open-burning '!$C$11*$C$5*D$15</f>
        <v>9.4977476219965488E-3</v>
      </c>
      <c r="AC147" s="487">
        <f>E147*'4C2 Open-burning '!$C$10*'4C2 Open-burning '!$C$11*$C$5*E$15</f>
        <v>5.83677721145577E-3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2.2819793569938133E-2</v>
      </c>
      <c r="AH147" s="488">
        <f t="shared" si="10"/>
        <v>4.7248248013205332E-2</v>
      </c>
      <c r="AI147" s="1387"/>
      <c r="AJ147" s="1386"/>
      <c r="AK147" s="1387"/>
    </row>
    <row r="148" spans="1:39">
      <c r="A148" s="157">
        <f>'Input data'!A143</f>
        <v>2043</v>
      </c>
      <c r="B148" s="417">
        <f>'Recycling - Case 2'!AP123</f>
        <v>4.4102811765075238E-2</v>
      </c>
      <c r="C148" s="527">
        <f>'Recycling - Case 2'!$AK123*'Recycling - Case 2'!BM123*'4C2 Open-burning '!$B148</f>
        <v>252.1203847294278</v>
      </c>
      <c r="D148" s="528">
        <f>'Recycling - Case 2'!$AK123*'Recycling - Case 2'!BN123*'4C2 Open-burning '!$B148</f>
        <v>263.31584774269248</v>
      </c>
      <c r="E148" s="528">
        <f>'Recycling - Case 2'!$AK123*'Recycling - Case 2'!BO123*'4C2 Open-burning '!$B148</f>
        <v>71.919551675142912</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281.18073783047907</v>
      </c>
      <c r="J148" s="744">
        <f t="shared" si="12"/>
        <v>868.53652197774227</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0.37992510046117695</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9.6872387797356634</v>
      </c>
      <c r="R148" s="1382">
        <f t="shared" si="8"/>
        <v>10.067163880196841</v>
      </c>
      <c r="S148" s="485">
        <f>C148*'4C2 Open-burning '!$C$9*'4C2 Open-burning '!$C$11*$C$5</f>
        <v>0.98326950044476835</v>
      </c>
      <c r="T148" s="485">
        <f>D148*'4C2 Open-burning '!$C$9*'4C2 Open-burning '!$C$11*$C$5</f>
        <v>1.0269318061965007</v>
      </c>
      <c r="U148" s="485">
        <f>E148*'4C2 Open-burning '!$C$9*'4C2 Open-burning '!$C$11*$C$5</f>
        <v>0.28048625153305734</v>
      </c>
      <c r="V148" s="485">
        <f>F148*'4C2 Open-burning '!$C$9*'4C2 Open-burning '!$C$11*$C$5</f>
        <v>0</v>
      </c>
      <c r="W148" s="485">
        <f>G148*'4C2 Open-burning '!$C$9*'4C2 Open-burning '!$C$11*$C$5</f>
        <v>0</v>
      </c>
      <c r="X148" s="485">
        <f>H148*'4C2 Open-burning '!$C$9*'4C2 Open-burning '!$C$11*$C$5</f>
        <v>0</v>
      </c>
      <c r="Y148" s="485">
        <f>I148*'4C2 Open-burning '!$C$9*'4C2 Open-burning '!$C$11*$C$5</f>
        <v>1.0966048775388684</v>
      </c>
      <c r="Z148" s="486">
        <f t="shared" si="9"/>
        <v>3.3872924357131948</v>
      </c>
      <c r="AA148" s="487">
        <f>C148*'4C2 Open-burning '!$C$10*'4C2 Open-burning '!$C$11*$C$5*C$15</f>
        <v>9.0763338502594017E-3</v>
      </c>
      <c r="AB148" s="487">
        <f>D148*'4C2 Open-burning '!$C$10*'4C2 Open-burning '!$C$11*$C$5*D$15</f>
        <v>9.4793705187369293E-3</v>
      </c>
      <c r="AC148" s="487">
        <f>E148*'4C2 Open-burning '!$C$10*'4C2 Open-burning '!$C$11*$C$5*E$15</f>
        <v>5.8254836856865763E-3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2.2775639764268805E-2</v>
      </c>
      <c r="AH148" s="488">
        <f t="shared" si="10"/>
        <v>4.715682781895171E-2</v>
      </c>
      <c r="AI148" s="1387"/>
      <c r="AJ148" s="1386"/>
      <c r="AK148" s="1387"/>
    </row>
    <row r="149" spans="1:39">
      <c r="A149" s="157">
        <f>'Input data'!A144</f>
        <v>2044</v>
      </c>
      <c r="B149" s="417">
        <f>'Recycling - Case 2'!AP124</f>
        <v>4.3890752620608799E-2</v>
      </c>
      <c r="C149" s="527">
        <f>'Recycling - Case 2'!$AK124*'Recycling - Case 2'!BM124*'4C2 Open-burning '!$B149</f>
        <v>251.6537645756311</v>
      </c>
      <c r="D149" s="528">
        <f>'Recycling - Case 2'!$AK124*'Recycling - Case 2'!BN124*'4C2 Open-burning '!$B149</f>
        <v>262.82850721486221</v>
      </c>
      <c r="E149" s="528">
        <f>'Recycling - Case 2'!$AK124*'Recycling - Case 2'!BO124*'4C2 Open-burning '!$B149</f>
        <v>71.78644418246769</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280.66033326552514</v>
      </c>
      <c r="J149" s="744">
        <f t="shared" si="12"/>
        <v>866.92904923848619</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0.37922194149607114</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9.6693098016638714</v>
      </c>
      <c r="R149" s="1382">
        <f t="shared" si="8"/>
        <v>10.048531743159943</v>
      </c>
      <c r="S149" s="485">
        <f>C149*'4C2 Open-burning '!$C$9*'4C2 Open-burning '!$C$11*$C$5</f>
        <v>0.98144968184496129</v>
      </c>
      <c r="T149" s="485">
        <f>D149*'4C2 Open-burning '!$C$9*'4C2 Open-burning '!$C$11*$C$5</f>
        <v>1.0250311781379624</v>
      </c>
      <c r="U149" s="485">
        <f>E149*'4C2 Open-burning '!$C$9*'4C2 Open-burning '!$C$11*$C$5</f>
        <v>0.27996713231162396</v>
      </c>
      <c r="V149" s="485">
        <f>F149*'4C2 Open-burning '!$C$9*'4C2 Open-burning '!$C$11*$C$5</f>
        <v>0</v>
      </c>
      <c r="W149" s="485">
        <f>G149*'4C2 Open-burning '!$C$9*'4C2 Open-burning '!$C$11*$C$5</f>
        <v>0</v>
      </c>
      <c r="X149" s="485">
        <f>H149*'4C2 Open-burning '!$C$9*'4C2 Open-burning '!$C$11*$C$5</f>
        <v>0</v>
      </c>
      <c r="Y149" s="485">
        <f>I149*'4C2 Open-burning '!$C$9*'4C2 Open-burning '!$C$11*$C$5</f>
        <v>1.094575299735548</v>
      </c>
      <c r="Z149" s="486">
        <f t="shared" si="9"/>
        <v>3.381023292030096</v>
      </c>
      <c r="AA149" s="487">
        <f>C149*'4C2 Open-burning '!$C$10*'4C2 Open-burning '!$C$11*$C$5*C$15</f>
        <v>9.0595355247227206E-3</v>
      </c>
      <c r="AB149" s="487">
        <f>D149*'4C2 Open-burning '!$C$10*'4C2 Open-burning '!$C$11*$C$5*D$15</f>
        <v>9.4618262597350403E-3</v>
      </c>
      <c r="AC149" s="487">
        <f>E149*'4C2 Open-burning '!$C$10*'4C2 Open-burning '!$C$11*$C$5*E$15</f>
        <v>5.814701978779882E-3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2.2733486994507536E-2</v>
      </c>
      <c r="AH149" s="488">
        <f t="shared" si="10"/>
        <v>4.7069550757745181E-2</v>
      </c>
      <c r="AI149" s="1387"/>
      <c r="AJ149" s="1386"/>
      <c r="AK149" s="1387"/>
    </row>
    <row r="150" spans="1:39">
      <c r="A150" s="157">
        <f>'Input data'!A145</f>
        <v>2045</v>
      </c>
      <c r="B150" s="417">
        <f>'Recycling - Case 2'!AP125</f>
        <v>4.3687737742628539E-2</v>
      </c>
      <c r="C150" s="527">
        <f>'Recycling - Case 2'!$AK125*'Recycling - Case 2'!BM125*'4C2 Open-burning '!$B150</f>
        <v>251.20874149203863</v>
      </c>
      <c r="D150" s="528">
        <f>'Recycling - Case 2'!$AK125*'Recycling - Case 2'!BN125*'4C2 Open-burning '!$B150</f>
        <v>262.36372278004956</v>
      </c>
      <c r="E150" s="528">
        <f>'Recycling - Case 2'!$AK125*'Recycling - Case 2'!BO125*'4C2 Open-burning '!$B150</f>
        <v>71.659497443546087</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280.16401513111322</v>
      </c>
      <c r="J150" s="744">
        <f t="shared" si="12"/>
        <v>865.39597684674754</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0.37855132757517429</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9.6522106492971123</v>
      </c>
      <c r="R150" s="1382">
        <f t="shared" si="8"/>
        <v>10.030761976872286</v>
      </c>
      <c r="S150" s="485">
        <f>C150*'4C2 Open-burning '!$C$9*'4C2 Open-burning '!$C$11*$C$5</f>
        <v>0.97971409181895053</v>
      </c>
      <c r="T150" s="485">
        <f>D150*'4C2 Open-burning '!$C$9*'4C2 Open-burning '!$C$11*$C$5</f>
        <v>1.0232185188421932</v>
      </c>
      <c r="U150" s="485">
        <f>E150*'4C2 Open-burning '!$C$9*'4C2 Open-burning '!$C$11*$C$5</f>
        <v>0.27947204002982973</v>
      </c>
      <c r="V150" s="485">
        <f>F150*'4C2 Open-burning '!$C$9*'4C2 Open-burning '!$C$11*$C$5</f>
        <v>0</v>
      </c>
      <c r="W150" s="485">
        <f>G150*'4C2 Open-burning '!$C$9*'4C2 Open-burning '!$C$11*$C$5</f>
        <v>0</v>
      </c>
      <c r="X150" s="485">
        <f>H150*'4C2 Open-burning '!$C$9*'4C2 Open-burning '!$C$11*$C$5</f>
        <v>0</v>
      </c>
      <c r="Y150" s="485">
        <f>I150*'4C2 Open-burning '!$C$9*'4C2 Open-burning '!$C$11*$C$5</f>
        <v>1.0926396590113416</v>
      </c>
      <c r="Z150" s="486">
        <f t="shared" si="9"/>
        <v>3.3750443097023153</v>
      </c>
      <c r="AA150" s="487">
        <f>C150*'4C2 Open-burning '!$C$10*'4C2 Open-burning '!$C$11*$C$5*C$15</f>
        <v>9.0435146937133913E-3</v>
      </c>
      <c r="AB150" s="487">
        <f>D150*'4C2 Open-burning '!$C$10*'4C2 Open-burning '!$C$11*$C$5*D$15</f>
        <v>9.4450940200817846E-3</v>
      </c>
      <c r="AC150" s="487">
        <f>E150*'4C2 Open-burning '!$C$10*'4C2 Open-burning '!$C$11*$C$5*E$15</f>
        <v>5.8044192929272327E-3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2.2693285225620169E-2</v>
      </c>
      <c r="AH150" s="488">
        <f t="shared" si="10"/>
        <v>4.6986313232342578E-2</v>
      </c>
      <c r="AI150" s="1387"/>
      <c r="AJ150" s="1386"/>
      <c r="AK150" s="1387"/>
    </row>
    <row r="151" spans="1:39">
      <c r="A151" s="157">
        <f>'Input data'!A146</f>
        <v>2046</v>
      </c>
      <c r="B151" s="417">
        <f>'Recycling - Case 2'!AP126</f>
        <v>4.3493627985678456E-2</v>
      </c>
      <c r="C151" s="527">
        <f>'Recycling - Case 2'!$AK126*'Recycling - Case 2'!BM126*'4C2 Open-burning '!$B151</f>
        <v>250.78479294945944</v>
      </c>
      <c r="D151" s="528">
        <f>'Recycling - Case 2'!$AK126*'Recycling - Case 2'!BN126*'4C2 Open-burning '!$B151</f>
        <v>261.92094870603597</v>
      </c>
      <c r="E151" s="528">
        <f>'Recycling - Case 2'!$AK126*'Recycling - Case 2'!BO126*'4C2 Open-burning '!$B151</f>
        <v>71.53856240234208</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279.69120066935318</v>
      </c>
      <c r="J151" s="744">
        <f t="shared" si="12"/>
        <v>863.93550472719073</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0.37791247128910838</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9.6359212454605547</v>
      </c>
      <c r="R151" s="1382">
        <f t="shared" si="8"/>
        <v>10.013833716749662</v>
      </c>
      <c r="S151" s="485">
        <f>C151*'4C2 Open-burning '!$C$9*'4C2 Open-burning '!$C$11*$C$5</f>
        <v>0.97806069250289174</v>
      </c>
      <c r="T151" s="485">
        <f>D151*'4C2 Open-burning '!$C$9*'4C2 Open-burning '!$C$11*$C$5</f>
        <v>1.0214916999535402</v>
      </c>
      <c r="U151" s="485">
        <f>E151*'4C2 Open-burning '!$C$9*'4C2 Open-burning '!$C$11*$C$5</f>
        <v>0.27900039336913407</v>
      </c>
      <c r="V151" s="485">
        <f>F151*'4C2 Open-burning '!$C$9*'4C2 Open-burning '!$C$11*$C$5</f>
        <v>0</v>
      </c>
      <c r="W151" s="485">
        <f>G151*'4C2 Open-burning '!$C$9*'4C2 Open-burning '!$C$11*$C$5</f>
        <v>0</v>
      </c>
      <c r="X151" s="485">
        <f>H151*'4C2 Open-burning '!$C$9*'4C2 Open-burning '!$C$11*$C$5</f>
        <v>0</v>
      </c>
      <c r="Y151" s="485">
        <f>I151*'4C2 Open-burning '!$C$9*'4C2 Open-burning '!$C$11*$C$5</f>
        <v>1.0907956826104772</v>
      </c>
      <c r="Z151" s="486">
        <f t="shared" si="9"/>
        <v>3.3693484684360433</v>
      </c>
      <c r="AA151" s="487">
        <f>C151*'4C2 Open-burning '!$C$10*'4C2 Open-burning '!$C$11*$C$5*C$15</f>
        <v>9.0282525461805388E-3</v>
      </c>
      <c r="AB151" s="487">
        <f>D151*'4C2 Open-burning '!$C$10*'4C2 Open-burning '!$C$11*$C$5*D$15</f>
        <v>9.4291541534172948E-3</v>
      </c>
      <c r="AC151" s="487">
        <f>E151*'4C2 Open-burning '!$C$10*'4C2 Open-burning '!$C$11*$C$5*E$15</f>
        <v>5.794623554589708E-3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2.2654987254217607E-2</v>
      </c>
      <c r="AH151" s="488">
        <f t="shared" si="10"/>
        <v>4.6907017508405147E-2</v>
      </c>
      <c r="AI151" s="1387"/>
      <c r="AJ151" s="1386"/>
      <c r="AK151" s="1387"/>
    </row>
    <row r="152" spans="1:39">
      <c r="A152" s="157">
        <f>'Input data'!A147</f>
        <v>2047</v>
      </c>
      <c r="B152" s="417">
        <f>'Recycling - Case 2'!AP127</f>
        <v>4.3308291854818964E-2</v>
      </c>
      <c r="C152" s="527">
        <f>'Recycling - Case 2'!$AK127*'Recycling - Case 2'!BM127*'4C2 Open-burning '!$B152</f>
        <v>250.38142634784214</v>
      </c>
      <c r="D152" s="528">
        <f>'Recycling - Case 2'!$AK127*'Recycling - Case 2'!BN127*'4C2 Open-burning '!$B152</f>
        <v>261.49967051875279</v>
      </c>
      <c r="E152" s="528">
        <f>'Recycling - Case 2'!$AK127*'Recycling - Case 2'!BO127*'4C2 Open-burning '!$B152</f>
        <v>71.423498540369252</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279.24134050124093</v>
      </c>
      <c r="J152" s="744">
        <f t="shared" si="12"/>
        <v>862.54593590820514</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0.37730463032929623</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9.6204226629487515</v>
      </c>
      <c r="R152" s="1382">
        <f t="shared" si="8"/>
        <v>9.9977272932780483</v>
      </c>
      <c r="S152" s="485">
        <f>C152*'4C2 Open-burning '!$C$9*'4C2 Open-burning '!$C$11*$C$5</f>
        <v>0.97648756275658433</v>
      </c>
      <c r="T152" s="485">
        <f>D152*'4C2 Open-burning '!$C$9*'4C2 Open-burning '!$C$11*$C$5</f>
        <v>1.0198487150231357</v>
      </c>
      <c r="U152" s="485">
        <f>E152*'4C2 Open-burning '!$C$9*'4C2 Open-burning '!$C$11*$C$5</f>
        <v>0.27855164430744001</v>
      </c>
      <c r="V152" s="485">
        <f>F152*'4C2 Open-burning '!$C$9*'4C2 Open-burning '!$C$11*$C$5</f>
        <v>0</v>
      </c>
      <c r="W152" s="485">
        <f>G152*'4C2 Open-burning '!$C$9*'4C2 Open-burning '!$C$11*$C$5</f>
        <v>0</v>
      </c>
      <c r="X152" s="485">
        <f>H152*'4C2 Open-burning '!$C$9*'4C2 Open-burning '!$C$11*$C$5</f>
        <v>0</v>
      </c>
      <c r="Y152" s="485">
        <f>I152*'4C2 Open-burning '!$C$9*'4C2 Open-burning '!$C$11*$C$5</f>
        <v>1.0890412279548394</v>
      </c>
      <c r="Z152" s="486">
        <f t="shared" si="9"/>
        <v>3.3639291500419994</v>
      </c>
      <c r="AA152" s="487">
        <f>C152*'4C2 Open-burning '!$C$10*'4C2 Open-burning '!$C$11*$C$5*C$15</f>
        <v>9.0137313485223174E-3</v>
      </c>
      <c r="AB152" s="487">
        <f>D152*'4C2 Open-burning '!$C$10*'4C2 Open-burning '!$C$11*$C$5*D$15</f>
        <v>9.4139881386751008E-3</v>
      </c>
      <c r="AC152" s="487">
        <f>E152*'4C2 Open-burning '!$C$10*'4C2 Open-burning '!$C$11*$C$5*E$15</f>
        <v>5.7853033817699094E-3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2.2618548580600511E-2</v>
      </c>
      <c r="AH152" s="488">
        <f t="shared" si="10"/>
        <v>4.6831571449567837E-2</v>
      </c>
      <c r="AI152" s="1387"/>
      <c r="AJ152" s="1386"/>
      <c r="AK152" s="1387"/>
    </row>
    <row r="153" spans="1:39">
      <c r="A153" s="157">
        <f>'Input data'!A148</f>
        <v>2048</v>
      </c>
      <c r="B153" s="417">
        <f>'Recycling - Case 2'!AP128</f>
        <v>4.3131605200468007E-2</v>
      </c>
      <c r="C153" s="527">
        <f>'Recycling - Case 2'!$AK128*'Recycling - Case 2'!BM128*'4C2 Open-burning '!$B153</f>
        <v>249.99817770049785</v>
      </c>
      <c r="D153" s="528">
        <f>'Recycling - Case 2'!$AK128*'Recycling - Case 2'!BN128*'4C2 Open-burning '!$B153</f>
        <v>261.09940362807674</v>
      </c>
      <c r="E153" s="528">
        <f>'Recycling - Case 2'!$AK128*'Recycling - Case 2'!BO128*'4C2 Open-burning '!$B153</f>
        <v>71.314173501353906</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278.81391715921939</v>
      </c>
      <c r="J153" s="744">
        <f t="shared" si="12"/>
        <v>861.22567198914794</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0.37672710550519217</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9.6056970739694254</v>
      </c>
      <c r="R153" s="1382">
        <f t="shared" ref="R153:R155" si="13">SUM(K153:Q153)</f>
        <v>9.9824241794746182</v>
      </c>
      <c r="S153" s="485">
        <f>C153*'4C2 Open-burning '!$C$9*'4C2 Open-burning '!$C$11*$C$5</f>
        <v>0.97499289303194148</v>
      </c>
      <c r="T153" s="485">
        <f>D153*'4C2 Open-burning '!$C$9*'4C2 Open-burning '!$C$11*$C$5</f>
        <v>1.0182876741494993</v>
      </c>
      <c r="U153" s="485">
        <f>E153*'4C2 Open-burning '!$C$9*'4C2 Open-burning '!$C$11*$C$5</f>
        <v>0.2781252766552802</v>
      </c>
      <c r="V153" s="485">
        <f>F153*'4C2 Open-burning '!$C$9*'4C2 Open-burning '!$C$11*$C$5</f>
        <v>0</v>
      </c>
      <c r="W153" s="485">
        <f>G153*'4C2 Open-burning '!$C$9*'4C2 Open-burning '!$C$11*$C$5</f>
        <v>0</v>
      </c>
      <c r="X153" s="485">
        <f>H153*'4C2 Open-burning '!$C$9*'4C2 Open-burning '!$C$11*$C$5</f>
        <v>0</v>
      </c>
      <c r="Y153" s="485">
        <f>I153*'4C2 Open-burning '!$C$9*'4C2 Open-burning '!$C$11*$C$5</f>
        <v>1.0873742769209553</v>
      </c>
      <c r="Z153" s="486">
        <f t="shared" ref="Z153:Z155" si="14">SUM(S153:Y153)</f>
        <v>3.3587801207576762</v>
      </c>
      <c r="AA153" s="487">
        <f>C153*'4C2 Open-burning '!$C$10*'4C2 Open-burning '!$C$11*$C$5*C$15</f>
        <v>8.9999343972179228E-3</v>
      </c>
      <c r="AB153" s="487">
        <f>D153*'4C2 Open-burning '!$C$10*'4C2 Open-burning '!$C$11*$C$5*D$15</f>
        <v>9.3995785306107624E-3</v>
      </c>
      <c r="AC153" s="487">
        <f>E153*'4C2 Open-burning '!$C$10*'4C2 Open-burning '!$C$11*$C$5*E$15</f>
        <v>5.7764480536096662E-3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2.2583927289896766E-2</v>
      </c>
      <c r="AH153" s="488">
        <f t="shared" ref="AH153:AH155" si="15">SUM(AA153:AG153)</f>
        <v>4.675988827133512E-2</v>
      </c>
      <c r="AI153" s="1387"/>
      <c r="AJ153" s="1386"/>
      <c r="AK153" s="1387"/>
    </row>
    <row r="154" spans="1:39">
      <c r="A154" s="157">
        <f>'Input data'!A149</f>
        <v>2049</v>
      </c>
      <c r="B154" s="417">
        <f>'Recycling - Case 2'!AP129</f>
        <v>4.2963544824510355E-2</v>
      </c>
      <c r="C154" s="527">
        <f>'Recycling - Case 2'!$AK129*'Recycling - Case 2'!BM129*'4C2 Open-burning '!$B154</f>
        <v>249.63481309045855</v>
      </c>
      <c r="D154" s="528">
        <f>'Recycling - Case 2'!$AK129*'Recycling - Case 2'!BN129*'4C2 Open-burning '!$B154</f>
        <v>260.71990372990359</v>
      </c>
      <c r="E154" s="528">
        <f>'Recycling - Case 2'!$AK129*'Recycling - Case 2'!BO129*'4C2 Open-burning '!$B154</f>
        <v>71.210520558428712</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278.40866976416248</v>
      </c>
      <c r="J154" s="744">
        <f t="shared" si="12"/>
        <v>859.97390714295329</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0.37617954432277784</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9.5917354907149246</v>
      </c>
      <c r="R154" s="1382">
        <f t="shared" si="13"/>
        <v>9.9679150350377022</v>
      </c>
      <c r="S154" s="485">
        <f>C154*'4C2 Open-burning '!$C$9*'4C2 Open-burning '!$C$11*$C$5</f>
        <v>0.97357577105278825</v>
      </c>
      <c r="T154" s="485">
        <f>D154*'4C2 Open-burning '!$C$9*'4C2 Open-burning '!$C$11*$C$5</f>
        <v>1.016807624546624</v>
      </c>
      <c r="U154" s="485">
        <f>E154*'4C2 Open-burning '!$C$9*'4C2 Open-burning '!$C$11*$C$5</f>
        <v>0.27772103017787197</v>
      </c>
      <c r="V154" s="485">
        <f>F154*'4C2 Open-burning '!$C$9*'4C2 Open-burning '!$C$11*$C$5</f>
        <v>0</v>
      </c>
      <c r="W154" s="485">
        <f>G154*'4C2 Open-burning '!$C$9*'4C2 Open-burning '!$C$11*$C$5</f>
        <v>0</v>
      </c>
      <c r="X154" s="485">
        <f>H154*'4C2 Open-burning '!$C$9*'4C2 Open-burning '!$C$11*$C$5</f>
        <v>0</v>
      </c>
      <c r="Y154" s="485">
        <f>I154*'4C2 Open-burning '!$C$9*'4C2 Open-burning '!$C$11*$C$5</f>
        <v>1.0857938120802335</v>
      </c>
      <c r="Z154" s="486">
        <f t="shared" si="14"/>
        <v>3.3538982378575177</v>
      </c>
      <c r="AA154" s="487">
        <f>C154*'4C2 Open-burning '!$C$10*'4C2 Open-burning '!$C$11*$C$5*C$15</f>
        <v>8.9868532712565081E-3</v>
      </c>
      <c r="AB154" s="487">
        <f>D154*'4C2 Open-burning '!$C$10*'4C2 Open-burning '!$C$11*$C$5*D$15</f>
        <v>9.3859165342765304E-3</v>
      </c>
      <c r="AC154" s="487">
        <f>E154*'4C2 Open-burning '!$C$10*'4C2 Open-burning '!$C$11*$C$5*E$15</f>
        <v>5.7680521652327251E-3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2.2551102250897157E-2</v>
      </c>
      <c r="AH154" s="488">
        <f t="shared" si="15"/>
        <v>4.669192422166292E-2</v>
      </c>
      <c r="AI154" s="1387"/>
      <c r="AJ154" s="1386"/>
      <c r="AK154" s="1387"/>
    </row>
    <row r="155" spans="1:39" ht="15.75" thickBot="1">
      <c r="A155" s="157">
        <f>'Input data'!A150</f>
        <v>2050</v>
      </c>
      <c r="B155" s="417">
        <f>'Recycling - Case 2'!AP130</f>
        <v>4.2803999263611656E-2</v>
      </c>
      <c r="C155" s="670">
        <f>'Recycling - Case 2'!$AK130*'Recycling - Case 2'!BM130*'4C2 Open-burning '!$B155</f>
        <v>249.29091782377938</v>
      </c>
      <c r="D155" s="667">
        <f>'Recycling - Case 2'!$AK130*'Recycling - Case 2'!BN130*'4C2 Open-burning '!$B155</f>
        <v>260.36073771570966</v>
      </c>
      <c r="E155" s="667">
        <f>'Recycling - Case 2'!$AK130*'Recycling - Case 2'!BO130*'4C2 Open-burning '!$B155</f>
        <v>71.112421416507644</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278.02513582292636</v>
      </c>
      <c r="J155" s="936">
        <f t="shared" si="12"/>
        <v>858.78921277892312</v>
      </c>
      <c r="K155" s="1383">
        <f>'4C2 Open-burning '!C$14*'4C2 Open-burning '!$C$5*'4C2 Open-burning '!$C$6*'4C2 Open-burning '!$C$7*C155</f>
        <v>0</v>
      </c>
      <c r="L155" s="1383">
        <f>'4C2 Open-burning '!D$14*'4C2 Open-burning '!$C$5*'4C2 Open-burning '!$C$6*'4C2 Open-burning '!$C$7*D155</f>
        <v>0</v>
      </c>
      <c r="M155" s="1383">
        <f>'4C2 Open-burning '!E$14*'4C2 Open-burning '!$C$5*'4C2 Open-burning '!$C$6*'4C2 Open-burning '!$C$7*E155</f>
        <v>0.37566132187169993</v>
      </c>
      <c r="N155" s="1383">
        <f>'4C2 Open-burning '!F$14*'4C2 Open-burning '!$C$5*'4C2 Open-burning '!$C$6*'4C2 Open-burning '!$C$7*F155</f>
        <v>0</v>
      </c>
      <c r="O155" s="1383">
        <f>'4C2 Open-burning '!G$14*'4C2 Open-burning '!$C$5*'4C2 Open-burning '!$C$6*'4C2 Open-burning '!$C$7*G155</f>
        <v>0</v>
      </c>
      <c r="P155" s="1383">
        <f>'4C2 Open-burning '!H$14*'4C2 Open-burning '!$C$5*'4C2 Open-burning '!$C$6*'4C2 Open-burning '!$C$7*H155</f>
        <v>0</v>
      </c>
      <c r="Q155" s="1383">
        <f>'4C2 Open-burning '!I$14*'4C2 Open-burning '!$C$5*'4C2 Open-burning '!$C$6*'4C2 Open-burning '!$C$7*I155</f>
        <v>9.5785219793714571</v>
      </c>
      <c r="R155" s="1384">
        <f t="shared" si="13"/>
        <v>9.9541833012431571</v>
      </c>
      <c r="S155" s="485">
        <f>C155*'4C2 Open-burning '!$C$9*'4C2 Open-burning '!$C$11*$C$5</f>
        <v>0.97223457951273962</v>
      </c>
      <c r="T155" s="485">
        <f>D155*'4C2 Open-burning '!$C$9*'4C2 Open-burning '!$C$11*$C$5</f>
        <v>1.0154068770912676</v>
      </c>
      <c r="U155" s="485">
        <f>E155*'4C2 Open-burning '!$C$9*'4C2 Open-burning '!$C$11*$C$5</f>
        <v>0.27733844352437975</v>
      </c>
      <c r="V155" s="485">
        <f>F155*'4C2 Open-burning '!$C$9*'4C2 Open-burning '!$C$11*$C$5</f>
        <v>0</v>
      </c>
      <c r="W155" s="485">
        <f>G155*'4C2 Open-burning '!$C$9*'4C2 Open-burning '!$C$11*$C$5</f>
        <v>0</v>
      </c>
      <c r="X155" s="485">
        <f>H155*'4C2 Open-burning '!$C$9*'4C2 Open-burning '!$C$11*$C$5</f>
        <v>0</v>
      </c>
      <c r="Y155" s="485">
        <f>I155*'4C2 Open-burning '!$C$9*'4C2 Open-burning '!$C$11*$C$5</f>
        <v>1.0842980297094127</v>
      </c>
      <c r="Z155" s="486">
        <f t="shared" si="14"/>
        <v>3.3492779298377999</v>
      </c>
      <c r="AA155" s="487">
        <f>C155*'4C2 Open-burning '!$C$10*'4C2 Open-burning '!$C$11*$C$5*C$15</f>
        <v>8.9744730416560572E-3</v>
      </c>
      <c r="AB155" s="487">
        <f>D155*'4C2 Open-burning '!$C$10*'4C2 Open-burning '!$C$11*$C$5*D$15</f>
        <v>9.3729865577655471E-3</v>
      </c>
      <c r="AC155" s="487">
        <f>E155*'4C2 Open-burning '!$C$10*'4C2 Open-burning '!$C$11*$C$5*E$15</f>
        <v>5.7601061347371191E-3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2.2520036001657032E-2</v>
      </c>
      <c r="AH155" s="488">
        <f t="shared" si="15"/>
        <v>4.662760173581576E-2</v>
      </c>
      <c r="AI155" s="1387"/>
      <c r="AJ155" s="1386"/>
      <c r="AK155" s="1387"/>
    </row>
    <row r="156" spans="1:39" ht="21.75"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6"/>
      <c r="AJ156" s="1386"/>
      <c r="AK156" s="1386"/>
      <c r="AL156" s="4"/>
      <c r="AM156" s="4"/>
    </row>
    <row r="157" spans="1:39">
      <c r="A157" s="955">
        <f>'Input data'!A118</f>
        <v>2018</v>
      </c>
      <c r="B157" s="814">
        <f>'Recycling - Case 3'!AP98</f>
        <v>0.11929747585785701</v>
      </c>
      <c r="C157" s="956">
        <f>$B157*'Recycling - Case 3'!$AK98*'Recycling - Case 3'!BM98</f>
        <v>824.36909931569255</v>
      </c>
      <c r="D157" s="957">
        <f>$B157*'Recycling - Case 3'!$AK98*'Recycling - Case 3'!BN98</f>
        <v>860.97539662311476</v>
      </c>
      <c r="E157" s="957">
        <f>$B157*'Recycling - Case 3'!$AK98*'Recycling - Case 3'!BO98</f>
        <v>235.15851802801791</v>
      </c>
      <c r="F157" s="957">
        <f>$B157*'Recycling - Case 3'!$AK98*'Recycling - Case 3'!BP98</f>
        <v>0</v>
      </c>
      <c r="G157" s="957">
        <f>$B157*'Recycling - Case 3'!$AK98*'Recycling - Case 3'!BQ98</f>
        <v>0</v>
      </c>
      <c r="H157" s="957">
        <f>$B157*'Recycling - Case 3'!$AK98*'Recycling - Case 3'!BR98</f>
        <v>0</v>
      </c>
      <c r="I157" s="957">
        <f>$B157*'Recycling - Case 3'!$AK98*'Recycling - Case 3'!BS98</f>
        <v>919.38901266946334</v>
      </c>
      <c r="J157" s="958">
        <f>SUM(C157:I157)</f>
        <v>2839.8920266362884</v>
      </c>
      <c r="K157" s="1380">
        <f>'4C2 Open-burning '!C$14*'4C2 Open-burning '!$C$5*'4C2 Open-burning '!$C$6*'4C2 Open-burning '!$C$7*C157</f>
        <v>0</v>
      </c>
      <c r="L157" s="1380">
        <f>'4C2 Open-burning '!D$14*'4C2 Open-burning '!$C$5*'4C2 Open-burning '!$C$6*'4C2 Open-burning '!$C$7*D157</f>
        <v>0</v>
      </c>
      <c r="M157" s="1380">
        <f>'4C2 Open-burning '!E$14*'4C2 Open-burning '!$C$5*'4C2 Open-burning '!$C$6*'4C2 Open-burning '!$C$7*E157</f>
        <v>1.2422577936755286</v>
      </c>
      <c r="N157" s="1380">
        <f>'4C2 Open-burning '!F$14*'4C2 Open-burning '!$C$5*'4C2 Open-burning '!$C$6*'4C2 Open-burning '!$C$7*F157</f>
        <v>0</v>
      </c>
      <c r="O157" s="1380">
        <f>'4C2 Open-burning '!G$14*'4C2 Open-burning '!$C$5*'4C2 Open-burning '!$C$6*'4C2 Open-burning '!$C$7*G157</f>
        <v>0</v>
      </c>
      <c r="P157" s="1380">
        <f>'4C2 Open-burning '!H$14*'4C2 Open-burning '!$C$5*'4C2 Open-burning '!$C$6*'4C2 Open-burning '!$C$7*H157</f>
        <v>0</v>
      </c>
      <c r="Q157" s="1380">
        <f>'4C2 Open-burning '!I$14*'4C2 Open-burning '!$C$5*'4C2 Open-burning '!$C$6*'4C2 Open-burning '!$C$7*I157</f>
        <v>31.674790264488347</v>
      </c>
      <c r="R157" s="1381">
        <f t="shared" ref="R157:R189" si="16">SUM(K157:Q157)</f>
        <v>32.917048058163878</v>
      </c>
      <c r="S157" s="932">
        <f>C157*'4C2 Open-burning '!$C$9*'4C2 Open-burning '!$C$11*$C$5</f>
        <v>3.2150394873312012</v>
      </c>
      <c r="T157" s="933">
        <f>D157*'4C2 Open-burning '!$C$9*'4C2 Open-burning '!$C$11*$C$5</f>
        <v>3.3578040468301471</v>
      </c>
      <c r="U157" s="933">
        <f>E157*'4C2 Open-burning '!$C$9*'4C2 Open-burning '!$C$11*$C$5</f>
        <v>0.91711822030926982</v>
      </c>
      <c r="V157" s="933">
        <f>F157*'4C2 Open-burning '!$C$9*'4C2 Open-burning '!$C$11*$C$5</f>
        <v>0</v>
      </c>
      <c r="W157" s="933">
        <f>G157*'4C2 Open-burning '!$C$9*'4C2 Open-burning '!$C$11*$C$5</f>
        <v>0</v>
      </c>
      <c r="X157" s="933">
        <f>H157*'4C2 Open-burning '!$C$9*'4C2 Open-burning '!$C$11*$C$5</f>
        <v>0</v>
      </c>
      <c r="Y157" s="933">
        <f>I157*'4C2 Open-burning '!$C$9*'4C2 Open-burning '!$C$11*$C$5</f>
        <v>3.5856171494109068</v>
      </c>
      <c r="Z157" s="934">
        <f t="shared" ref="Z157:Z189" si="17">SUM(S157:Y157)</f>
        <v>11.075578903881524</v>
      </c>
      <c r="AA157" s="1626">
        <f>C157*'4C2 Open-burning '!$C$10*'4C2 Open-burning '!$C$11*$C$5*C$15</f>
        <v>2.9677287575364933E-2</v>
      </c>
      <c r="AB157" s="1627">
        <f>D157*'4C2 Open-burning '!$C$10*'4C2 Open-burning '!$C$11*$C$5*D$15</f>
        <v>3.0995114278432129E-2</v>
      </c>
      <c r="AC157" s="1627">
        <f>E157*'4C2 Open-burning '!$C$10*'4C2 Open-burning '!$C$11*$C$5*E$15</f>
        <v>1.9047839960269448E-2</v>
      </c>
      <c r="AD157" s="1627">
        <f>F157*'4C2 Open-burning '!$C$10*'4C2 Open-burning '!$C$11*$C$5*F$15</f>
        <v>0</v>
      </c>
      <c r="AE157" s="1627">
        <f>G157*'4C2 Open-burning '!$C$10*'4C2 Open-burning '!$C$11*$C$5*G$15</f>
        <v>0</v>
      </c>
      <c r="AF157" s="1627">
        <f>H157*'4C2 Open-burning '!$C$10*'4C2 Open-burning '!$C$11*$C$5*H$15</f>
        <v>0</v>
      </c>
      <c r="AG157" s="1627">
        <f>I157*'4C2 Open-burning '!$C$10*'4C2 Open-burning '!$C$11*$C$5*I$15</f>
        <v>7.4470510026226525E-2</v>
      </c>
      <c r="AH157" s="937">
        <f t="shared" ref="AH157:AH189" si="18">SUM(AA157:AG157)</f>
        <v>0.15419075184029302</v>
      </c>
      <c r="AI157" s="1386"/>
      <c r="AJ157" s="1386"/>
      <c r="AK157" s="1386"/>
      <c r="AL157" s="4"/>
      <c r="AM157" s="4"/>
    </row>
    <row r="158" spans="1:39">
      <c r="A158" s="959">
        <f>'Input data'!A119</f>
        <v>2019</v>
      </c>
      <c r="B158" s="560">
        <f>'Recycling - Case 3'!AP99</f>
        <v>0.11764988013805638</v>
      </c>
      <c r="C158" s="527">
        <f>$B158*'Recycling - Case 3'!$AK99*'Recycling - Case 3'!BM99</f>
        <v>809.92524865024029</v>
      </c>
      <c r="D158" s="528">
        <f>$B158*'Recycling - Case 3'!$AK99*'Recycling - Case 3'!BN99</f>
        <v>845.8901634844932</v>
      </c>
      <c r="E158" s="528">
        <f>$B158*'Recycling - Case 3'!$AK99*'Recycling - Case 3'!BO99</f>
        <v>231.03828290527346</v>
      </c>
      <c r="F158" s="528">
        <f>$B158*'Recycling - Case 3'!$AK99*'Recycling - Case 3'!BP99</f>
        <v>0</v>
      </c>
      <c r="G158" s="528">
        <f>$B158*'Recycling - Case 3'!$AK99*'Recycling - Case 3'!BQ99</f>
        <v>0</v>
      </c>
      <c r="H158" s="528">
        <f>$B158*'Recycling - Case 3'!$AK99*'Recycling - Case 3'!BR99</f>
        <v>0</v>
      </c>
      <c r="I158" s="528">
        <f>$B158*'Recycling - Case 3'!$AK99*'Recycling - Case 3'!BS99</f>
        <v>903.28030891834203</v>
      </c>
      <c r="J158" s="744">
        <f t="shared" ref="J158:J189" si="19">SUM(C158:I158)</f>
        <v>2790.1340039583488</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1.2204920748067138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31.119813202854715</v>
      </c>
      <c r="R158" s="1382">
        <f t="shared" si="16"/>
        <v>32.340305277661429</v>
      </c>
      <c r="S158" s="484">
        <f>C158*'4C2 Open-burning '!$C$9*'4C2 Open-burning '!$C$11*$C$5</f>
        <v>3.1587084697359371</v>
      </c>
      <c r="T158" s="485">
        <f>D158*'4C2 Open-burning '!$C$9*'4C2 Open-burning '!$C$11*$C$5</f>
        <v>3.2989716375895237</v>
      </c>
      <c r="U158" s="485">
        <f>E158*'4C2 Open-burning '!$C$9*'4C2 Open-burning '!$C$11*$C$5</f>
        <v>0.90104930333056643</v>
      </c>
      <c r="V158" s="485">
        <f>F158*'4C2 Open-burning '!$C$9*'4C2 Open-burning '!$C$11*$C$5</f>
        <v>0</v>
      </c>
      <c r="W158" s="485">
        <f>G158*'4C2 Open-burning '!$C$9*'4C2 Open-burning '!$C$11*$C$5</f>
        <v>0</v>
      </c>
      <c r="X158" s="485">
        <f>H158*'4C2 Open-burning '!$C$9*'4C2 Open-burning '!$C$11*$C$5</f>
        <v>0</v>
      </c>
      <c r="Y158" s="485">
        <f>I158*'4C2 Open-burning '!$C$9*'4C2 Open-burning '!$C$11*$C$5</f>
        <v>3.5227932047815336</v>
      </c>
      <c r="Z158" s="486">
        <f t="shared" si="17"/>
        <v>10.881522615437561</v>
      </c>
      <c r="AA158" s="1628">
        <f>C158*'4C2 Open-burning '!$C$10*'4C2 Open-burning '!$C$11*$C$5*C$15</f>
        <v>2.9157308951408653E-2</v>
      </c>
      <c r="AB158" s="487">
        <f>D158*'4C2 Open-burning '!$C$10*'4C2 Open-burning '!$C$11*$C$5*D$15</f>
        <v>3.0452045885441755E-2</v>
      </c>
      <c r="AC158" s="487">
        <f>E158*'4C2 Open-burning '!$C$10*'4C2 Open-burning '!$C$11*$C$5*E$15</f>
        <v>1.8714100915327148E-2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7.3165705022385688E-2</v>
      </c>
      <c r="AH158" s="488">
        <f t="shared" si="18"/>
        <v>0.15148916077456326</v>
      </c>
      <c r="AI158" s="1386"/>
      <c r="AJ158" s="1386"/>
      <c r="AK158" s="1386"/>
      <c r="AL158" s="4"/>
      <c r="AM158" s="4"/>
    </row>
    <row r="159" spans="1:39">
      <c r="A159" s="959">
        <f>'Input data'!A120</f>
        <v>2020</v>
      </c>
      <c r="B159" s="560">
        <f>'Recycling - Case 3'!AP100</f>
        <v>0.11516499941226198</v>
      </c>
      <c r="C159" s="527">
        <f>$B159*'Recycling - Case 3'!$AK100*'Recycling - Case 3'!BM100</f>
        <v>788.11293543078432</v>
      </c>
      <c r="D159" s="528">
        <f>$B159*'Recycling - Case 3'!$AK100*'Recycling - Case 3'!BN100</f>
        <v>823.10926953665137</v>
      </c>
      <c r="E159" s="528">
        <f>$B159*'Recycling - Case 3'!$AK100*'Recycling - Case 3'!BO100</f>
        <v>224.81612919317038</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878.95382563370708</v>
      </c>
      <c r="J159" s="744">
        <f t="shared" si="19"/>
        <v>2714.992159794313</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1.1876226767210096</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30.281717200732473</v>
      </c>
      <c r="R159" s="1382">
        <f t="shared" si="16"/>
        <v>31.469339877453482</v>
      </c>
      <c r="S159" s="484">
        <f>C159*'4C2 Open-burning '!$C$9*'4C2 Open-burning '!$C$11*$C$5</f>
        <v>3.073640448180059</v>
      </c>
      <c r="T159" s="485">
        <f>D159*'4C2 Open-burning '!$C$9*'4C2 Open-burning '!$C$11*$C$5</f>
        <v>3.2101261511929402</v>
      </c>
      <c r="U159" s="485">
        <f>E159*'4C2 Open-burning '!$C$9*'4C2 Open-burning '!$C$11*$C$5</f>
        <v>0.87678290385336444</v>
      </c>
      <c r="V159" s="485">
        <f>F159*'4C2 Open-burning '!$C$9*'4C2 Open-burning '!$C$11*$C$5</f>
        <v>0</v>
      </c>
      <c r="W159" s="485">
        <f>G159*'4C2 Open-burning '!$C$9*'4C2 Open-burning '!$C$11*$C$5</f>
        <v>0</v>
      </c>
      <c r="X159" s="485">
        <f>H159*'4C2 Open-burning '!$C$9*'4C2 Open-burning '!$C$11*$C$5</f>
        <v>0</v>
      </c>
      <c r="Y159" s="485">
        <f>I159*'4C2 Open-burning '!$C$9*'4C2 Open-burning '!$C$11*$C$5</f>
        <v>3.4279199199714574</v>
      </c>
      <c r="Z159" s="486">
        <f t="shared" si="17"/>
        <v>10.588469423197822</v>
      </c>
      <c r="AA159" s="1628">
        <f>C159*'4C2 Open-burning '!$C$10*'4C2 Open-burning '!$C$11*$C$5*C$15</f>
        <v>2.8372065675508235E-2</v>
      </c>
      <c r="AB159" s="487">
        <f>D159*'4C2 Open-burning '!$C$10*'4C2 Open-burning '!$C$11*$C$5*D$15</f>
        <v>2.9631933703319447E-2</v>
      </c>
      <c r="AC159" s="487">
        <f>E159*'4C2 Open-burning '!$C$10*'4C2 Open-burning '!$C$11*$C$5*E$15</f>
        <v>1.82101064646468E-2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7.1195259876330269E-2</v>
      </c>
      <c r="AH159" s="488">
        <f t="shared" si="18"/>
        <v>0.14740936571980473</v>
      </c>
      <c r="AI159" s="1386"/>
      <c r="AJ159" s="1386"/>
      <c r="AK159" s="1386"/>
      <c r="AL159" s="4"/>
      <c r="AM159" s="4"/>
    </row>
    <row r="160" spans="1:39">
      <c r="A160" s="959">
        <f>'Input data'!A121</f>
        <v>2021</v>
      </c>
      <c r="B160" s="560">
        <f>'Recycling - Case 3'!AP101</f>
        <v>0.10852435589189079</v>
      </c>
      <c r="C160" s="527">
        <f>$B160*'Recycling - Case 3'!$AK101*'Recycling - Case 3'!BM101</f>
        <v>724.19703159378423</v>
      </c>
      <c r="D160" s="528">
        <f>$B160*'Recycling - Case 3'!$AK101*'Recycling - Case 3'!BN101</f>
        <v>756.35516545600785</v>
      </c>
      <c r="E160" s="528">
        <f>$B160*'Recycling - Case 3'!$AK101*'Recycling - Case 3'!BO101</f>
        <v>206.58355686942977</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807.67073196685874</v>
      </c>
      <c r="J160" s="744">
        <f t="shared" si="19"/>
        <v>2494.8064858860807</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1.0913065608607244</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27.825872057722215</v>
      </c>
      <c r="R160" s="1382">
        <f t="shared" si="16"/>
        <v>28.917178618582938</v>
      </c>
      <c r="S160" s="484">
        <f>C160*'4C2 Open-burning '!$C$9*'4C2 Open-burning '!$C$11*$C$5</f>
        <v>2.8243684232157582</v>
      </c>
      <c r="T160" s="485">
        <f>D160*'4C2 Open-burning '!$C$9*'4C2 Open-burning '!$C$11*$C$5</f>
        <v>2.9497851452784309</v>
      </c>
      <c r="U160" s="485">
        <f>E160*'4C2 Open-burning '!$C$9*'4C2 Open-burning '!$C$11*$C$5</f>
        <v>0.80567587179077615</v>
      </c>
      <c r="V160" s="485">
        <f>F160*'4C2 Open-burning '!$C$9*'4C2 Open-burning '!$C$11*$C$5</f>
        <v>0</v>
      </c>
      <c r="W160" s="485">
        <f>G160*'4C2 Open-burning '!$C$9*'4C2 Open-burning '!$C$11*$C$5</f>
        <v>0</v>
      </c>
      <c r="X160" s="485">
        <f>H160*'4C2 Open-burning '!$C$9*'4C2 Open-burning '!$C$11*$C$5</f>
        <v>0</v>
      </c>
      <c r="Y160" s="485">
        <f>I160*'4C2 Open-burning '!$C$9*'4C2 Open-burning '!$C$11*$C$5</f>
        <v>3.1499158546707489</v>
      </c>
      <c r="Z160" s="486">
        <f t="shared" si="17"/>
        <v>9.7297452949557144</v>
      </c>
      <c r="AA160" s="1628">
        <f>C160*'4C2 Open-burning '!$C$10*'4C2 Open-burning '!$C$11*$C$5*C$15</f>
        <v>2.6071093137376228E-2</v>
      </c>
      <c r="AB160" s="487">
        <f>D160*'4C2 Open-burning '!$C$10*'4C2 Open-burning '!$C$11*$C$5*D$15</f>
        <v>2.7228785956416281E-2</v>
      </c>
      <c r="AC160" s="487">
        <f>E160*'4C2 Open-burning '!$C$10*'4C2 Open-burning '!$C$11*$C$5*E$15</f>
        <v>1.673326810642381E-2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6.5421329289315544E-2</v>
      </c>
      <c r="AH160" s="488">
        <f t="shared" si="18"/>
        <v>0.13545447648953185</v>
      </c>
      <c r="AI160" s="1386"/>
      <c r="AJ160" s="1386"/>
      <c r="AK160" s="1386"/>
      <c r="AL160" s="4"/>
      <c r="AM160" s="4"/>
    </row>
    <row r="161" spans="1:39">
      <c r="A161" s="959">
        <f>'Input data'!A122</f>
        <v>2022</v>
      </c>
      <c r="B161" s="560">
        <f>'Recycling - Case 3'!AP102</f>
        <v>9.5617380076228706E-2</v>
      </c>
      <c r="C161" s="527">
        <f>$B161*'Recycling - Case 3'!$AK102*'Recycling - Case 3'!BM102</f>
        <v>602.43508286264455</v>
      </c>
      <c r="D161" s="528">
        <f>$B161*'Recycling - Case 3'!$AK102*'Recycling - Case 3'!BN102</f>
        <v>629.18634970415724</v>
      </c>
      <c r="E161" s="528">
        <f>$B161*'Recycling - Case 3'!$AK102*'Recycling - Case 3'!BO102</f>
        <v>171.84989273817254</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671.87403857119534</v>
      </c>
      <c r="J161" s="744">
        <f t="shared" si="19"/>
        <v>2075.3453638761694</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0.90782111737437976</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23.147404376854819</v>
      </c>
      <c r="R161" s="1382">
        <f t="shared" si="16"/>
        <v>24.055225494229198</v>
      </c>
      <c r="S161" s="484">
        <f>C161*'4C2 Open-burning '!$C$9*'4C2 Open-burning '!$C$11*$C$5</f>
        <v>2.3494968231643134</v>
      </c>
      <c r="T161" s="485">
        <f>D161*'4C2 Open-burning '!$C$9*'4C2 Open-burning '!$C$11*$C$5</f>
        <v>2.4538267638462128</v>
      </c>
      <c r="U161" s="485">
        <f>E161*'4C2 Open-burning '!$C$9*'4C2 Open-burning '!$C$11*$C$5</f>
        <v>0.67021458167887282</v>
      </c>
      <c r="V161" s="485">
        <f>F161*'4C2 Open-burning '!$C$9*'4C2 Open-burning '!$C$11*$C$5</f>
        <v>0</v>
      </c>
      <c r="W161" s="485">
        <f>G161*'4C2 Open-burning '!$C$9*'4C2 Open-burning '!$C$11*$C$5</f>
        <v>0</v>
      </c>
      <c r="X161" s="485">
        <f>H161*'4C2 Open-burning '!$C$9*'4C2 Open-burning '!$C$11*$C$5</f>
        <v>0</v>
      </c>
      <c r="Y161" s="485">
        <f>I161*'4C2 Open-burning '!$C$9*'4C2 Open-burning '!$C$11*$C$5</f>
        <v>2.6203087504276619</v>
      </c>
      <c r="Z161" s="486">
        <f t="shared" si="17"/>
        <v>8.0938469191170608</v>
      </c>
      <c r="AA161" s="1628">
        <f>C161*'4C2 Open-burning '!$C$10*'4C2 Open-burning '!$C$11*$C$5*C$15</f>
        <v>2.1687662983055203E-2</v>
      </c>
      <c r="AB161" s="487">
        <f>D161*'4C2 Open-burning '!$C$10*'4C2 Open-burning '!$C$11*$C$5*D$15</f>
        <v>2.2650708589349658E-2</v>
      </c>
      <c r="AC161" s="487">
        <f>E161*'4C2 Open-burning '!$C$10*'4C2 Open-burning '!$C$11*$C$5*E$15</f>
        <v>1.3919841311791975E-2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5.4421797124266813E-2</v>
      </c>
      <c r="AH161" s="488">
        <f t="shared" si="18"/>
        <v>0.11268001000846364</v>
      </c>
      <c r="AI161" s="1386"/>
      <c r="AJ161" s="1386"/>
      <c r="AK161" s="1386"/>
      <c r="AL161" s="4"/>
      <c r="AM161" s="4"/>
    </row>
    <row r="162" spans="1:39">
      <c r="A162" s="959">
        <f>'Input data'!A123</f>
        <v>2023</v>
      </c>
      <c r="B162" s="560">
        <f>'Recycling - Case 3'!AP103</f>
        <v>9.1714454815048363E-2</v>
      </c>
      <c r="C162" s="527">
        <f>$B162*'Recycling - Case 3'!$AK103*'Recycling - Case 3'!BM103</f>
        <v>571.34372724729792</v>
      </c>
      <c r="D162" s="528">
        <f>$B162*'Recycling - Case 3'!$AK103*'Recycling - Case 3'!BN103</f>
        <v>596.71437537288477</v>
      </c>
      <c r="E162" s="528">
        <f>$B162*'Recycling - Case 3'!$AK103*'Recycling - Case 3'!BO103</f>
        <v>162.98081077469746</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637.19897522217229</v>
      </c>
      <c r="J162" s="744">
        <f t="shared" si="19"/>
        <v>1968.2378886170522</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0.86096895023084774</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21.952779094354277</v>
      </c>
      <c r="R162" s="1382">
        <f t="shared" si="16"/>
        <v>22.813748044585125</v>
      </c>
      <c r="S162" s="484">
        <f>C162*'4C2 Open-burning '!$C$9*'4C2 Open-burning '!$C$11*$C$5</f>
        <v>2.2282405362644617</v>
      </c>
      <c r="T162" s="485">
        <f>D162*'4C2 Open-burning '!$C$9*'4C2 Open-burning '!$C$11*$C$5</f>
        <v>2.3271860639542505</v>
      </c>
      <c r="U162" s="485">
        <f>E162*'4C2 Open-burning '!$C$9*'4C2 Open-burning '!$C$11*$C$5</f>
        <v>0.63562516202132002</v>
      </c>
      <c r="V162" s="485">
        <f>F162*'4C2 Open-burning '!$C$9*'4C2 Open-burning '!$C$11*$C$5</f>
        <v>0</v>
      </c>
      <c r="W162" s="485">
        <f>G162*'4C2 Open-burning '!$C$9*'4C2 Open-burning '!$C$11*$C$5</f>
        <v>0</v>
      </c>
      <c r="X162" s="485">
        <f>H162*'4C2 Open-burning '!$C$9*'4C2 Open-burning '!$C$11*$C$5</f>
        <v>0</v>
      </c>
      <c r="Y162" s="485">
        <f>I162*'4C2 Open-burning '!$C$9*'4C2 Open-burning '!$C$11*$C$5</f>
        <v>2.4850760033664718</v>
      </c>
      <c r="Z162" s="486">
        <f t="shared" si="17"/>
        <v>7.6761277656065046</v>
      </c>
      <c r="AA162" s="1628">
        <f>C162*'4C2 Open-burning '!$C$10*'4C2 Open-burning '!$C$11*$C$5*C$15</f>
        <v>2.0568374180902724E-2</v>
      </c>
      <c r="AB162" s="487">
        <f>D162*'4C2 Open-burning '!$C$10*'4C2 Open-burning '!$C$11*$C$5*D$15</f>
        <v>2.1481717513423853E-2</v>
      </c>
      <c r="AC162" s="487">
        <f>E162*'4C2 Open-burning '!$C$10*'4C2 Open-burning '!$C$11*$C$5*E$15</f>
        <v>1.3201445672750493E-2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5.1613116992995943E-2</v>
      </c>
      <c r="AH162" s="488">
        <f t="shared" si="18"/>
        <v>0.10686465436007302</v>
      </c>
      <c r="AI162" s="1386"/>
      <c r="AJ162" s="1386"/>
      <c r="AK162" s="1386"/>
      <c r="AL162" s="4"/>
      <c r="AM162" s="4"/>
    </row>
    <row r="163" spans="1:39">
      <c r="A163" s="959">
        <f>'Input data'!A124</f>
        <v>2024</v>
      </c>
      <c r="B163" s="560">
        <f>'Recycling - Case 3'!AP104</f>
        <v>8.7648330767794269E-2</v>
      </c>
      <c r="C163" s="527">
        <f>$B163*'Recycling - Case 3'!$AK104*'Recycling - Case 3'!BM104</f>
        <v>539.78151707393965</v>
      </c>
      <c r="D163" s="528">
        <f>$B163*'Recycling - Case 3'!$AK104*'Recycling - Case 3'!BN104</f>
        <v>563.75063807988511</v>
      </c>
      <c r="E163" s="528">
        <f>$B163*'Recycling - Case 3'!$AK104*'Recycling - Case 3'!BO104</f>
        <v>153.9774134175951</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601.99878483046825</v>
      </c>
      <c r="J163" s="744">
        <f t="shared" si="19"/>
        <v>1859.5083534018881</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0.81340724321632463</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20.74006213497929</v>
      </c>
      <c r="R163" s="1382">
        <f t="shared" si="16"/>
        <v>21.553469378195615</v>
      </c>
      <c r="S163" s="484">
        <f>C163*'4C2 Open-burning '!$C$9*'4C2 Open-burning '!$C$11*$C$5</f>
        <v>2.1051479165883644</v>
      </c>
      <c r="T163" s="485">
        <f>D163*'4C2 Open-burning '!$C$9*'4C2 Open-burning '!$C$11*$C$5</f>
        <v>2.1986274885115518</v>
      </c>
      <c r="U163" s="485">
        <f>E163*'4C2 Open-burning '!$C$9*'4C2 Open-burning '!$C$11*$C$5</f>
        <v>0.60051191232862078</v>
      </c>
      <c r="V163" s="485">
        <f>F163*'4C2 Open-burning '!$C$9*'4C2 Open-burning '!$C$11*$C$5</f>
        <v>0</v>
      </c>
      <c r="W163" s="485">
        <f>G163*'4C2 Open-burning '!$C$9*'4C2 Open-burning '!$C$11*$C$5</f>
        <v>0</v>
      </c>
      <c r="X163" s="485">
        <f>H163*'4C2 Open-burning '!$C$9*'4C2 Open-burning '!$C$11*$C$5</f>
        <v>0</v>
      </c>
      <c r="Y163" s="485">
        <f>I163*'4C2 Open-burning '!$C$9*'4C2 Open-burning '!$C$11*$C$5</f>
        <v>2.3477952608388262</v>
      </c>
      <c r="Z163" s="486">
        <f t="shared" si="17"/>
        <v>7.2520825782673626</v>
      </c>
      <c r="AA163" s="1628">
        <f>C163*'4C2 Open-burning '!$C$10*'4C2 Open-burning '!$C$11*$C$5*C$15</f>
        <v>1.9432134614661825E-2</v>
      </c>
      <c r="AB163" s="487">
        <f>D163*'4C2 Open-burning '!$C$10*'4C2 Open-burning '!$C$11*$C$5*D$15</f>
        <v>2.0295022970875862E-2</v>
      </c>
      <c r="AC163" s="487">
        <f>E163*'4C2 Open-burning '!$C$10*'4C2 Open-burning '!$C$11*$C$5*E$15</f>
        <v>1.2472170486825205E-2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4.8761901571267932E-2</v>
      </c>
      <c r="AH163" s="488">
        <f t="shared" si="18"/>
        <v>0.10096122964363083</v>
      </c>
      <c r="AI163" s="1386"/>
      <c r="AJ163" s="1386"/>
      <c r="AK163" s="1386"/>
      <c r="AL163" s="4"/>
      <c r="AM163" s="4"/>
    </row>
    <row r="164" spans="1:39">
      <c r="A164" s="959">
        <f>'Input data'!A125</f>
        <v>2025</v>
      </c>
      <c r="B164" s="560">
        <f>'Recycling - Case 3'!AP105</f>
        <v>8.3408745662583356E-2</v>
      </c>
      <c r="C164" s="527">
        <f>$B164*'Recycling - Case 3'!$AK105*'Recycling - Case 3'!BM105</f>
        <v>507.71732521056754</v>
      </c>
      <c r="D164" s="528">
        <f>$B164*'Recycling - Case 3'!$AK105*'Recycling - Case 3'!BN105</f>
        <v>530.26262848578153</v>
      </c>
      <c r="E164" s="528">
        <f>$B164*'Recycling - Case 3'!$AK105*'Recycling - Case 3'!BO105</f>
        <v>144.83082137937376</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566.23875243262512</v>
      </c>
      <c r="J164" s="744">
        <f t="shared" si="19"/>
        <v>1749.0495275083481</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0.76508909025153493</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19.5080574988088</v>
      </c>
      <c r="R164" s="1382">
        <f t="shared" si="16"/>
        <v>20.273146589060335</v>
      </c>
      <c r="S164" s="484">
        <f>C164*'4C2 Open-burning '!$C$9*'4C2 Open-burning '!$C$11*$C$5</f>
        <v>1.9800975683212134</v>
      </c>
      <c r="T164" s="485">
        <f>D164*'4C2 Open-burning '!$C$9*'4C2 Open-burning '!$C$11*$C$5</f>
        <v>2.0680242510945477</v>
      </c>
      <c r="U164" s="485">
        <f>E164*'4C2 Open-burning '!$C$9*'4C2 Open-burning '!$C$11*$C$5</f>
        <v>0.56484020337955765</v>
      </c>
      <c r="V164" s="485">
        <f>F164*'4C2 Open-burning '!$C$9*'4C2 Open-burning '!$C$11*$C$5</f>
        <v>0</v>
      </c>
      <c r="W164" s="485">
        <f>G164*'4C2 Open-burning '!$C$9*'4C2 Open-burning '!$C$11*$C$5</f>
        <v>0</v>
      </c>
      <c r="X164" s="485">
        <f>H164*'4C2 Open-burning '!$C$9*'4C2 Open-burning '!$C$11*$C$5</f>
        <v>0</v>
      </c>
      <c r="Y164" s="485">
        <f>I164*'4C2 Open-burning '!$C$9*'4C2 Open-burning '!$C$11*$C$5</f>
        <v>2.2083311344872376</v>
      </c>
      <c r="Z164" s="486">
        <f t="shared" si="17"/>
        <v>6.8212931572825566</v>
      </c>
      <c r="AA164" s="1628">
        <f>C164*'4C2 Open-burning '!$C$10*'4C2 Open-burning '!$C$11*$C$5*C$15</f>
        <v>1.827782370758043E-2</v>
      </c>
      <c r="AB164" s="487">
        <f>D164*'4C2 Open-burning '!$C$10*'4C2 Open-burning '!$C$11*$C$5*D$15</f>
        <v>1.9089454625488136E-2</v>
      </c>
      <c r="AC164" s="487">
        <f>E164*'4C2 Open-burning '!$C$10*'4C2 Open-burning '!$C$11*$C$5*E$15</f>
        <v>1.1731296531729274E-2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4.586533894704263E-2</v>
      </c>
      <c r="AH164" s="488">
        <f t="shared" si="18"/>
        <v>9.4963913811840467E-2</v>
      </c>
      <c r="AI164" s="1386"/>
      <c r="AJ164" s="1386"/>
      <c r="AK164" s="1386"/>
      <c r="AL164" s="4"/>
      <c r="AM164" s="4"/>
    </row>
    <row r="165" spans="1:39">
      <c r="A165" s="959">
        <f>'Input data'!A126</f>
        <v>2026</v>
      </c>
      <c r="B165" s="560">
        <f>'Recycling - Case 3'!AP106</f>
        <v>7.8984557903022903E-2</v>
      </c>
      <c r="C165" s="527">
        <f>$B165*'Recycling - Case 3'!$AK106*'Recycling - Case 3'!BM106</f>
        <v>475.11902549323787</v>
      </c>
      <c r="D165" s="528">
        <f>$B165*'Recycling - Case 3'!$AK106*'Recycling - Case 3'!BN106</f>
        <v>496.2167938570152</v>
      </c>
      <c r="E165" s="528">
        <f>$B165*'Recycling - Case 3'!$AK106*'Recycling - Case 3'!BO106</f>
        <v>135.53187038991558</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529.88304888102732</v>
      </c>
      <c r="J165" s="744">
        <f t="shared" si="19"/>
        <v>1636.750738621196</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0.71596607979658367</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18.255530800049151</v>
      </c>
      <c r="R165" s="1382">
        <f t="shared" si="16"/>
        <v>18.971496879845734</v>
      </c>
      <c r="S165" s="484">
        <f>C165*'4C2 Open-burning '!$C$9*'4C2 Open-burning '!$C$11*$C$5</f>
        <v>1.8529641994236277</v>
      </c>
      <c r="T165" s="485">
        <f>D165*'4C2 Open-burning '!$C$9*'4C2 Open-burning '!$C$11*$C$5</f>
        <v>1.9352454960423593</v>
      </c>
      <c r="U165" s="485">
        <f>E165*'4C2 Open-burning '!$C$9*'4C2 Open-burning '!$C$11*$C$5</f>
        <v>0.52857429452067073</v>
      </c>
      <c r="V165" s="485">
        <f>F165*'4C2 Open-burning '!$C$9*'4C2 Open-burning '!$C$11*$C$5</f>
        <v>0</v>
      </c>
      <c r="W165" s="485">
        <f>G165*'4C2 Open-burning '!$C$9*'4C2 Open-burning '!$C$11*$C$5</f>
        <v>0</v>
      </c>
      <c r="X165" s="485">
        <f>H165*'4C2 Open-burning '!$C$9*'4C2 Open-burning '!$C$11*$C$5</f>
        <v>0</v>
      </c>
      <c r="Y165" s="485">
        <f>I165*'4C2 Open-burning '!$C$9*'4C2 Open-burning '!$C$11*$C$5</f>
        <v>2.0665438906360065</v>
      </c>
      <c r="Z165" s="486">
        <f t="shared" si="17"/>
        <v>6.3833278806226641</v>
      </c>
      <c r="AA165" s="1628">
        <f>C165*'4C2 Open-burning '!$C$10*'4C2 Open-burning '!$C$11*$C$5*C$15</f>
        <v>1.7104284917756563E-2</v>
      </c>
      <c r="AB165" s="487">
        <f>D165*'4C2 Open-burning '!$C$10*'4C2 Open-burning '!$C$11*$C$5*D$15</f>
        <v>1.7863804578852546E-2</v>
      </c>
      <c r="AC165" s="487">
        <f>E165*'4C2 Open-burning '!$C$10*'4C2 Open-burning '!$C$11*$C$5*E$15</f>
        <v>1.0978081501583163E-2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4.2920526959363207E-2</v>
      </c>
      <c r="AH165" s="488">
        <f t="shared" si="18"/>
        <v>8.8866697957555474E-2</v>
      </c>
      <c r="AI165" s="1386"/>
      <c r="AJ165" s="1386"/>
      <c r="AK165" s="1386"/>
      <c r="AL165" s="4"/>
      <c r="AM165" s="4"/>
    </row>
    <row r="166" spans="1:39">
      <c r="A166" s="959">
        <f>'Input data'!A127</f>
        <v>2027</v>
      </c>
      <c r="B166" s="560">
        <f>'Recycling - Case 3'!AP107</f>
        <v>7.4363639056064371E-2</v>
      </c>
      <c r="C166" s="527">
        <f>$B166*'Recycling - Case 3'!$AK107*'Recycling - Case 3'!BM107</f>
        <v>441.95337732021875</v>
      </c>
      <c r="D166" s="528">
        <f>$B166*'Recycling - Case 3'!$AK107*'Recycling - Case 3'!BN107</f>
        <v>461.57841753537588</v>
      </c>
      <c r="E166" s="528">
        <f>$B166*'Recycling - Case 3'!$AK107*'Recycling - Case 3'!BO107</f>
        <v>126.07107827594636</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492.89460213593912</v>
      </c>
      <c r="J166" s="744">
        <f t="shared" si="19"/>
        <v>1522.49747526748</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0.66598812094364523</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16.981204832787373</v>
      </c>
      <c r="R166" s="1382">
        <f t="shared" si="16"/>
        <v>17.647192953731018</v>
      </c>
      <c r="S166" s="484">
        <f>C166*'4C2 Open-burning '!$C$9*'4C2 Open-burning '!$C$11*$C$5</f>
        <v>1.723618171548853</v>
      </c>
      <c r="T166" s="485">
        <f>D166*'4C2 Open-burning '!$C$9*'4C2 Open-burning '!$C$11*$C$5</f>
        <v>1.8001558283879657</v>
      </c>
      <c r="U166" s="485">
        <f>E166*'4C2 Open-burning '!$C$9*'4C2 Open-burning '!$C$11*$C$5</f>
        <v>0.49167720527619074</v>
      </c>
      <c r="V166" s="485">
        <f>F166*'4C2 Open-burning '!$C$9*'4C2 Open-burning '!$C$11*$C$5</f>
        <v>0</v>
      </c>
      <c r="W166" s="485">
        <f>G166*'4C2 Open-burning '!$C$9*'4C2 Open-burning '!$C$11*$C$5</f>
        <v>0</v>
      </c>
      <c r="X166" s="485">
        <f>H166*'4C2 Open-burning '!$C$9*'4C2 Open-burning '!$C$11*$C$5</f>
        <v>0</v>
      </c>
      <c r="Y166" s="485">
        <f>I166*'4C2 Open-burning '!$C$9*'4C2 Open-burning '!$C$11*$C$5</f>
        <v>1.9222889483301622</v>
      </c>
      <c r="Z166" s="486">
        <f t="shared" si="17"/>
        <v>5.9377401535431718</v>
      </c>
      <c r="AA166" s="1628">
        <f>C166*'4C2 Open-burning '!$C$10*'4C2 Open-burning '!$C$11*$C$5*C$15</f>
        <v>1.5910321583527873E-2</v>
      </c>
      <c r="AB166" s="487">
        <f>D166*'4C2 Open-burning '!$C$10*'4C2 Open-burning '!$C$11*$C$5*D$15</f>
        <v>1.6616823031273532E-2</v>
      </c>
      <c r="AC166" s="487">
        <f>E166*'4C2 Open-burning '!$C$10*'4C2 Open-burning '!$C$11*$C$5*E$15</f>
        <v>1.0211757340351655E-2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3.9924462773011066E-2</v>
      </c>
      <c r="AH166" s="488">
        <f t="shared" si="18"/>
        <v>8.2663364728164129E-2</v>
      </c>
      <c r="AI166" s="1386"/>
      <c r="AJ166" s="1386"/>
      <c r="AK166" s="1386"/>
      <c r="AL166" s="4"/>
      <c r="AM166" s="4"/>
    </row>
    <row r="167" spans="1:39">
      <c r="A167" s="959">
        <f>'Input data'!A128</f>
        <v>2028</v>
      </c>
      <c r="B167" s="560">
        <f>'Recycling - Case 3'!AP108</f>
        <v>6.9532752151043223E-2</v>
      </c>
      <c r="C167" s="527">
        <f>$B167*'Recycling - Case 3'!$AK108*'Recycling - Case 3'!BM108</f>
        <v>408.18590358377429</v>
      </c>
      <c r="D167" s="528">
        <f>$B167*'Recycling - Case 3'!$AK108*'Recycling - Case 3'!BN108</f>
        <v>426.31149144931896</v>
      </c>
      <c r="E167" s="528">
        <f>$B167*'Recycling - Case 3'!$AK108*'Recycling - Case 3'!BO108</f>
        <v>116.43861014000596</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455.23496112724234</v>
      </c>
      <c r="J167" s="744">
        <f t="shared" si="19"/>
        <v>1406.1709663003414</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0.61510325947000111</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15.683754880755751</v>
      </c>
      <c r="R167" s="1382">
        <f t="shared" si="16"/>
        <v>16.298858140225754</v>
      </c>
      <c r="S167" s="484">
        <f>C167*'4C2 Open-burning '!$C$9*'4C2 Open-burning '!$C$11*$C$5</f>
        <v>1.5919250239767198</v>
      </c>
      <c r="T167" s="485">
        <f>D167*'4C2 Open-burning '!$C$9*'4C2 Open-burning '!$C$11*$C$5</f>
        <v>1.6626148166523438</v>
      </c>
      <c r="U167" s="485">
        <f>E167*'4C2 Open-burning '!$C$9*'4C2 Open-burning '!$C$11*$C$5</f>
        <v>0.45411057954602324</v>
      </c>
      <c r="V167" s="485">
        <f>F167*'4C2 Open-burning '!$C$9*'4C2 Open-burning '!$C$11*$C$5</f>
        <v>0</v>
      </c>
      <c r="W167" s="485">
        <f>G167*'4C2 Open-burning '!$C$9*'4C2 Open-burning '!$C$11*$C$5</f>
        <v>0</v>
      </c>
      <c r="X167" s="485">
        <f>H167*'4C2 Open-burning '!$C$9*'4C2 Open-burning '!$C$11*$C$5</f>
        <v>0</v>
      </c>
      <c r="Y167" s="485">
        <f>I167*'4C2 Open-burning '!$C$9*'4C2 Open-burning '!$C$11*$C$5</f>
        <v>1.7754163483962451</v>
      </c>
      <c r="Z167" s="486">
        <f t="shared" si="17"/>
        <v>5.4840667685713314</v>
      </c>
      <c r="AA167" s="1628">
        <f>C167*'4C2 Open-burning '!$C$10*'4C2 Open-burning '!$C$11*$C$5*C$15</f>
        <v>1.4694692529015875E-2</v>
      </c>
      <c r="AB167" s="487">
        <f>D167*'4C2 Open-burning '!$C$10*'4C2 Open-burning '!$C$11*$C$5*D$15</f>
        <v>1.5347213692175482E-2</v>
      </c>
      <c r="AC167" s="487">
        <f>E167*'4C2 Open-burning '!$C$10*'4C2 Open-burning '!$C$11*$C$5*E$15</f>
        <v>9.4315274213404819E-3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3.6874031851306631E-2</v>
      </c>
      <c r="AH167" s="488">
        <f t="shared" si="18"/>
        <v>7.6347465493838473E-2</v>
      </c>
      <c r="AI167" s="1386"/>
      <c r="AJ167" s="1386"/>
      <c r="AK167" s="1386"/>
      <c r="AL167" s="4"/>
      <c r="AM167" s="4"/>
    </row>
    <row r="168" spans="1:39">
      <c r="A168" s="959">
        <f>'Input data'!A129</f>
        <v>2029</v>
      </c>
      <c r="B168" s="560">
        <f>'Recycling - Case 3'!AP109</f>
        <v>6.4473840914548067E-2</v>
      </c>
      <c r="C168" s="527">
        <f>$B168*'Recycling - Case 3'!$AK109*'Recycling - Case 3'!BM109</f>
        <v>373.77132451549096</v>
      </c>
      <c r="D168" s="528">
        <f>$B168*'Recycling - Case 3'!$AK109*'Recycling - Case 3'!BN109</f>
        <v>390.36872517201823</v>
      </c>
      <c r="E168" s="528">
        <f>$B168*'Recycling - Case 3'!$AK109*'Recycling - Case 3'!BO109</f>
        <v>106.62154953090082</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416.85362696844277</v>
      </c>
      <c r="J168" s="744">
        <f t="shared" si="19"/>
        <v>1287.6152261868529</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0.56324326241391787</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14.361441156316788</v>
      </c>
      <c r="R168" s="1382">
        <f t="shared" si="16"/>
        <v>14.924684418730706</v>
      </c>
      <c r="S168" s="484">
        <f>C168*'4C2 Open-burning '!$C$9*'4C2 Open-burning '!$C$11*$C$5</f>
        <v>1.4577081656104145</v>
      </c>
      <c r="T168" s="485">
        <f>D168*'4C2 Open-burning '!$C$9*'4C2 Open-burning '!$C$11*$C$5</f>
        <v>1.5224380281708709</v>
      </c>
      <c r="U168" s="485">
        <f>E168*'4C2 Open-burning '!$C$9*'4C2 Open-burning '!$C$11*$C$5</f>
        <v>0.41582404317051314</v>
      </c>
      <c r="V168" s="485">
        <f>F168*'4C2 Open-burning '!$C$9*'4C2 Open-burning '!$C$11*$C$5</f>
        <v>0</v>
      </c>
      <c r="W168" s="485">
        <f>G168*'4C2 Open-burning '!$C$9*'4C2 Open-burning '!$C$11*$C$5</f>
        <v>0</v>
      </c>
      <c r="X168" s="485">
        <f>H168*'4C2 Open-burning '!$C$9*'4C2 Open-burning '!$C$11*$C$5</f>
        <v>0</v>
      </c>
      <c r="Y168" s="485">
        <f>I168*'4C2 Open-burning '!$C$9*'4C2 Open-burning '!$C$11*$C$5</f>
        <v>1.6257291451769267</v>
      </c>
      <c r="Z168" s="486">
        <f t="shared" si="17"/>
        <v>5.021699382128725</v>
      </c>
      <c r="AA168" s="1628">
        <f>C168*'4C2 Open-burning '!$C$10*'4C2 Open-burning '!$C$11*$C$5*C$15</f>
        <v>1.3455767682557674E-2</v>
      </c>
      <c r="AB168" s="487">
        <f>D168*'4C2 Open-burning '!$C$10*'4C2 Open-burning '!$C$11*$C$5*D$15</f>
        <v>1.4053274106192655E-2</v>
      </c>
      <c r="AC168" s="487">
        <f>E168*'4C2 Open-burning '!$C$10*'4C2 Open-burning '!$C$11*$C$5*E$15</f>
        <v>8.6363455120029662E-3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3.3765143784443868E-2</v>
      </c>
      <c r="AH168" s="488">
        <f t="shared" si="18"/>
        <v>6.9910531085197153E-2</v>
      </c>
      <c r="AI168" s="1386"/>
      <c r="AJ168" s="1386"/>
      <c r="AK168" s="1386"/>
      <c r="AL168" s="4"/>
      <c r="AM168" s="4"/>
    </row>
    <row r="169" spans="1:39">
      <c r="A169" s="959">
        <f>'Input data'!A130</f>
        <v>2030</v>
      </c>
      <c r="B169" s="560">
        <f>'Recycling - Case 3'!AP110</f>
        <v>5.9171666276371604E-2</v>
      </c>
      <c r="C169" s="527">
        <f>$B169*'Recycling - Case 3'!$AK110*'Recycling - Case 3'!BM110</f>
        <v>338.67490666835062</v>
      </c>
      <c r="D169" s="528">
        <f>$B169*'Recycling - Case 3'!$AK110*'Recycling - Case 3'!BN110</f>
        <v>353.71384290984292</v>
      </c>
      <c r="E169" s="528">
        <f>$B169*'Recycling - Case 3'!$AK110*'Recycling - Case 3'!BO110</f>
        <v>96.609988428141662</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377.71186270350086</v>
      </c>
      <c r="J169" s="744">
        <f t="shared" si="19"/>
        <v>1166.7106007098359</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0.51035578927003822</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13.012929093861009</v>
      </c>
      <c r="R169" s="1382">
        <f t="shared" si="16"/>
        <v>13.523284883131048</v>
      </c>
      <c r="S169" s="484">
        <f>C169*'4C2 Open-burning '!$C$9*'4C2 Open-burning '!$C$11*$C$5</f>
        <v>1.3208321360065673</v>
      </c>
      <c r="T169" s="485">
        <f>D169*'4C2 Open-burning '!$C$9*'4C2 Open-burning '!$C$11*$C$5</f>
        <v>1.3794839873483873</v>
      </c>
      <c r="U169" s="485">
        <f>E169*'4C2 Open-burning '!$C$9*'4C2 Open-burning '!$C$11*$C$5</f>
        <v>0.37677895486975249</v>
      </c>
      <c r="V169" s="485">
        <f>F169*'4C2 Open-burning '!$C$9*'4C2 Open-burning '!$C$11*$C$5</f>
        <v>0</v>
      </c>
      <c r="W169" s="485">
        <f>G169*'4C2 Open-burning '!$C$9*'4C2 Open-burning '!$C$11*$C$5</f>
        <v>0</v>
      </c>
      <c r="X169" s="485">
        <f>H169*'4C2 Open-burning '!$C$9*'4C2 Open-burning '!$C$11*$C$5</f>
        <v>0</v>
      </c>
      <c r="Y169" s="485">
        <f>I169*'4C2 Open-burning '!$C$9*'4C2 Open-burning '!$C$11*$C$5</f>
        <v>1.4730762645436533</v>
      </c>
      <c r="Z169" s="486">
        <f t="shared" si="17"/>
        <v>4.5501713427683601</v>
      </c>
      <c r="AA169" s="1628">
        <f>C169*'4C2 Open-burning '!$C$10*'4C2 Open-burning '!$C$11*$C$5*C$15</f>
        <v>1.2192296640060621E-2</v>
      </c>
      <c r="AB169" s="487">
        <f>D169*'4C2 Open-burning '!$C$10*'4C2 Open-burning '!$C$11*$C$5*D$15</f>
        <v>1.2733698344754346E-2</v>
      </c>
      <c r="AC169" s="487">
        <f>E169*'4C2 Open-burning '!$C$10*'4C2 Open-burning '!$C$11*$C$5*E$15</f>
        <v>7.8254090626794729E-3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3.0594660878983566E-2</v>
      </c>
      <c r="AH169" s="488">
        <f t="shared" si="18"/>
        <v>6.3346064926477999E-2</v>
      </c>
      <c r="AI169" s="1386"/>
      <c r="AJ169" s="1386"/>
      <c r="AK169" s="1386"/>
      <c r="AL169" s="4"/>
      <c r="AM169" s="4"/>
    </row>
    <row r="170" spans="1:39">
      <c r="A170" s="959">
        <f>'Input data'!A131</f>
        <v>2031</v>
      </c>
      <c r="B170" s="560">
        <f>'Recycling - Case 3'!AP111</f>
        <v>5.322853899378515E-2</v>
      </c>
      <c r="C170" s="527">
        <f>$B170*'Recycling - Case 3'!$AK111*'Recycling - Case 3'!BM111</f>
        <v>298.64217437500093</v>
      </c>
      <c r="D170" s="528">
        <f>$B170*'Recycling - Case 3'!$AK111*'Recycling - Case 3'!BN111</f>
        <v>311.9034480360117</v>
      </c>
      <c r="E170" s="528">
        <f>$B170*'Recycling - Case 3'!$AK111*'Recycling - Case 3'!BO111</f>
        <v>85.190300321769087</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333.06480564108068</v>
      </c>
      <c r="J170" s="744">
        <f t="shared" si="19"/>
        <v>1028.8007283738623</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0.45002968809179023</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11.47474868394651</v>
      </c>
      <c r="R170" s="1382">
        <f t="shared" si="16"/>
        <v>11.9247783720383</v>
      </c>
      <c r="S170" s="484">
        <f>C170*'4C2 Open-burning '!$C$9*'4C2 Open-burning '!$C$11*$C$5</f>
        <v>1.1647044800625037</v>
      </c>
      <c r="T170" s="485">
        <f>D170*'4C2 Open-burning '!$C$9*'4C2 Open-burning '!$C$11*$C$5</f>
        <v>1.2164234473404456</v>
      </c>
      <c r="U170" s="485">
        <f>E170*'4C2 Open-burning '!$C$9*'4C2 Open-burning '!$C$11*$C$5</f>
        <v>0.33224217125489947</v>
      </c>
      <c r="V170" s="485">
        <f>F170*'4C2 Open-burning '!$C$9*'4C2 Open-burning '!$C$11*$C$5</f>
        <v>0</v>
      </c>
      <c r="W170" s="485">
        <f>G170*'4C2 Open-burning '!$C$9*'4C2 Open-burning '!$C$11*$C$5</f>
        <v>0</v>
      </c>
      <c r="X170" s="485">
        <f>H170*'4C2 Open-burning '!$C$9*'4C2 Open-burning '!$C$11*$C$5</f>
        <v>0</v>
      </c>
      <c r="Y170" s="485">
        <f>I170*'4C2 Open-burning '!$C$9*'4C2 Open-burning '!$C$11*$C$5</f>
        <v>1.2989527420002145</v>
      </c>
      <c r="Z170" s="486">
        <f t="shared" si="17"/>
        <v>4.0123228406580633</v>
      </c>
      <c r="AA170" s="1628">
        <f>C170*'4C2 Open-burning '!$C$10*'4C2 Open-burning '!$C$11*$C$5*C$15</f>
        <v>1.0751118277500034E-2</v>
      </c>
      <c r="AB170" s="487">
        <f>D170*'4C2 Open-burning '!$C$10*'4C2 Open-burning '!$C$11*$C$5*D$15</f>
        <v>1.1228524129296421E-2</v>
      </c>
      <c r="AC170" s="487">
        <f>E170*'4C2 Open-burning '!$C$10*'4C2 Open-burning '!$C$11*$C$5*E$15</f>
        <v>6.9004143260632958E-3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2.6978249256927534E-2</v>
      </c>
      <c r="AH170" s="488">
        <f t="shared" si="18"/>
        <v>5.5858305989787284E-2</v>
      </c>
      <c r="AI170" s="1386"/>
      <c r="AJ170" s="1386"/>
      <c r="AK170" s="1386"/>
      <c r="AL170" s="4"/>
      <c r="AM170" s="4"/>
    </row>
    <row r="171" spans="1:39">
      <c r="A171" s="959">
        <f>'Input data'!A132</f>
        <v>2032</v>
      </c>
      <c r="B171" s="560">
        <f>'Recycling - Case 3'!AP112</f>
        <v>4.7094685590777383E-2</v>
      </c>
      <c r="C171" s="527">
        <f>$B171*'Recycling - Case 3'!$AK112*'Recycling - Case 3'!BM112</f>
        <v>258.89473166408089</v>
      </c>
      <c r="D171" s="528">
        <f>$B171*'Recycling - Case 3'!$AK112*'Recycling - Case 3'!BN112</f>
        <v>270.39101109338947</v>
      </c>
      <c r="E171" s="528">
        <f>$B171*'Recycling - Case 3'!$AK112*'Recycling - Case 3'!BO112</f>
        <v>73.85199357171939</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288.73592172189512</v>
      </c>
      <c r="J171" s="744">
        <f t="shared" si="19"/>
        <v>891.87365805108493</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0.39013349532170771</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9.9475299751627304</v>
      </c>
      <c r="R171" s="1382">
        <f t="shared" si="16"/>
        <v>10.337663470484438</v>
      </c>
      <c r="S171" s="484">
        <f>C171*'4C2 Open-burning '!$C$9*'4C2 Open-burning '!$C$11*$C$5</f>
        <v>1.0096894534899155</v>
      </c>
      <c r="T171" s="485">
        <f>D171*'4C2 Open-burning '!$C$9*'4C2 Open-burning '!$C$11*$C$5</f>
        <v>1.0545249432642188</v>
      </c>
      <c r="U171" s="485">
        <f>E171*'4C2 Open-burning '!$C$9*'4C2 Open-burning '!$C$11*$C$5</f>
        <v>0.28802277492970557</v>
      </c>
      <c r="V171" s="485">
        <f>F171*'4C2 Open-burning '!$C$9*'4C2 Open-burning '!$C$11*$C$5</f>
        <v>0</v>
      </c>
      <c r="W171" s="485">
        <f>G171*'4C2 Open-burning '!$C$9*'4C2 Open-burning '!$C$11*$C$5</f>
        <v>0</v>
      </c>
      <c r="X171" s="485">
        <f>H171*'4C2 Open-burning '!$C$9*'4C2 Open-burning '!$C$11*$C$5</f>
        <v>0</v>
      </c>
      <c r="Y171" s="485">
        <f>I171*'4C2 Open-burning '!$C$9*'4C2 Open-burning '!$C$11*$C$5</f>
        <v>1.126070094715391</v>
      </c>
      <c r="Z171" s="486">
        <f t="shared" si="17"/>
        <v>3.4783072663992307</v>
      </c>
      <c r="AA171" s="1628">
        <f>C171*'4C2 Open-burning '!$C$10*'4C2 Open-burning '!$C$11*$C$5*C$15</f>
        <v>9.3202103399069106E-3</v>
      </c>
      <c r="AB171" s="487">
        <f>D171*'4C2 Open-burning '!$C$10*'4C2 Open-burning '!$C$11*$C$5*D$15</f>
        <v>9.7340763993620204E-3</v>
      </c>
      <c r="AC171" s="487">
        <f>E171*'4C2 Open-burning '!$C$10*'4C2 Open-burning '!$C$11*$C$5*E$15</f>
        <v>5.98201147930927E-3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2.3387609659473504E-2</v>
      </c>
      <c r="AH171" s="488">
        <f t="shared" si="18"/>
        <v>4.8423907878051703E-2</v>
      </c>
      <c r="AI171" s="1386"/>
      <c r="AJ171" s="1386"/>
      <c r="AK171" s="1386"/>
      <c r="AL171" s="4"/>
      <c r="AM171" s="4"/>
    </row>
    <row r="172" spans="1:39">
      <c r="A172" s="959">
        <f>'Input data'!A133</f>
        <v>2033</v>
      </c>
      <c r="B172" s="560">
        <f>'Recycling - Case 3'!AP113</f>
        <v>4.6766994951349034E-2</v>
      </c>
      <c r="C172" s="527">
        <f>$B172*'Recycling - Case 3'!$AK113*'Recycling - Case 3'!BM113</f>
        <v>258.13552968327963</v>
      </c>
      <c r="D172" s="528">
        <f>$B172*'Recycling - Case 3'!$AK113*'Recycling - Case 3'!BN113</f>
        <v>269.59809657599669</v>
      </c>
      <c r="E172" s="528">
        <f>$B172*'Recycling - Case 3'!$AK113*'Recycling - Case 3'!BO113</f>
        <v>73.635424545979149</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287.88921123732581</v>
      </c>
      <c r="J172" s="744">
        <f t="shared" si="19"/>
        <v>889.25826204258124</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0.38898943912357126</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9.9183591055483475</v>
      </c>
      <c r="R172" s="1382">
        <f t="shared" si="16"/>
        <v>10.307348544671919</v>
      </c>
      <c r="S172" s="484">
        <f>C172*'4C2 Open-burning '!$C$9*'4C2 Open-burning '!$C$11*$C$5</f>
        <v>1.0067285657647904</v>
      </c>
      <c r="T172" s="485">
        <f>D172*'4C2 Open-burning '!$C$9*'4C2 Open-burning '!$C$11*$C$5</f>
        <v>1.051432576646387</v>
      </c>
      <c r="U172" s="485">
        <f>E172*'4C2 Open-burning '!$C$9*'4C2 Open-burning '!$C$11*$C$5</f>
        <v>0.28717815572931865</v>
      </c>
      <c r="V172" s="485">
        <f>F172*'4C2 Open-burning '!$C$9*'4C2 Open-burning '!$C$11*$C$5</f>
        <v>0</v>
      </c>
      <c r="W172" s="485">
        <f>G172*'4C2 Open-burning '!$C$9*'4C2 Open-burning '!$C$11*$C$5</f>
        <v>0</v>
      </c>
      <c r="X172" s="485">
        <f>H172*'4C2 Open-burning '!$C$9*'4C2 Open-burning '!$C$11*$C$5</f>
        <v>0</v>
      </c>
      <c r="Y172" s="485">
        <f>I172*'4C2 Open-burning '!$C$9*'4C2 Open-burning '!$C$11*$C$5</f>
        <v>1.1227679238255706</v>
      </c>
      <c r="Z172" s="486">
        <f t="shared" si="17"/>
        <v>3.4681072219660667</v>
      </c>
      <c r="AA172" s="1628">
        <f>C172*'4C2 Open-burning '!$C$10*'4C2 Open-burning '!$C$11*$C$5*C$15</f>
        <v>9.2928790685980669E-3</v>
      </c>
      <c r="AB172" s="487">
        <f>D172*'4C2 Open-burning '!$C$10*'4C2 Open-burning '!$C$11*$C$5*D$15</f>
        <v>9.7055314767358816E-3</v>
      </c>
      <c r="AC172" s="487">
        <f>E172*'4C2 Open-burning '!$C$10*'4C2 Open-burning '!$C$11*$C$5*E$15</f>
        <v>5.9644693882243104E-3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2.3319026110223389E-2</v>
      </c>
      <c r="AH172" s="488">
        <f t="shared" si="18"/>
        <v>4.8281906043781644E-2</v>
      </c>
      <c r="AI172" s="1386"/>
      <c r="AJ172" s="1386"/>
      <c r="AK172" s="1386"/>
      <c r="AL172" s="4"/>
      <c r="AM172" s="4"/>
    </row>
    <row r="173" spans="1:39">
      <c r="A173" s="959">
        <f>'Input data'!A134</f>
        <v>2034</v>
      </c>
      <c r="B173" s="560">
        <f>'Recycling - Case 3'!AP114</f>
        <v>4.6451389955373623E-2</v>
      </c>
      <c r="C173" s="527">
        <f>$B173*'Recycling - Case 3'!$AK114*'Recycling - Case 3'!BM114</f>
        <v>257.408302038616</v>
      </c>
      <c r="D173" s="528">
        <f>$B173*'Recycling - Case 3'!$AK114*'Recycling - Case 3'!BN114</f>
        <v>268.83857622240839</v>
      </c>
      <c r="E173" s="528">
        <f>$B173*'Recycling - Case 3'!$AK114*'Recycling - Case 3'!BO114</f>
        <v>73.42797648014303</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287.07816057231634</v>
      </c>
      <c r="J173" s="744">
        <f t="shared" si="19"/>
        <v>886.75301531348373</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0.38789356567306277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9.8904167880374416</v>
      </c>
      <c r="R173" s="1382">
        <f t="shared" si="16"/>
        <v>10.278310353710504</v>
      </c>
      <c r="S173" s="484">
        <f>C173*'4C2 Open-burning '!$C$9*'4C2 Open-burning '!$C$11*$C$5</f>
        <v>1.0038923779506024</v>
      </c>
      <c r="T173" s="485">
        <f>D173*'4C2 Open-burning '!$C$9*'4C2 Open-burning '!$C$11*$C$5</f>
        <v>1.0484704472673927</v>
      </c>
      <c r="U173" s="485">
        <f>E173*'4C2 Open-burning '!$C$9*'4C2 Open-burning '!$C$11*$C$5</f>
        <v>0.28636910827255779</v>
      </c>
      <c r="V173" s="485">
        <f>F173*'4C2 Open-burning '!$C$9*'4C2 Open-burning '!$C$11*$C$5</f>
        <v>0</v>
      </c>
      <c r="W173" s="485">
        <f>G173*'4C2 Open-burning '!$C$9*'4C2 Open-burning '!$C$11*$C$5</f>
        <v>0</v>
      </c>
      <c r="X173" s="485">
        <f>H173*'4C2 Open-burning '!$C$9*'4C2 Open-burning '!$C$11*$C$5</f>
        <v>0</v>
      </c>
      <c r="Y173" s="485">
        <f>I173*'4C2 Open-burning '!$C$9*'4C2 Open-burning '!$C$11*$C$5</f>
        <v>1.1196048262320335</v>
      </c>
      <c r="Z173" s="486">
        <f t="shared" si="17"/>
        <v>3.4583367597225863</v>
      </c>
      <c r="AA173" s="1628">
        <f>C173*'4C2 Open-burning '!$C$10*'4C2 Open-burning '!$C$11*$C$5*C$15</f>
        <v>9.2666988733901764E-3</v>
      </c>
      <c r="AB173" s="487">
        <f>D173*'4C2 Open-burning '!$C$10*'4C2 Open-burning '!$C$11*$C$5*D$15</f>
        <v>9.6781887440067025E-3</v>
      </c>
      <c r="AC173" s="487">
        <f>E173*'4C2 Open-burning '!$C$10*'4C2 Open-burning '!$C$11*$C$5*E$15</f>
        <v>5.9476660948915849E-3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2.3253331006357618E-2</v>
      </c>
      <c r="AH173" s="488">
        <f t="shared" si="18"/>
        <v>4.814588471864608E-2</v>
      </c>
      <c r="AI173" s="1386"/>
      <c r="AJ173" s="1386"/>
      <c r="AK173" s="1386"/>
      <c r="AL173" s="4"/>
      <c r="AM173" s="4"/>
    </row>
    <row r="174" spans="1:39">
      <c r="A174" s="959">
        <f>'Input data'!A135</f>
        <v>2035</v>
      </c>
      <c r="B174" s="560">
        <f>'Recycling - Case 3'!AP115</f>
        <v>4.6147594585465912E-2</v>
      </c>
      <c r="C174" s="527">
        <f>$B174*'Recycling - Case 3'!$AK115*'Recycling - Case 3'!BM115</f>
        <v>256.7119824658667</v>
      </c>
      <c r="D174" s="528">
        <f>$B174*'Recycling - Case 3'!$AK115*'Recycling - Case 3'!BN115</f>
        <v>268.11133642069586</v>
      </c>
      <c r="E174" s="528">
        <f>$B174*'Recycling - Case 3'!$AK115*'Recycling - Case 3'!BO115</f>
        <v>73.229345212986658</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286.3015805609794</v>
      </c>
      <c r="J174" s="744">
        <f t="shared" si="19"/>
        <v>884.35424466052859</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0.38684426819593182</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9.8636620534868609</v>
      </c>
      <c r="R174" s="1382">
        <f t="shared" si="16"/>
        <v>10.250506321682792</v>
      </c>
      <c r="S174" s="484">
        <f>C174*'4C2 Open-burning '!$C$9*'4C2 Open-burning '!$C$11*$C$5</f>
        <v>1.00117673161688</v>
      </c>
      <c r="T174" s="485">
        <f>D174*'4C2 Open-burning '!$C$9*'4C2 Open-burning '!$C$11*$C$5</f>
        <v>1.0456342120407138</v>
      </c>
      <c r="U174" s="485">
        <f>E174*'4C2 Open-burning '!$C$9*'4C2 Open-burning '!$C$11*$C$5</f>
        <v>0.28559444633064796</v>
      </c>
      <c r="V174" s="485">
        <f>F174*'4C2 Open-burning '!$C$9*'4C2 Open-burning '!$C$11*$C$5</f>
        <v>0</v>
      </c>
      <c r="W174" s="485">
        <f>G174*'4C2 Open-burning '!$C$9*'4C2 Open-burning '!$C$11*$C$5</f>
        <v>0</v>
      </c>
      <c r="X174" s="485">
        <f>H174*'4C2 Open-burning '!$C$9*'4C2 Open-burning '!$C$11*$C$5</f>
        <v>0</v>
      </c>
      <c r="Y174" s="485">
        <f>I174*'4C2 Open-burning '!$C$9*'4C2 Open-burning '!$C$11*$C$5</f>
        <v>1.1165761641878196</v>
      </c>
      <c r="Z174" s="486">
        <f t="shared" si="17"/>
        <v>3.4489815541760613</v>
      </c>
      <c r="AA174" s="1628">
        <f>C174*'4C2 Open-burning '!$C$10*'4C2 Open-burning '!$C$11*$C$5*C$15</f>
        <v>9.2416313687712012E-3</v>
      </c>
      <c r="AB174" s="487">
        <f>D174*'4C2 Open-burning '!$C$10*'4C2 Open-burning '!$C$11*$C$5*D$15</f>
        <v>9.6520081111450516E-3</v>
      </c>
      <c r="AC174" s="487">
        <f>E174*'4C2 Open-burning '!$C$10*'4C2 Open-burning '!$C$11*$C$5*E$15</f>
        <v>5.9315769622519197E-3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2.319042802543933E-2</v>
      </c>
      <c r="AH174" s="488">
        <f t="shared" si="18"/>
        <v>4.8015644467607504E-2</v>
      </c>
      <c r="AI174" s="1386"/>
      <c r="AJ174" s="1386"/>
      <c r="AK174" s="1386"/>
      <c r="AL174" s="4"/>
      <c r="AM174" s="4"/>
    </row>
    <row r="175" spans="1:39">
      <c r="A175" s="959">
        <f>'Input data'!A136</f>
        <v>2036</v>
      </c>
      <c r="B175" s="560">
        <f>'Recycling - Case 3'!AP116</f>
        <v>4.5855347858393132E-2</v>
      </c>
      <c r="C175" s="527">
        <f>$B175*'Recycling - Case 3'!$AK116*'Recycling - Case 3'!BM116</f>
        <v>256.04556558232332</v>
      </c>
      <c r="D175" s="528">
        <f>$B175*'Recycling - Case 3'!$AK116*'Recycling - Case 3'!BN116</f>
        <v>267.41532714390297</v>
      </c>
      <c r="E175" s="528">
        <f>$B175*'Recycling - Case 3'!$AK116*'Recycling - Case 3'!BO116</f>
        <v>73.039243950271938</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285.55834993637711</v>
      </c>
      <c r="J175" s="744">
        <f t="shared" si="19"/>
        <v>882.05848661287541</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0.38584003166146452</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9.838056272008064</v>
      </c>
      <c r="R175" s="1382">
        <f t="shared" si="16"/>
        <v>10.223896303669529</v>
      </c>
      <c r="S175" s="484">
        <f>C175*'4C2 Open-burning '!$C$9*'4C2 Open-burning '!$C$11*$C$5</f>
        <v>0.99857770577106075</v>
      </c>
      <c r="T175" s="485">
        <f>D175*'4C2 Open-burning '!$C$9*'4C2 Open-burning '!$C$11*$C$5</f>
        <v>1.0429197758612214</v>
      </c>
      <c r="U175" s="485">
        <f>E175*'4C2 Open-burning '!$C$9*'4C2 Open-burning '!$C$11*$C$5</f>
        <v>0.28485305140606054</v>
      </c>
      <c r="V175" s="485">
        <f>F175*'4C2 Open-burning '!$C$9*'4C2 Open-burning '!$C$11*$C$5</f>
        <v>0</v>
      </c>
      <c r="W175" s="485">
        <f>G175*'4C2 Open-burning '!$C$9*'4C2 Open-burning '!$C$11*$C$5</f>
        <v>0</v>
      </c>
      <c r="X175" s="485">
        <f>H175*'4C2 Open-burning '!$C$9*'4C2 Open-burning '!$C$11*$C$5</f>
        <v>0</v>
      </c>
      <c r="Y175" s="485">
        <f>I175*'4C2 Open-burning '!$C$9*'4C2 Open-burning '!$C$11*$C$5</f>
        <v>1.1136775647518706</v>
      </c>
      <c r="Z175" s="486">
        <f t="shared" si="17"/>
        <v>3.4400280977902136</v>
      </c>
      <c r="AA175" s="1628">
        <f>C175*'4C2 Open-burning '!$C$10*'4C2 Open-burning '!$C$11*$C$5*C$15</f>
        <v>9.2176403609636384E-3</v>
      </c>
      <c r="AB175" s="487">
        <f>D175*'4C2 Open-burning '!$C$10*'4C2 Open-burning '!$C$11*$C$5*D$15</f>
        <v>9.6269517771805074E-3</v>
      </c>
      <c r="AC175" s="487">
        <f>E175*'4C2 Open-burning '!$C$10*'4C2 Open-burning '!$C$11*$C$5*E$15</f>
        <v>5.9161787599720265E-3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2.313022634484654E-2</v>
      </c>
      <c r="AH175" s="488">
        <f t="shared" si="18"/>
        <v>4.789099724296271E-2</v>
      </c>
      <c r="AI175" s="1386"/>
      <c r="AJ175" s="1386"/>
      <c r="AK175" s="1386"/>
      <c r="AL175" s="4"/>
      <c r="AM175" s="4"/>
    </row>
    <row r="176" spans="1:39">
      <c r="A176" s="959">
        <f>'Input data'!A137</f>
        <v>2037</v>
      </c>
      <c r="B176" s="560">
        <f>'Recycling - Case 3'!AP117</f>
        <v>4.5574403000462525E-2</v>
      </c>
      <c r="C176" s="527">
        <f>$B176*'Recycling - Case 3'!$AK117*'Recycling - Case 3'!BM117</f>
        <v>255.40810338555843</v>
      </c>
      <c r="D176" s="528">
        <f>$B176*'Recycling - Case 3'!$AK117*'Recycling - Case 3'!BN117</f>
        <v>266.74955829333902</v>
      </c>
      <c r="E176" s="528">
        <f>$B176*'Recycling - Case 3'!$AK117*'Recycling - Case 3'!BO117</f>
        <v>72.857402265989322</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284.84741142572182</v>
      </c>
      <c r="J176" s="744">
        <f t="shared" si="19"/>
        <v>879.86247537060865</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0.3848794275064058</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9.8135630184389662</v>
      </c>
      <c r="R176" s="1382">
        <f t="shared" si="16"/>
        <v>10.198442445945371</v>
      </c>
      <c r="S176" s="484">
        <f>C176*'4C2 Open-burning '!$C$9*'4C2 Open-burning '!$C$11*$C$5</f>
        <v>0.99609160320367773</v>
      </c>
      <c r="T176" s="485">
        <f>D176*'4C2 Open-burning '!$C$9*'4C2 Open-burning '!$C$11*$C$5</f>
        <v>1.0403232773440221</v>
      </c>
      <c r="U176" s="485">
        <f>E176*'4C2 Open-burning '!$C$9*'4C2 Open-burning '!$C$11*$C$5</f>
        <v>0.28414386883735832</v>
      </c>
      <c r="V176" s="485">
        <f>F176*'4C2 Open-burning '!$C$9*'4C2 Open-burning '!$C$11*$C$5</f>
        <v>0</v>
      </c>
      <c r="W176" s="485">
        <f>G176*'4C2 Open-burning '!$C$9*'4C2 Open-burning '!$C$11*$C$5</f>
        <v>0</v>
      </c>
      <c r="X176" s="485">
        <f>H176*'4C2 Open-burning '!$C$9*'4C2 Open-burning '!$C$11*$C$5</f>
        <v>0</v>
      </c>
      <c r="Y176" s="485">
        <f>I176*'4C2 Open-burning '!$C$9*'4C2 Open-burning '!$C$11*$C$5</f>
        <v>1.110904904560315</v>
      </c>
      <c r="Z176" s="486">
        <f t="shared" si="17"/>
        <v>3.4314636539453733</v>
      </c>
      <c r="AA176" s="1628">
        <f>C176*'4C2 Open-burning '!$C$10*'4C2 Open-burning '!$C$11*$C$5*C$15</f>
        <v>9.1946917218801039E-3</v>
      </c>
      <c r="AB176" s="487">
        <f>D176*'4C2 Open-burning '!$C$10*'4C2 Open-burning '!$C$11*$C$5*D$15</f>
        <v>9.6029840985602053E-3</v>
      </c>
      <c r="AC176" s="487">
        <f>E176*'4C2 Open-burning '!$C$10*'4C2 Open-burning '!$C$11*$C$5*E$15</f>
        <v>5.9014495835451345E-3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2.3072640325483465E-2</v>
      </c>
      <c r="AH176" s="488">
        <f t="shared" si="18"/>
        <v>4.777176572946891E-2</v>
      </c>
      <c r="AI176" s="1386"/>
      <c r="AJ176" s="1386"/>
      <c r="AK176" s="1386"/>
      <c r="AL176" s="4"/>
      <c r="AM176" s="4"/>
    </row>
    <row r="177" spans="1:39">
      <c r="A177" s="959">
        <f>'Input data'!A138</f>
        <v>2038</v>
      </c>
      <c r="B177" s="560">
        <f>'Recycling - Case 3'!AP118</f>
        <v>4.5304526686490987E-2</v>
      </c>
      <c r="C177" s="527">
        <f>$B177*'Recycling - Case 3'!$AK118*'Recycling - Case 3'!BM118</f>
        <v>254.79870201823857</v>
      </c>
      <c r="D177" s="528">
        <f>$B177*'Recycling - Case 3'!$AK118*'Recycling - Case 3'!BN118</f>
        <v>266.11309631973228</v>
      </c>
      <c r="E177" s="528">
        <f>$B177*'Recycling - Case 3'!$AK118*'Recycling - Case 3'!BO118</f>
        <v>72.683565179492334</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284.16776814228882</v>
      </c>
      <c r="J177" s="744">
        <f t="shared" si="19"/>
        <v>877.76313165975193</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0.38396110875979339</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9.7901479480381326</v>
      </c>
      <c r="R177" s="1382">
        <f t="shared" si="16"/>
        <v>10.174109056797926</v>
      </c>
      <c r="S177" s="484">
        <f>C177*'4C2 Open-burning '!$C$9*'4C2 Open-burning '!$C$11*$C$5</f>
        <v>0.9937149378711303</v>
      </c>
      <c r="T177" s="485">
        <f>D177*'4C2 Open-burning '!$C$9*'4C2 Open-burning '!$C$11*$C$5</f>
        <v>1.0378410756469558</v>
      </c>
      <c r="U177" s="485">
        <f>E177*'4C2 Open-burning '!$C$9*'4C2 Open-burning '!$C$11*$C$5</f>
        <v>0.2834659042000201</v>
      </c>
      <c r="V177" s="485">
        <f>F177*'4C2 Open-burning '!$C$9*'4C2 Open-burning '!$C$11*$C$5</f>
        <v>0</v>
      </c>
      <c r="W177" s="485">
        <f>G177*'4C2 Open-burning '!$C$9*'4C2 Open-burning '!$C$11*$C$5</f>
        <v>0</v>
      </c>
      <c r="X177" s="485">
        <f>H177*'4C2 Open-burning '!$C$9*'4C2 Open-burning '!$C$11*$C$5</f>
        <v>0</v>
      </c>
      <c r="Y177" s="485">
        <f>I177*'4C2 Open-burning '!$C$9*'4C2 Open-burning '!$C$11*$C$5</f>
        <v>1.1082542957549264</v>
      </c>
      <c r="Z177" s="486">
        <f t="shared" si="17"/>
        <v>3.423276213473033</v>
      </c>
      <c r="AA177" s="1628">
        <f>C177*'4C2 Open-burning '!$C$10*'4C2 Open-burning '!$C$11*$C$5*C$15</f>
        <v>9.1727532726565888E-3</v>
      </c>
      <c r="AB177" s="487">
        <f>D177*'4C2 Open-burning '!$C$10*'4C2 Open-burning '!$C$11*$C$5*D$15</f>
        <v>9.5800714675103628E-3</v>
      </c>
      <c r="AC177" s="487">
        <f>E177*'4C2 Open-burning '!$C$10*'4C2 Open-burning '!$C$11*$C$5*E$15</f>
        <v>5.8873687795388792E-3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2.3017589219525396E-2</v>
      </c>
      <c r="AH177" s="488">
        <f t="shared" si="18"/>
        <v>4.7657782739231228E-2</v>
      </c>
      <c r="AI177" s="1386"/>
      <c r="AJ177" s="1386"/>
      <c r="AK177" s="1386"/>
      <c r="AL177" s="4"/>
      <c r="AM177" s="4"/>
    </row>
    <row r="178" spans="1:39">
      <c r="A178" s="959">
        <f>'Input data'!A139</f>
        <v>2039</v>
      </c>
      <c r="B178" s="560">
        <f>'Recycling - Case 3'!AP119</f>
        <v>4.5044743124892074E-2</v>
      </c>
      <c r="C178" s="527">
        <f>$B178*'Recycling - Case 3'!$AK119*'Recycling - Case 3'!BM119</f>
        <v>254.21482529347008</v>
      </c>
      <c r="D178" s="528">
        <f>$B178*'Recycling - Case 3'!$AK119*'Recycling - Case 3'!BN119</f>
        <v>265.50329241623342</v>
      </c>
      <c r="E178" s="528">
        <f>$B178*'Recycling - Case 3'!$AK119*'Recycling - Case 3'!BO119</f>
        <v>72.5170092212188</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283.51659156865065</v>
      </c>
      <c r="J178" s="744">
        <f t="shared" si="19"/>
        <v>875.75171849957292</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0.38308125359237927</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9.767713612723151</v>
      </c>
      <c r="R178" s="1382">
        <f t="shared" si="16"/>
        <v>10.150794866315531</v>
      </c>
      <c r="S178" s="484">
        <f>C178*'4C2 Open-burning '!$C$9*'4C2 Open-burning '!$C$11*$C$5</f>
        <v>0.9914378186445334</v>
      </c>
      <c r="T178" s="485">
        <f>D178*'4C2 Open-burning '!$C$9*'4C2 Open-burning '!$C$11*$C$5</f>
        <v>1.0354628404233102</v>
      </c>
      <c r="U178" s="485">
        <f>E178*'4C2 Open-burning '!$C$9*'4C2 Open-burning '!$C$11*$C$5</f>
        <v>0.2828163359627533</v>
      </c>
      <c r="V178" s="485">
        <f>F178*'4C2 Open-burning '!$C$9*'4C2 Open-burning '!$C$11*$C$5</f>
        <v>0</v>
      </c>
      <c r="W178" s="485">
        <f>G178*'4C2 Open-burning '!$C$9*'4C2 Open-burning '!$C$11*$C$5</f>
        <v>0</v>
      </c>
      <c r="X178" s="485">
        <f>H178*'4C2 Open-burning '!$C$9*'4C2 Open-burning '!$C$11*$C$5</f>
        <v>0</v>
      </c>
      <c r="Y178" s="485">
        <f>I178*'4C2 Open-burning '!$C$9*'4C2 Open-burning '!$C$11*$C$5</f>
        <v>1.1057147071177376</v>
      </c>
      <c r="Z178" s="486">
        <f t="shared" si="17"/>
        <v>3.415431702148334</v>
      </c>
      <c r="AA178" s="1628">
        <f>C178*'4C2 Open-burning '!$C$10*'4C2 Open-burning '!$C$11*$C$5*C$15</f>
        <v>9.1517337105649233E-3</v>
      </c>
      <c r="AB178" s="487">
        <f>D178*'4C2 Open-burning '!$C$10*'4C2 Open-burning '!$C$11*$C$5*D$15</f>
        <v>9.5581185269844032E-3</v>
      </c>
      <c r="AC178" s="487">
        <f>E178*'4C2 Open-burning '!$C$10*'4C2 Open-burning '!$C$11*$C$5*E$15</f>
        <v>5.8738777469187218E-3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2.2964843917060704E-2</v>
      </c>
      <c r="AH178" s="488">
        <f t="shared" si="18"/>
        <v>4.7548573901528751E-2</v>
      </c>
      <c r="AI178" s="1386"/>
      <c r="AJ178" s="1386"/>
      <c r="AK178" s="1386"/>
      <c r="AL178" s="4"/>
      <c r="AM178" s="4"/>
    </row>
    <row r="179" spans="1:39">
      <c r="A179" s="959">
        <f>'Input data'!A140</f>
        <v>2040</v>
      </c>
      <c r="B179" s="560">
        <f>'Recycling - Case 3'!AP120</f>
        <v>4.4794858642171469E-2</v>
      </c>
      <c r="C179" s="527">
        <f>$B179*'Recycling - Case 3'!$AK120*'Recycling - Case 3'!BM120</f>
        <v>253.65573447308122</v>
      </c>
      <c r="D179" s="528">
        <f>$B179*'Recycling - Case 3'!$AK120*'Recycling - Case 3'!BN120</f>
        <v>264.91937504083415</v>
      </c>
      <c r="E179" s="528">
        <f>$B179*'Recycling - Case 3'!$AK120*'Recycling - Case 3'!BO120</f>
        <v>72.357523659624064</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282.89305781686812</v>
      </c>
      <c r="J179" s="744">
        <f t="shared" si="19"/>
        <v>873.82569099040757</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0.38223874878527647</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9.7462316279067398</v>
      </c>
      <c r="R179" s="1382">
        <f t="shared" si="16"/>
        <v>10.128470376692016</v>
      </c>
      <c r="S179" s="484">
        <f>C179*'4C2 Open-burning '!$C$9*'4C2 Open-burning '!$C$11*$C$5</f>
        <v>0.98925736444501666</v>
      </c>
      <c r="T179" s="485">
        <f>D179*'4C2 Open-burning '!$C$9*'4C2 Open-burning '!$C$11*$C$5</f>
        <v>1.0331855626592532</v>
      </c>
      <c r="U179" s="485">
        <f>E179*'4C2 Open-burning '!$C$9*'4C2 Open-burning '!$C$11*$C$5</f>
        <v>0.28219434227253382</v>
      </c>
      <c r="V179" s="485">
        <f>F179*'4C2 Open-burning '!$C$9*'4C2 Open-burning '!$C$11*$C$5</f>
        <v>0</v>
      </c>
      <c r="W179" s="485">
        <f>G179*'4C2 Open-burning '!$C$9*'4C2 Open-burning '!$C$11*$C$5</f>
        <v>0</v>
      </c>
      <c r="X179" s="485">
        <f>H179*'4C2 Open-burning '!$C$9*'4C2 Open-burning '!$C$11*$C$5</f>
        <v>0</v>
      </c>
      <c r="Y179" s="485">
        <f>I179*'4C2 Open-burning '!$C$9*'4C2 Open-burning '!$C$11*$C$5</f>
        <v>1.1032829254857857</v>
      </c>
      <c r="Z179" s="486">
        <f t="shared" si="17"/>
        <v>3.407920194862589</v>
      </c>
      <c r="AA179" s="1628">
        <f>C179*'4C2 Open-burning '!$C$10*'4C2 Open-burning '!$C$11*$C$5*C$15</f>
        <v>9.1316064410309258E-3</v>
      </c>
      <c r="AB179" s="487">
        <f>D179*'4C2 Open-burning '!$C$10*'4C2 Open-burning '!$C$11*$C$5*D$15</f>
        <v>9.53709750147003E-3</v>
      </c>
      <c r="AC179" s="487">
        <f>E179*'4C2 Open-burning '!$C$10*'4C2 Open-burning '!$C$11*$C$5*E$15</f>
        <v>5.8609594164295486E-3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2.2914337683166319E-2</v>
      </c>
      <c r="AH179" s="488">
        <f t="shared" si="18"/>
        <v>4.7444001042096826E-2</v>
      </c>
      <c r="AI179" s="1386"/>
      <c r="AJ179" s="1386"/>
      <c r="AK179" s="1386"/>
      <c r="AL179" s="4"/>
      <c r="AM179" s="4"/>
    </row>
    <row r="180" spans="1:39">
      <c r="A180" s="959">
        <f>'Input data'!A141</f>
        <v>2041</v>
      </c>
      <c r="B180" s="560">
        <f>'Recycling - Case 3'!AP121</f>
        <v>4.4554689677662442E-2</v>
      </c>
      <c r="C180" s="527">
        <f>$B180*'Recycling - Case 3'!$AK121*'Recycling - Case 3'!BM121</f>
        <v>253.12073127799522</v>
      </c>
      <c r="D180" s="528">
        <f>$B180*'Recycling - Case 3'!$AK121*'Recycling - Case 3'!BN121</f>
        <v>264.36061490721664</v>
      </c>
      <c r="E180" s="528">
        <f>$B180*'Recycling - Case 3'!$AK121*'Recycling - Case 3'!BO121</f>
        <v>72.204909304475237</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282.29638812156611</v>
      </c>
      <c r="J180" s="744">
        <f t="shared" si="19"/>
        <v>871.98264361125314</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0.38143254208819305</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9.725675163564194</v>
      </c>
      <c r="R180" s="1382">
        <f t="shared" si="16"/>
        <v>10.107107705652387</v>
      </c>
      <c r="S180" s="484">
        <f>C180*'4C2 Open-burning '!$C$9*'4C2 Open-burning '!$C$11*$C$5</f>
        <v>0.9871708519841812</v>
      </c>
      <c r="T180" s="485">
        <f>D180*'4C2 Open-burning '!$C$9*'4C2 Open-burning '!$C$11*$C$5</f>
        <v>1.0310063981381448</v>
      </c>
      <c r="U180" s="485">
        <f>E180*'4C2 Open-burning '!$C$9*'4C2 Open-burning '!$C$11*$C$5</f>
        <v>0.28159914628745342</v>
      </c>
      <c r="V180" s="485">
        <f>F180*'4C2 Open-burning '!$C$9*'4C2 Open-burning '!$C$11*$C$5</f>
        <v>0</v>
      </c>
      <c r="W180" s="485">
        <f>G180*'4C2 Open-burning '!$C$9*'4C2 Open-burning '!$C$11*$C$5</f>
        <v>0</v>
      </c>
      <c r="X180" s="485">
        <f>H180*'4C2 Open-burning '!$C$9*'4C2 Open-burning '!$C$11*$C$5</f>
        <v>0</v>
      </c>
      <c r="Y180" s="485">
        <f>I180*'4C2 Open-burning '!$C$9*'4C2 Open-burning '!$C$11*$C$5</f>
        <v>1.1009559136741078</v>
      </c>
      <c r="Z180" s="486">
        <f t="shared" si="17"/>
        <v>3.4007323100838871</v>
      </c>
      <c r="AA180" s="1628">
        <f>C180*'4C2 Open-burning '!$C$10*'4C2 Open-burning '!$C$11*$C$5*C$15</f>
        <v>9.112346326007827E-3</v>
      </c>
      <c r="AB180" s="487">
        <f>D180*'4C2 Open-burning '!$C$10*'4C2 Open-burning '!$C$11*$C$5*D$15</f>
        <v>9.5169821366598E-3</v>
      </c>
      <c r="AC180" s="487">
        <f>E180*'4C2 Open-burning '!$C$10*'4C2 Open-burning '!$C$11*$C$5*E$15</f>
        <v>5.8485976536624936E-3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2.2866007437846857E-2</v>
      </c>
      <c r="AH180" s="488">
        <f t="shared" si="18"/>
        <v>4.7343933554176973E-2</v>
      </c>
      <c r="AI180" s="1386"/>
      <c r="AJ180" s="1386"/>
      <c r="AK180" s="1386"/>
      <c r="AL180" s="4"/>
      <c r="AM180" s="4"/>
    </row>
    <row r="181" spans="1:39">
      <c r="A181" s="959">
        <f>'Input data'!A142</f>
        <v>2042</v>
      </c>
      <c r="B181" s="560">
        <f>'Recycling - Case 3'!AP122</f>
        <v>4.4324062301071603E-2</v>
      </c>
      <c r="C181" s="527">
        <f>$B181*'Recycling - Case 3'!$AK122*'Recycling - Case 3'!BM122</f>
        <v>252.60915582819118</v>
      </c>
      <c r="D181" s="528">
        <f>$B181*'Recycling - Case 3'!$AK122*'Recycling - Case 3'!BN122</f>
        <v>263.8263228332375</v>
      </c>
      <c r="E181" s="528">
        <f>$B181*'Recycling - Case 3'!$AK122*'Recycling - Case 3'!BO122</f>
        <v>72.058977919207038</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281.72584654244611</v>
      </c>
      <c r="J181" s="744">
        <f t="shared" si="19"/>
        <v>870.22030312308175</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0.38066163911511985</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9.7060188650803525</v>
      </c>
      <c r="R181" s="1382">
        <f t="shared" si="16"/>
        <v>10.086680504195472</v>
      </c>
      <c r="S181" s="484">
        <f>C181*'4C2 Open-burning '!$C$9*'4C2 Open-burning '!$C$11*$C$5</f>
        <v>0.98517570772994556</v>
      </c>
      <c r="T181" s="485">
        <f>D181*'4C2 Open-burning '!$C$9*'4C2 Open-burning '!$C$11*$C$5</f>
        <v>1.0289226590496261</v>
      </c>
      <c r="U181" s="485">
        <f>E181*'4C2 Open-burning '!$C$9*'4C2 Open-burning '!$C$11*$C$5</f>
        <v>0.28103001388490739</v>
      </c>
      <c r="V181" s="485">
        <f>F181*'4C2 Open-burning '!$C$9*'4C2 Open-burning '!$C$11*$C$5</f>
        <v>0</v>
      </c>
      <c r="W181" s="485">
        <f>G181*'4C2 Open-burning '!$C$9*'4C2 Open-burning '!$C$11*$C$5</f>
        <v>0</v>
      </c>
      <c r="X181" s="485">
        <f>H181*'4C2 Open-burning '!$C$9*'4C2 Open-burning '!$C$11*$C$5</f>
        <v>0</v>
      </c>
      <c r="Y181" s="485">
        <f>I181*'4C2 Open-burning '!$C$9*'4C2 Open-burning '!$C$11*$C$5</f>
        <v>1.0987308015155397</v>
      </c>
      <c r="Z181" s="486">
        <f t="shared" si="17"/>
        <v>3.3938591821800186</v>
      </c>
      <c r="AA181" s="1628">
        <f>C181*'4C2 Open-burning '!$C$10*'4C2 Open-burning '!$C$11*$C$5*C$15</f>
        <v>9.0939296098148815E-3</v>
      </c>
      <c r="AB181" s="487">
        <f>D181*'4C2 Open-burning '!$C$10*'4C2 Open-burning '!$C$11*$C$5*D$15</f>
        <v>9.4977476219965488E-3</v>
      </c>
      <c r="AC181" s="487">
        <f>E181*'4C2 Open-burning '!$C$10*'4C2 Open-burning '!$C$11*$C$5*E$15</f>
        <v>5.83677721145577E-3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2.2819793569938133E-2</v>
      </c>
      <c r="AH181" s="488">
        <f t="shared" si="18"/>
        <v>4.7248248013205332E-2</v>
      </c>
      <c r="AI181" s="1386"/>
      <c r="AJ181" s="1386"/>
      <c r="AK181" s="1386"/>
      <c r="AL181" s="4"/>
      <c r="AM181" s="4"/>
    </row>
    <row r="182" spans="1:39">
      <c r="A182" s="959">
        <f>'Input data'!A143</f>
        <v>2043</v>
      </c>
      <c r="B182" s="560">
        <f>'Recycling - Case 3'!AP123</f>
        <v>4.4102811765075238E-2</v>
      </c>
      <c r="C182" s="527">
        <f>$B182*'Recycling - Case 3'!$AK123*'Recycling - Case 3'!BM123</f>
        <v>252.12038472942783</v>
      </c>
      <c r="D182" s="528">
        <f>$B182*'Recycling - Case 3'!$AK123*'Recycling - Case 3'!BN123</f>
        <v>263.31584774269248</v>
      </c>
      <c r="E182" s="528">
        <f>$B182*'Recycling - Case 3'!$AK123*'Recycling - Case 3'!BO123</f>
        <v>71.919551675142912</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281.18073783047907</v>
      </c>
      <c r="J182" s="744">
        <f t="shared" si="19"/>
        <v>868.53652197774227</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0.37992510046117695</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9.6872387797356634</v>
      </c>
      <c r="R182" s="1382">
        <f t="shared" si="16"/>
        <v>10.067163880196841</v>
      </c>
      <c r="S182" s="484">
        <f>C182*'4C2 Open-burning '!$C$9*'4C2 Open-burning '!$C$11*$C$5</f>
        <v>0.98326950044476846</v>
      </c>
      <c r="T182" s="485">
        <f>D182*'4C2 Open-burning '!$C$9*'4C2 Open-burning '!$C$11*$C$5</f>
        <v>1.0269318061965007</v>
      </c>
      <c r="U182" s="485">
        <f>E182*'4C2 Open-burning '!$C$9*'4C2 Open-burning '!$C$11*$C$5</f>
        <v>0.28048625153305734</v>
      </c>
      <c r="V182" s="485">
        <f>F182*'4C2 Open-burning '!$C$9*'4C2 Open-burning '!$C$11*$C$5</f>
        <v>0</v>
      </c>
      <c r="W182" s="485">
        <f>G182*'4C2 Open-burning '!$C$9*'4C2 Open-burning '!$C$11*$C$5</f>
        <v>0</v>
      </c>
      <c r="X182" s="485">
        <f>H182*'4C2 Open-burning '!$C$9*'4C2 Open-burning '!$C$11*$C$5</f>
        <v>0</v>
      </c>
      <c r="Y182" s="485">
        <f>I182*'4C2 Open-burning '!$C$9*'4C2 Open-burning '!$C$11*$C$5</f>
        <v>1.0966048775388684</v>
      </c>
      <c r="Z182" s="486">
        <f t="shared" si="17"/>
        <v>3.3872924357131948</v>
      </c>
      <c r="AA182" s="1628">
        <f>C182*'4C2 Open-burning '!$C$10*'4C2 Open-burning '!$C$11*$C$5*C$15</f>
        <v>9.0763338502594017E-3</v>
      </c>
      <c r="AB182" s="487">
        <f>D182*'4C2 Open-burning '!$C$10*'4C2 Open-burning '!$C$11*$C$5*D$15</f>
        <v>9.4793705187369293E-3</v>
      </c>
      <c r="AC182" s="487">
        <f>E182*'4C2 Open-burning '!$C$10*'4C2 Open-burning '!$C$11*$C$5*E$15</f>
        <v>5.8254836856865763E-3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2.2775639764268805E-2</v>
      </c>
      <c r="AH182" s="488">
        <f t="shared" si="18"/>
        <v>4.715682781895171E-2</v>
      </c>
      <c r="AI182" s="1386"/>
      <c r="AJ182" s="1386"/>
      <c r="AK182" s="1386"/>
      <c r="AL182" s="4"/>
      <c r="AM182" s="4"/>
    </row>
    <row r="183" spans="1:39">
      <c r="A183" s="959">
        <f>'Input data'!A144</f>
        <v>2044</v>
      </c>
      <c r="B183" s="560">
        <f>'Recycling - Case 3'!AP124</f>
        <v>4.3890752620608799E-2</v>
      </c>
      <c r="C183" s="527">
        <f>$B183*'Recycling - Case 3'!$AK124*'Recycling - Case 3'!BM124</f>
        <v>251.6537645756311</v>
      </c>
      <c r="D183" s="528">
        <f>$B183*'Recycling - Case 3'!$AK124*'Recycling - Case 3'!BN124</f>
        <v>262.82850721486221</v>
      </c>
      <c r="E183" s="528">
        <f>$B183*'Recycling - Case 3'!$AK124*'Recycling - Case 3'!BO124</f>
        <v>71.78644418246769</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280.66033326552514</v>
      </c>
      <c r="J183" s="744">
        <f t="shared" si="19"/>
        <v>866.92904923848619</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0.37922194149607114</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9.6693098016638714</v>
      </c>
      <c r="R183" s="1382">
        <f t="shared" si="16"/>
        <v>10.048531743159943</v>
      </c>
      <c r="S183" s="484">
        <f>C183*'4C2 Open-burning '!$C$9*'4C2 Open-burning '!$C$11*$C$5</f>
        <v>0.98144968184496129</v>
      </c>
      <c r="T183" s="485">
        <f>D183*'4C2 Open-burning '!$C$9*'4C2 Open-burning '!$C$11*$C$5</f>
        <v>1.0250311781379624</v>
      </c>
      <c r="U183" s="485">
        <f>E183*'4C2 Open-burning '!$C$9*'4C2 Open-burning '!$C$11*$C$5</f>
        <v>0.27996713231162396</v>
      </c>
      <c r="V183" s="485">
        <f>F183*'4C2 Open-burning '!$C$9*'4C2 Open-burning '!$C$11*$C$5</f>
        <v>0</v>
      </c>
      <c r="W183" s="485">
        <f>G183*'4C2 Open-burning '!$C$9*'4C2 Open-burning '!$C$11*$C$5</f>
        <v>0</v>
      </c>
      <c r="X183" s="485">
        <f>H183*'4C2 Open-burning '!$C$9*'4C2 Open-burning '!$C$11*$C$5</f>
        <v>0</v>
      </c>
      <c r="Y183" s="485">
        <f>I183*'4C2 Open-burning '!$C$9*'4C2 Open-burning '!$C$11*$C$5</f>
        <v>1.094575299735548</v>
      </c>
      <c r="Z183" s="486">
        <f t="shared" si="17"/>
        <v>3.381023292030096</v>
      </c>
      <c r="AA183" s="1628">
        <f>C183*'4C2 Open-burning '!$C$10*'4C2 Open-burning '!$C$11*$C$5*C$15</f>
        <v>9.0595355247227206E-3</v>
      </c>
      <c r="AB183" s="487">
        <f>D183*'4C2 Open-burning '!$C$10*'4C2 Open-burning '!$C$11*$C$5*D$15</f>
        <v>9.4618262597350403E-3</v>
      </c>
      <c r="AC183" s="487">
        <f>E183*'4C2 Open-burning '!$C$10*'4C2 Open-burning '!$C$11*$C$5*E$15</f>
        <v>5.814701978779882E-3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2.2733486994507536E-2</v>
      </c>
      <c r="AH183" s="488">
        <f t="shared" si="18"/>
        <v>4.7069550757745181E-2</v>
      </c>
      <c r="AI183" s="1386"/>
      <c r="AJ183" s="1386"/>
      <c r="AK183" s="1386"/>
      <c r="AL183" s="4"/>
      <c r="AM183" s="4"/>
    </row>
    <row r="184" spans="1:39">
      <c r="A184" s="959">
        <f>'Input data'!A145</f>
        <v>2045</v>
      </c>
      <c r="B184" s="560">
        <f>'Recycling - Case 3'!AP125</f>
        <v>4.3687737742628539E-2</v>
      </c>
      <c r="C184" s="527">
        <f>$B184*'Recycling - Case 3'!$AK125*'Recycling - Case 3'!BM125</f>
        <v>251.20874149203863</v>
      </c>
      <c r="D184" s="528">
        <f>$B184*'Recycling - Case 3'!$AK125*'Recycling - Case 3'!BN125</f>
        <v>262.36372278004956</v>
      </c>
      <c r="E184" s="528">
        <f>$B184*'Recycling - Case 3'!$AK125*'Recycling - Case 3'!BO125</f>
        <v>71.659497443546087</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280.16401513111322</v>
      </c>
      <c r="J184" s="744">
        <f t="shared" si="19"/>
        <v>865.39597684674754</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0.37855132757517429</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9.6522106492971123</v>
      </c>
      <c r="R184" s="1382">
        <f t="shared" si="16"/>
        <v>10.030761976872286</v>
      </c>
      <c r="S184" s="484">
        <f>C184*'4C2 Open-burning '!$C$9*'4C2 Open-burning '!$C$11*$C$5</f>
        <v>0.97971409181895053</v>
      </c>
      <c r="T184" s="485">
        <f>D184*'4C2 Open-burning '!$C$9*'4C2 Open-burning '!$C$11*$C$5</f>
        <v>1.0232185188421932</v>
      </c>
      <c r="U184" s="485">
        <f>E184*'4C2 Open-burning '!$C$9*'4C2 Open-burning '!$C$11*$C$5</f>
        <v>0.27947204002982973</v>
      </c>
      <c r="V184" s="485">
        <f>F184*'4C2 Open-burning '!$C$9*'4C2 Open-burning '!$C$11*$C$5</f>
        <v>0</v>
      </c>
      <c r="W184" s="485">
        <f>G184*'4C2 Open-burning '!$C$9*'4C2 Open-burning '!$C$11*$C$5</f>
        <v>0</v>
      </c>
      <c r="X184" s="485">
        <f>H184*'4C2 Open-burning '!$C$9*'4C2 Open-burning '!$C$11*$C$5</f>
        <v>0</v>
      </c>
      <c r="Y184" s="485">
        <f>I184*'4C2 Open-burning '!$C$9*'4C2 Open-burning '!$C$11*$C$5</f>
        <v>1.0926396590113416</v>
      </c>
      <c r="Z184" s="486">
        <f t="shared" si="17"/>
        <v>3.3750443097023153</v>
      </c>
      <c r="AA184" s="1628">
        <f>C184*'4C2 Open-burning '!$C$10*'4C2 Open-burning '!$C$11*$C$5*C$15</f>
        <v>9.0435146937133913E-3</v>
      </c>
      <c r="AB184" s="487">
        <f>D184*'4C2 Open-burning '!$C$10*'4C2 Open-burning '!$C$11*$C$5*D$15</f>
        <v>9.4450940200817846E-3</v>
      </c>
      <c r="AC184" s="487">
        <f>E184*'4C2 Open-burning '!$C$10*'4C2 Open-burning '!$C$11*$C$5*E$15</f>
        <v>5.8044192929272327E-3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2.2693285225620169E-2</v>
      </c>
      <c r="AH184" s="488">
        <f t="shared" si="18"/>
        <v>4.6986313232342578E-2</v>
      </c>
      <c r="AI184" s="1386"/>
      <c r="AJ184" s="1386"/>
      <c r="AK184" s="1386"/>
      <c r="AL184" s="4"/>
      <c r="AM184" s="4"/>
    </row>
    <row r="185" spans="1:39">
      <c r="A185" s="959">
        <f>'Input data'!A146</f>
        <v>2046</v>
      </c>
      <c r="B185" s="560">
        <f>'Recycling - Case 3'!AP126</f>
        <v>4.3493627985678456E-2</v>
      </c>
      <c r="C185" s="527">
        <f>$B185*'Recycling - Case 3'!$AK126*'Recycling - Case 3'!BM126</f>
        <v>250.78479294945947</v>
      </c>
      <c r="D185" s="528">
        <f>$B185*'Recycling - Case 3'!$AK126*'Recycling - Case 3'!BN126</f>
        <v>261.92094870603597</v>
      </c>
      <c r="E185" s="528">
        <f>$B185*'Recycling - Case 3'!$AK126*'Recycling - Case 3'!BO126</f>
        <v>71.53856240234208</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279.69120066935324</v>
      </c>
      <c r="J185" s="744">
        <f t="shared" si="19"/>
        <v>863.93550472719085</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0.37791247128910838</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9.6359212454605565</v>
      </c>
      <c r="R185" s="1382">
        <f t="shared" si="16"/>
        <v>10.013833716749664</v>
      </c>
      <c r="S185" s="484">
        <f>C185*'4C2 Open-burning '!$C$9*'4C2 Open-burning '!$C$11*$C$5</f>
        <v>0.97806069250289185</v>
      </c>
      <c r="T185" s="485">
        <f>D185*'4C2 Open-burning '!$C$9*'4C2 Open-burning '!$C$11*$C$5</f>
        <v>1.0214916999535402</v>
      </c>
      <c r="U185" s="485">
        <f>E185*'4C2 Open-burning '!$C$9*'4C2 Open-burning '!$C$11*$C$5</f>
        <v>0.27900039336913407</v>
      </c>
      <c r="V185" s="485">
        <f>F185*'4C2 Open-burning '!$C$9*'4C2 Open-burning '!$C$11*$C$5</f>
        <v>0</v>
      </c>
      <c r="W185" s="485">
        <f>G185*'4C2 Open-burning '!$C$9*'4C2 Open-burning '!$C$11*$C$5</f>
        <v>0</v>
      </c>
      <c r="X185" s="485">
        <f>H185*'4C2 Open-burning '!$C$9*'4C2 Open-burning '!$C$11*$C$5</f>
        <v>0</v>
      </c>
      <c r="Y185" s="485">
        <f>I185*'4C2 Open-burning '!$C$9*'4C2 Open-burning '!$C$11*$C$5</f>
        <v>1.0907956826104774</v>
      </c>
      <c r="Z185" s="486">
        <f t="shared" si="17"/>
        <v>3.3693484684360433</v>
      </c>
      <c r="AA185" s="1628">
        <f>C185*'4C2 Open-burning '!$C$10*'4C2 Open-burning '!$C$11*$C$5*C$15</f>
        <v>9.0282525461805388E-3</v>
      </c>
      <c r="AB185" s="487">
        <f>D185*'4C2 Open-burning '!$C$10*'4C2 Open-burning '!$C$11*$C$5*D$15</f>
        <v>9.4291541534172948E-3</v>
      </c>
      <c r="AC185" s="487">
        <f>E185*'4C2 Open-burning '!$C$10*'4C2 Open-burning '!$C$11*$C$5*E$15</f>
        <v>5.794623554589708E-3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2.265498725421761E-2</v>
      </c>
      <c r="AH185" s="488">
        <f t="shared" si="18"/>
        <v>4.6907017508405147E-2</v>
      </c>
      <c r="AI185" s="1386"/>
      <c r="AJ185" s="1386"/>
      <c r="AK185" s="1386"/>
      <c r="AL185" s="4"/>
      <c r="AM185" s="4"/>
    </row>
    <row r="186" spans="1:39">
      <c r="A186" s="959">
        <f>'Input data'!A147</f>
        <v>2047</v>
      </c>
      <c r="B186" s="560">
        <f>'Recycling - Case 3'!AP127</f>
        <v>4.3308291854818964E-2</v>
      </c>
      <c r="C186" s="527">
        <f>$B186*'Recycling - Case 3'!$AK127*'Recycling - Case 3'!BM127</f>
        <v>250.38142634784214</v>
      </c>
      <c r="D186" s="528">
        <f>$B186*'Recycling - Case 3'!$AK127*'Recycling - Case 3'!BN127</f>
        <v>261.49967051875279</v>
      </c>
      <c r="E186" s="528">
        <f>$B186*'Recycling - Case 3'!$AK127*'Recycling - Case 3'!BO127</f>
        <v>71.423498540369252</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279.24134050124087</v>
      </c>
      <c r="J186" s="744">
        <f t="shared" si="19"/>
        <v>862.54593590820502</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0.37730463032929623</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9.6204226629487497</v>
      </c>
      <c r="R186" s="1382">
        <f t="shared" si="16"/>
        <v>9.9977272932780465</v>
      </c>
      <c r="S186" s="484">
        <f>C186*'4C2 Open-burning '!$C$9*'4C2 Open-burning '!$C$11*$C$5</f>
        <v>0.97648756275658433</v>
      </c>
      <c r="T186" s="485">
        <f>D186*'4C2 Open-burning '!$C$9*'4C2 Open-burning '!$C$11*$C$5</f>
        <v>1.0198487150231357</v>
      </c>
      <c r="U186" s="485">
        <f>E186*'4C2 Open-burning '!$C$9*'4C2 Open-burning '!$C$11*$C$5</f>
        <v>0.27855164430744001</v>
      </c>
      <c r="V186" s="485">
        <f>F186*'4C2 Open-burning '!$C$9*'4C2 Open-burning '!$C$11*$C$5</f>
        <v>0</v>
      </c>
      <c r="W186" s="485">
        <f>G186*'4C2 Open-burning '!$C$9*'4C2 Open-burning '!$C$11*$C$5</f>
        <v>0</v>
      </c>
      <c r="X186" s="485">
        <f>H186*'4C2 Open-burning '!$C$9*'4C2 Open-burning '!$C$11*$C$5</f>
        <v>0</v>
      </c>
      <c r="Y186" s="485">
        <f>I186*'4C2 Open-burning '!$C$9*'4C2 Open-burning '!$C$11*$C$5</f>
        <v>1.0890412279548394</v>
      </c>
      <c r="Z186" s="486">
        <f t="shared" si="17"/>
        <v>3.3639291500419994</v>
      </c>
      <c r="AA186" s="1628">
        <f>C186*'4C2 Open-burning '!$C$10*'4C2 Open-burning '!$C$11*$C$5*C$15</f>
        <v>9.0137313485223174E-3</v>
      </c>
      <c r="AB186" s="487">
        <f>D186*'4C2 Open-burning '!$C$10*'4C2 Open-burning '!$C$11*$C$5*D$15</f>
        <v>9.4139881386751008E-3</v>
      </c>
      <c r="AC186" s="487">
        <f>E186*'4C2 Open-burning '!$C$10*'4C2 Open-burning '!$C$11*$C$5*E$15</f>
        <v>5.7853033817699094E-3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2.2618548580600507E-2</v>
      </c>
      <c r="AH186" s="488">
        <f t="shared" si="18"/>
        <v>4.683157144956783E-2</v>
      </c>
      <c r="AI186" s="1386"/>
      <c r="AJ186" s="1386"/>
      <c r="AK186" s="1386"/>
      <c r="AL186" s="4"/>
      <c r="AM186" s="4"/>
    </row>
    <row r="187" spans="1:39">
      <c r="A187" s="959">
        <f>'Input data'!A148</f>
        <v>2048</v>
      </c>
      <c r="B187" s="560">
        <f>'Recycling - Case 3'!AP128</f>
        <v>4.3131605200468007E-2</v>
      </c>
      <c r="C187" s="527">
        <f>$B187*'Recycling - Case 3'!$AK128*'Recycling - Case 3'!BM128</f>
        <v>249.99817770049785</v>
      </c>
      <c r="D187" s="528">
        <f>$B187*'Recycling - Case 3'!$AK128*'Recycling - Case 3'!BN128</f>
        <v>261.09940362807674</v>
      </c>
      <c r="E187" s="528">
        <f>$B187*'Recycling - Case 3'!$AK128*'Recycling - Case 3'!BO128</f>
        <v>71.314173501353906</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278.81391715921939</v>
      </c>
      <c r="J187" s="744">
        <f t="shared" si="19"/>
        <v>861.22567198914794</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0.37672710550519217</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9.6056970739694254</v>
      </c>
      <c r="R187" s="1382">
        <f t="shared" si="16"/>
        <v>9.9824241794746182</v>
      </c>
      <c r="S187" s="484">
        <f>C187*'4C2 Open-burning '!$C$9*'4C2 Open-burning '!$C$11*$C$5</f>
        <v>0.97499289303194148</v>
      </c>
      <c r="T187" s="485">
        <f>D187*'4C2 Open-burning '!$C$9*'4C2 Open-burning '!$C$11*$C$5</f>
        <v>1.0182876741494993</v>
      </c>
      <c r="U187" s="485">
        <f>E187*'4C2 Open-burning '!$C$9*'4C2 Open-burning '!$C$11*$C$5</f>
        <v>0.2781252766552802</v>
      </c>
      <c r="V187" s="485">
        <f>F187*'4C2 Open-burning '!$C$9*'4C2 Open-burning '!$C$11*$C$5</f>
        <v>0</v>
      </c>
      <c r="W187" s="485">
        <f>G187*'4C2 Open-burning '!$C$9*'4C2 Open-burning '!$C$11*$C$5</f>
        <v>0</v>
      </c>
      <c r="X187" s="485">
        <f>H187*'4C2 Open-burning '!$C$9*'4C2 Open-burning '!$C$11*$C$5</f>
        <v>0</v>
      </c>
      <c r="Y187" s="485">
        <f>I187*'4C2 Open-burning '!$C$9*'4C2 Open-burning '!$C$11*$C$5</f>
        <v>1.0873742769209553</v>
      </c>
      <c r="Z187" s="486">
        <f t="shared" si="17"/>
        <v>3.3587801207576762</v>
      </c>
      <c r="AA187" s="1628">
        <f>C187*'4C2 Open-burning '!$C$10*'4C2 Open-burning '!$C$11*$C$5*C$15</f>
        <v>8.9999343972179228E-3</v>
      </c>
      <c r="AB187" s="487">
        <f>D187*'4C2 Open-burning '!$C$10*'4C2 Open-burning '!$C$11*$C$5*D$15</f>
        <v>9.3995785306107624E-3</v>
      </c>
      <c r="AC187" s="487">
        <f>E187*'4C2 Open-burning '!$C$10*'4C2 Open-burning '!$C$11*$C$5*E$15</f>
        <v>5.7764480536096662E-3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2.2583927289896766E-2</v>
      </c>
      <c r="AH187" s="488">
        <f t="shared" si="18"/>
        <v>4.675988827133512E-2</v>
      </c>
      <c r="AI187" s="1386"/>
      <c r="AJ187" s="1386"/>
      <c r="AK187" s="1386"/>
      <c r="AL187" s="4"/>
      <c r="AM187" s="4"/>
    </row>
    <row r="188" spans="1:39">
      <c r="A188" s="959">
        <f>'Input data'!A149</f>
        <v>2049</v>
      </c>
      <c r="B188" s="560">
        <f>'Recycling - Case 3'!AP129</f>
        <v>4.2963544824510355E-2</v>
      </c>
      <c r="C188" s="527">
        <f>$B188*'Recycling - Case 3'!$AK129*'Recycling - Case 3'!BM129</f>
        <v>249.63481309045855</v>
      </c>
      <c r="D188" s="528">
        <f>$B188*'Recycling - Case 3'!$AK129*'Recycling - Case 3'!BN129</f>
        <v>260.71990372990359</v>
      </c>
      <c r="E188" s="528">
        <f>$B188*'Recycling - Case 3'!$AK129*'Recycling - Case 3'!BO129</f>
        <v>71.210520558428712</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278.40866976416248</v>
      </c>
      <c r="J188" s="744">
        <f t="shared" si="19"/>
        <v>859.97390714295329</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0.37617954432277784</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9.5917354907149246</v>
      </c>
      <c r="R188" s="1382">
        <f t="shared" si="16"/>
        <v>9.9679150350377022</v>
      </c>
      <c r="S188" s="484">
        <f>C188*'4C2 Open-burning '!$C$9*'4C2 Open-burning '!$C$11*$C$5</f>
        <v>0.97357577105278825</v>
      </c>
      <c r="T188" s="485">
        <f>D188*'4C2 Open-burning '!$C$9*'4C2 Open-burning '!$C$11*$C$5</f>
        <v>1.016807624546624</v>
      </c>
      <c r="U188" s="485">
        <f>E188*'4C2 Open-burning '!$C$9*'4C2 Open-burning '!$C$11*$C$5</f>
        <v>0.27772103017787197</v>
      </c>
      <c r="V188" s="485">
        <f>F188*'4C2 Open-burning '!$C$9*'4C2 Open-burning '!$C$11*$C$5</f>
        <v>0</v>
      </c>
      <c r="W188" s="485">
        <f>G188*'4C2 Open-burning '!$C$9*'4C2 Open-burning '!$C$11*$C$5</f>
        <v>0</v>
      </c>
      <c r="X188" s="485">
        <f>H188*'4C2 Open-burning '!$C$9*'4C2 Open-burning '!$C$11*$C$5</f>
        <v>0</v>
      </c>
      <c r="Y188" s="485">
        <f>I188*'4C2 Open-burning '!$C$9*'4C2 Open-burning '!$C$11*$C$5</f>
        <v>1.0857938120802335</v>
      </c>
      <c r="Z188" s="486">
        <f t="shared" si="17"/>
        <v>3.3538982378575177</v>
      </c>
      <c r="AA188" s="1628">
        <f>C188*'4C2 Open-burning '!$C$10*'4C2 Open-burning '!$C$11*$C$5*C$15</f>
        <v>8.9868532712565081E-3</v>
      </c>
      <c r="AB188" s="487">
        <f>D188*'4C2 Open-burning '!$C$10*'4C2 Open-burning '!$C$11*$C$5*D$15</f>
        <v>9.3859165342765304E-3</v>
      </c>
      <c r="AC188" s="487">
        <f>E188*'4C2 Open-burning '!$C$10*'4C2 Open-burning '!$C$11*$C$5*E$15</f>
        <v>5.7680521652327251E-3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2.2551102250897157E-2</v>
      </c>
      <c r="AH188" s="488">
        <f t="shared" si="18"/>
        <v>4.669192422166292E-2</v>
      </c>
      <c r="AI188" s="1386"/>
      <c r="AJ188" s="1386"/>
      <c r="AK188" s="1386"/>
      <c r="AL188" s="4"/>
      <c r="AM188" s="4"/>
    </row>
    <row r="189" spans="1:39" ht="15.75" thickBot="1">
      <c r="A189" s="960">
        <f>'Input data'!A150</f>
        <v>2050</v>
      </c>
      <c r="B189" s="797">
        <f>'Recycling - Case 3'!AP130</f>
        <v>4.2803999263611656E-2</v>
      </c>
      <c r="C189" s="670">
        <f>$B189*'Recycling - Case 3'!$AK130*'Recycling - Case 3'!BM130</f>
        <v>249.29091782377941</v>
      </c>
      <c r="D189" s="667">
        <f>$B189*'Recycling - Case 3'!$AK130*'Recycling - Case 3'!BN130</f>
        <v>260.36073771570966</v>
      </c>
      <c r="E189" s="667">
        <f>$B189*'Recycling - Case 3'!$AK130*'Recycling - Case 3'!BO130</f>
        <v>71.112421416507644</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278.02513582292636</v>
      </c>
      <c r="J189" s="936">
        <f t="shared" si="19"/>
        <v>858.78921277892312</v>
      </c>
      <c r="K189" s="1383">
        <f>'4C2 Open-burning '!C$14*'4C2 Open-burning '!$C$5*'4C2 Open-burning '!$C$6*'4C2 Open-burning '!$C$7*C189</f>
        <v>0</v>
      </c>
      <c r="L189" s="1383">
        <f>'4C2 Open-burning '!D$14*'4C2 Open-burning '!$C$5*'4C2 Open-burning '!$C$6*'4C2 Open-burning '!$C$7*D189</f>
        <v>0</v>
      </c>
      <c r="M189" s="1383">
        <f>'4C2 Open-burning '!E$14*'4C2 Open-burning '!$C$5*'4C2 Open-burning '!$C$6*'4C2 Open-burning '!$C$7*E189</f>
        <v>0.37566132187169993</v>
      </c>
      <c r="N189" s="1383">
        <f>'4C2 Open-burning '!F$14*'4C2 Open-burning '!$C$5*'4C2 Open-burning '!$C$6*'4C2 Open-burning '!$C$7*F189</f>
        <v>0</v>
      </c>
      <c r="O189" s="1383">
        <f>'4C2 Open-burning '!G$14*'4C2 Open-burning '!$C$5*'4C2 Open-burning '!$C$6*'4C2 Open-burning '!$C$7*G189</f>
        <v>0</v>
      </c>
      <c r="P189" s="1383">
        <f>'4C2 Open-burning '!H$14*'4C2 Open-burning '!$C$5*'4C2 Open-burning '!$C$6*'4C2 Open-burning '!$C$7*H189</f>
        <v>0</v>
      </c>
      <c r="Q189" s="1383">
        <f>'4C2 Open-burning '!I$14*'4C2 Open-burning '!$C$5*'4C2 Open-burning '!$C$6*'4C2 Open-burning '!$C$7*I189</f>
        <v>9.5785219793714571</v>
      </c>
      <c r="R189" s="1384">
        <f t="shared" si="16"/>
        <v>9.9541833012431571</v>
      </c>
      <c r="S189" s="490">
        <f>C189*'4C2 Open-burning '!$C$9*'4C2 Open-burning '!$C$11*$C$5</f>
        <v>0.97223457951273962</v>
      </c>
      <c r="T189" s="491">
        <f>D189*'4C2 Open-burning '!$C$9*'4C2 Open-burning '!$C$11*$C$5</f>
        <v>1.0154068770912676</v>
      </c>
      <c r="U189" s="491">
        <f>E189*'4C2 Open-burning '!$C$9*'4C2 Open-burning '!$C$11*$C$5</f>
        <v>0.27733844352437975</v>
      </c>
      <c r="V189" s="491">
        <f>F189*'4C2 Open-burning '!$C$9*'4C2 Open-burning '!$C$11*$C$5</f>
        <v>0</v>
      </c>
      <c r="W189" s="491">
        <f>G189*'4C2 Open-burning '!$C$9*'4C2 Open-burning '!$C$11*$C$5</f>
        <v>0</v>
      </c>
      <c r="X189" s="491">
        <f>H189*'4C2 Open-burning '!$C$9*'4C2 Open-burning '!$C$11*$C$5</f>
        <v>0</v>
      </c>
      <c r="Y189" s="491">
        <f>I189*'4C2 Open-burning '!$C$9*'4C2 Open-burning '!$C$11*$C$5</f>
        <v>1.0842980297094127</v>
      </c>
      <c r="Z189" s="492">
        <f t="shared" si="17"/>
        <v>3.3492779298377999</v>
      </c>
      <c r="AA189" s="1629">
        <f>C189*'4C2 Open-burning '!$C$10*'4C2 Open-burning '!$C$11*$C$5*C$15</f>
        <v>8.974473041656059E-3</v>
      </c>
      <c r="AB189" s="1630">
        <f>D189*'4C2 Open-burning '!$C$10*'4C2 Open-burning '!$C$11*$C$5*D$15</f>
        <v>9.3729865577655471E-3</v>
      </c>
      <c r="AC189" s="1630">
        <f>E189*'4C2 Open-burning '!$C$10*'4C2 Open-burning '!$C$11*$C$5*E$15</f>
        <v>5.7601061347371191E-3</v>
      </c>
      <c r="AD189" s="1630">
        <f>F189*'4C2 Open-burning '!$C$10*'4C2 Open-burning '!$C$11*$C$5*F$15</f>
        <v>0</v>
      </c>
      <c r="AE189" s="1630">
        <f>G189*'4C2 Open-burning '!$C$10*'4C2 Open-burning '!$C$11*$C$5*G$15</f>
        <v>0</v>
      </c>
      <c r="AF189" s="1630">
        <f>H189*'4C2 Open-burning '!$C$10*'4C2 Open-burning '!$C$11*$C$5*H$15</f>
        <v>0</v>
      </c>
      <c r="AG189" s="1630">
        <f>I189*'4C2 Open-burning '!$C$10*'4C2 Open-burning '!$C$11*$C$5*I$15</f>
        <v>2.2520036001657032E-2</v>
      </c>
      <c r="AH189" s="493">
        <f t="shared" si="18"/>
        <v>4.662760173581576E-2</v>
      </c>
      <c r="AI189" s="1386"/>
      <c r="AJ189" s="1386"/>
      <c r="AK189" s="1386"/>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6"/>
      <c r="AJ190" s="1388"/>
      <c r="AK190" s="1386"/>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6"/>
      <c r="AJ191" s="1388"/>
      <c r="AK191" s="1386"/>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6"/>
      <c r="AJ192" s="1388"/>
      <c r="AK192" s="1386"/>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6"/>
      <c r="AJ193" s="1388"/>
      <c r="AK193" s="1386"/>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6"/>
      <c r="AJ194" s="1388"/>
      <c r="AK194" s="1386"/>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6"/>
      <c r="AJ195" s="1388"/>
      <c r="AK195" s="1386"/>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6"/>
      <c r="AJ196" s="1388"/>
      <c r="AK196" s="1386"/>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6"/>
      <c r="AJ197" s="1388"/>
      <c r="AK197" s="1386"/>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6"/>
      <c r="AJ198" s="1388"/>
      <c r="AK198" s="1386"/>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6"/>
      <c r="AJ199" s="1388"/>
      <c r="AK199" s="1386"/>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6"/>
      <c r="AJ200" s="1388"/>
      <c r="AK200" s="1386"/>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6"/>
      <c r="AJ201" s="1388"/>
      <c r="AK201" s="1386"/>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6"/>
      <c r="AJ202" s="1388"/>
      <c r="AK202" s="1386"/>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6"/>
      <c r="AJ203" s="1388"/>
      <c r="AK203" s="1386"/>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88"/>
      <c r="AJ204" s="1388"/>
      <c r="AK204" s="1388"/>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88"/>
      <c r="AJ205" s="1388"/>
      <c r="AK205" s="1388"/>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795" t="s">
        <v>217</v>
      </c>
      <c r="B55" s="546" t="s">
        <v>218</v>
      </c>
      <c r="C55" s="547" t="s">
        <v>501</v>
      </c>
      <c r="D55" s="548" t="s">
        <v>504</v>
      </c>
      <c r="E55" s="549" t="s">
        <v>296</v>
      </c>
      <c r="F55" s="550" t="s">
        <v>309</v>
      </c>
      <c r="G55" s="551" t="s">
        <v>310</v>
      </c>
      <c r="H55" s="1830" t="s">
        <v>6</v>
      </c>
      <c r="I55" s="1893"/>
      <c r="J55" s="1893"/>
      <c r="K55" s="1893"/>
      <c r="L55" s="1893"/>
      <c r="M55" s="1831"/>
      <c r="N55" s="1830" t="s">
        <v>298</v>
      </c>
      <c r="O55" s="1893"/>
      <c r="P55" s="1893"/>
      <c r="Q55" s="1893"/>
      <c r="R55" s="1893"/>
      <c r="S55" s="1831"/>
      <c r="T55" s="1830" t="s">
        <v>299</v>
      </c>
      <c r="U55" s="1893"/>
      <c r="V55" s="1893"/>
      <c r="W55" s="1893"/>
      <c r="X55" s="1893"/>
      <c r="Y55" s="1831"/>
      <c r="Z55" s="2002" t="s">
        <v>308</v>
      </c>
      <c r="AA55" s="1868"/>
      <c r="AB55" s="1868"/>
      <c r="AC55" s="1868"/>
      <c r="AD55" s="1868"/>
      <c r="AE55" s="1868"/>
      <c r="AF55" s="1869"/>
      <c r="AG55" s="2002" t="s">
        <v>307</v>
      </c>
      <c r="AH55" s="1868"/>
      <c r="AI55" s="1868"/>
      <c r="AJ55" s="1868"/>
      <c r="AK55" s="1868"/>
      <c r="AL55" s="1868"/>
      <c r="AM55" s="1869"/>
      <c r="AN55" s="2002" t="s">
        <v>306</v>
      </c>
      <c r="AO55" s="1868"/>
      <c r="AP55" s="1868"/>
      <c r="AQ55" s="1868"/>
      <c r="AR55" s="1868"/>
      <c r="AS55" s="1868"/>
      <c r="AT55" s="1869"/>
      <c r="AU55" s="250" t="s">
        <v>311</v>
      </c>
      <c r="AV55" s="245" t="s">
        <v>305</v>
      </c>
      <c r="AW55" s="247" t="s">
        <v>313</v>
      </c>
    </row>
    <row r="56" spans="1:49" ht="60.75" thickBot="1">
      <c r="A56" s="1796"/>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57.436000617299655</v>
      </c>
      <c r="C126" s="417">
        <f>'Recycling - Case 1'!E98</f>
        <v>0.72344242424242422</v>
      </c>
      <c r="D126" s="525">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17">
        <f>'Recycling - Case 1'!E99</f>
        <v>0.73208484848484845</v>
      </c>
      <c r="D127" s="525">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17">
        <f>'Recycling - Case 1'!E100</f>
        <v>0.74072727272727268</v>
      </c>
      <c r="D128" s="525">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60.097873988486953</v>
      </c>
      <c r="C129" s="417">
        <f>'Recycling - Case 1'!E101</f>
        <v>0.74936969696969691</v>
      </c>
      <c r="D129" s="525">
        <f>'Recycling - Case 1'!F101</f>
        <v>0.29901212121212117</v>
      </c>
      <c r="E129" s="235">
        <f t="shared" si="76"/>
        <v>935394110.91723013</v>
      </c>
      <c r="F129" s="236">
        <v>0</v>
      </c>
      <c r="G129" s="237">
        <f t="shared" si="78"/>
        <v>935394110.91723013</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12168627.024750516</v>
      </c>
      <c r="AA129" s="236">
        <f t="shared" si="101"/>
        <v>0</v>
      </c>
      <c r="AB129" s="236">
        <f t="shared" si="102"/>
        <v>12168627.024750516</v>
      </c>
      <c r="AC129" s="236">
        <f t="shared" si="103"/>
        <v>6814431.1338602882</v>
      </c>
      <c r="AD129" s="236">
        <f t="shared" si="104"/>
        <v>973490.16198004072</v>
      </c>
      <c r="AE129" s="236">
        <f t="shared" si="105"/>
        <v>0</v>
      </c>
      <c r="AF129" s="242">
        <f t="shared" si="80"/>
        <v>32125175.345341362</v>
      </c>
      <c r="AG129" s="235">
        <f t="shared" si="106"/>
        <v>0</v>
      </c>
      <c r="AH129" s="236">
        <f t="shared" si="107"/>
        <v>0</v>
      </c>
      <c r="AI129" s="236">
        <f t="shared" si="108"/>
        <v>5051128.1989530427</v>
      </c>
      <c r="AJ129" s="236">
        <f t="shared" si="109"/>
        <v>1010225.6397906084</v>
      </c>
      <c r="AK129" s="236">
        <f t="shared" si="110"/>
        <v>0</v>
      </c>
      <c r="AL129" s="236">
        <f t="shared" si="111"/>
        <v>0</v>
      </c>
      <c r="AM129" s="242">
        <f t="shared" si="81"/>
        <v>6061353.8387436513</v>
      </c>
      <c r="AN129" s="235">
        <f t="shared" si="112"/>
        <v>48167694.562541433</v>
      </c>
      <c r="AO129" s="236">
        <f t="shared" si="113"/>
        <v>0</v>
      </c>
      <c r="AP129" s="236">
        <f t="shared" si="114"/>
        <v>24083847.281270716</v>
      </c>
      <c r="AQ129" s="236">
        <f t="shared" si="115"/>
        <v>34000725.573558673</v>
      </c>
      <c r="AR129" s="236">
        <f t="shared" si="116"/>
        <v>1416696.8988982781</v>
      </c>
      <c r="AS129" s="236">
        <f t="shared" si="82"/>
        <v>0</v>
      </c>
      <c r="AT129" s="242">
        <f t="shared" si="83"/>
        <v>107668964.3162691</v>
      </c>
      <c r="AU129" s="254">
        <v>0</v>
      </c>
      <c r="AV129" s="246">
        <f t="shared" si="84"/>
        <v>145.8554935003541</v>
      </c>
      <c r="AW129" s="257">
        <f t="shared" si="77"/>
        <v>3.0302180288466625</v>
      </c>
    </row>
    <row r="130" spans="1:49">
      <c r="A130" s="193">
        <f>'Input data'!A122</f>
        <v>2022</v>
      </c>
      <c r="B130" s="208">
        <f>'Input data'!B122</f>
        <v>60.841582286809363</v>
      </c>
      <c r="C130" s="417">
        <f>'Recycling - Case 1'!E102</f>
        <v>0.75801212121212114</v>
      </c>
      <c r="D130" s="525">
        <f>'Recycling - Case 1'!F102</f>
        <v>0.30136515151515147</v>
      </c>
      <c r="E130" s="235">
        <f t="shared" si="76"/>
        <v>946969568.0228231</v>
      </c>
      <c r="F130" s="236">
        <v>0</v>
      </c>
      <c r="G130" s="237">
        <f t="shared" si="78"/>
        <v>946969568.0228231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12629130.511722561</v>
      </c>
      <c r="AA130" s="236">
        <f t="shared" si="101"/>
        <v>0</v>
      </c>
      <c r="AB130" s="236">
        <f t="shared" si="102"/>
        <v>12629130.511722561</v>
      </c>
      <c r="AC130" s="236">
        <f t="shared" si="103"/>
        <v>7072313.086564634</v>
      </c>
      <c r="AD130" s="236">
        <f t="shared" si="104"/>
        <v>1010330.4409378044</v>
      </c>
      <c r="AE130" s="236">
        <f t="shared" si="105"/>
        <v>0</v>
      </c>
      <c r="AF130" s="242">
        <f t="shared" si="80"/>
        <v>33340904.550947562</v>
      </c>
      <c r="AG130" s="235">
        <f t="shared" si="106"/>
        <v>0</v>
      </c>
      <c r="AH130" s="236">
        <f t="shared" si="107"/>
        <v>0</v>
      </c>
      <c r="AI130" s="236">
        <f t="shared" si="108"/>
        <v>5113635.6673232438</v>
      </c>
      <c r="AJ130" s="236">
        <f t="shared" si="109"/>
        <v>1022727.1334646487</v>
      </c>
      <c r="AK130" s="236">
        <f t="shared" si="110"/>
        <v>0</v>
      </c>
      <c r="AL130" s="236">
        <f t="shared" si="111"/>
        <v>0</v>
      </c>
      <c r="AM130" s="242">
        <f t="shared" si="81"/>
        <v>6136362.8007878922</v>
      </c>
      <c r="AN130" s="235">
        <f t="shared" si="112"/>
        <v>49122324.57833299</v>
      </c>
      <c r="AO130" s="236">
        <f t="shared" si="113"/>
        <v>0</v>
      </c>
      <c r="AP130" s="236">
        <f t="shared" si="114"/>
        <v>24561162.289166495</v>
      </c>
      <c r="AQ130" s="236">
        <f t="shared" si="115"/>
        <v>34674582.05529388</v>
      </c>
      <c r="AR130" s="236">
        <f t="shared" si="116"/>
        <v>1444774.2523039121</v>
      </c>
      <c r="AS130" s="236">
        <f t="shared" si="82"/>
        <v>0</v>
      </c>
      <c r="AT130" s="242">
        <f t="shared" si="83"/>
        <v>109802843.17509727</v>
      </c>
      <c r="AU130" s="254">
        <v>0</v>
      </c>
      <c r="AV130" s="246">
        <f t="shared" si="84"/>
        <v>149.28011052683274</v>
      </c>
      <c r="AW130" s="257">
        <f t="shared" si="77"/>
        <v>3.0677168311206198</v>
      </c>
    </row>
    <row r="131" spans="1:49">
      <c r="A131" s="193">
        <f>'Input data'!A123</f>
        <v>2023</v>
      </c>
      <c r="B131" s="208">
        <f>'Input data'!B123</f>
        <v>61.537824355929828</v>
      </c>
      <c r="C131" s="417">
        <f>'Recycling - Case 1'!E103</f>
        <v>0.76665454545454537</v>
      </c>
      <c r="D131" s="525">
        <f>'Recycling - Case 1'!F103</f>
        <v>0.30371818181818178</v>
      </c>
      <c r="E131" s="235">
        <f t="shared" si="76"/>
        <v>957806236.41067433</v>
      </c>
      <c r="F131" s="236">
        <v>0</v>
      </c>
      <c r="G131" s="237">
        <f t="shared" si="78"/>
        <v>957806236.41067433</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13087116.121138584</v>
      </c>
      <c r="AA131" s="236">
        <f t="shared" si="101"/>
        <v>0</v>
      </c>
      <c r="AB131" s="236">
        <f t="shared" si="102"/>
        <v>13087116.121138584</v>
      </c>
      <c r="AC131" s="236">
        <f t="shared" si="103"/>
        <v>7328785.0278376043</v>
      </c>
      <c r="AD131" s="236">
        <f t="shared" si="104"/>
        <v>1046969.2896910859</v>
      </c>
      <c r="AE131" s="236">
        <f t="shared" si="105"/>
        <v>0</v>
      </c>
      <c r="AF131" s="242">
        <f t="shared" si="80"/>
        <v>34549986.559805855</v>
      </c>
      <c r="AG131" s="235">
        <f t="shared" si="106"/>
        <v>0</v>
      </c>
      <c r="AH131" s="236">
        <f t="shared" si="107"/>
        <v>0</v>
      </c>
      <c r="AI131" s="236">
        <f t="shared" si="108"/>
        <v>5172153.676617641</v>
      </c>
      <c r="AJ131" s="236">
        <f t="shared" si="109"/>
        <v>1034430.7353235283</v>
      </c>
      <c r="AK131" s="236">
        <f t="shared" si="110"/>
        <v>0</v>
      </c>
      <c r="AL131" s="236">
        <f t="shared" si="111"/>
        <v>0</v>
      </c>
      <c r="AM131" s="242">
        <f t="shared" si="81"/>
        <v>6206584.4119411688</v>
      </c>
      <c r="AN131" s="235">
        <f t="shared" si="112"/>
        <v>50047117.318342112</v>
      </c>
      <c r="AO131" s="236">
        <f t="shared" si="113"/>
        <v>0</v>
      </c>
      <c r="AP131" s="236">
        <f t="shared" si="114"/>
        <v>25023558.659171056</v>
      </c>
      <c r="AQ131" s="236">
        <f t="shared" si="115"/>
        <v>35327376.930594437</v>
      </c>
      <c r="AR131" s="236">
        <f t="shared" si="116"/>
        <v>1471974.0387747684</v>
      </c>
      <c r="AS131" s="236">
        <f t="shared" si="82"/>
        <v>0</v>
      </c>
      <c r="AT131" s="242">
        <f t="shared" si="83"/>
        <v>111870026.94688238</v>
      </c>
      <c r="AU131" s="254">
        <v>0</v>
      </c>
      <c r="AV131" s="246">
        <f t="shared" si="84"/>
        <v>152.62659791862941</v>
      </c>
      <c r="AW131" s="257">
        <f t="shared" si="77"/>
        <v>3.1028223203879186</v>
      </c>
    </row>
    <row r="132" spans="1:49">
      <c r="A132" s="193">
        <f>'Input data'!A124</f>
        <v>2024</v>
      </c>
      <c r="B132" s="208">
        <f>'Input data'!B124</f>
        <v>62.221509701386374</v>
      </c>
      <c r="C132" s="417">
        <f>'Recycling - Case 1'!E104</f>
        <v>0.7752969696969696</v>
      </c>
      <c r="D132" s="525">
        <f>'Recycling - Case 1'!F104</f>
        <v>0.30607121212121208</v>
      </c>
      <c r="E132" s="235">
        <f t="shared" si="76"/>
        <v>968447465.51609957</v>
      </c>
      <c r="F132" s="236">
        <v>0</v>
      </c>
      <c r="G132" s="237">
        <f t="shared" si="78"/>
        <v>968447465.51609957</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13549460.44935707</v>
      </c>
      <c r="AA132" s="236">
        <f t="shared" si="101"/>
        <v>0</v>
      </c>
      <c r="AB132" s="236">
        <f t="shared" si="102"/>
        <v>13549460.44935707</v>
      </c>
      <c r="AC132" s="236">
        <f t="shared" si="103"/>
        <v>7587697.8516399581</v>
      </c>
      <c r="AD132" s="236">
        <f t="shared" si="104"/>
        <v>1083956.8359485648</v>
      </c>
      <c r="AE132" s="236">
        <f t="shared" si="105"/>
        <v>0</v>
      </c>
      <c r="AF132" s="242">
        <f t="shared" si="80"/>
        <v>35770575.58630266</v>
      </c>
      <c r="AG132" s="235">
        <f t="shared" si="106"/>
        <v>0</v>
      </c>
      <c r="AH132" s="236">
        <f t="shared" si="107"/>
        <v>0</v>
      </c>
      <c r="AI132" s="236">
        <f t="shared" si="108"/>
        <v>5229616.3137869369</v>
      </c>
      <c r="AJ132" s="236">
        <f t="shared" si="109"/>
        <v>1045923.2627573875</v>
      </c>
      <c r="AK132" s="236">
        <f t="shared" si="110"/>
        <v>0</v>
      </c>
      <c r="AL132" s="236">
        <f t="shared" si="111"/>
        <v>0</v>
      </c>
      <c r="AM132" s="242">
        <f t="shared" si="81"/>
        <v>6275539.5765443239</v>
      </c>
      <c r="AN132" s="235">
        <f t="shared" si="112"/>
        <v>50969830.313505724</v>
      </c>
      <c r="AO132" s="236">
        <f t="shared" si="113"/>
        <v>0</v>
      </c>
      <c r="AP132" s="236">
        <f t="shared" si="114"/>
        <v>25484915.156752862</v>
      </c>
      <c r="AQ132" s="236">
        <f t="shared" si="115"/>
        <v>35978703.750709943</v>
      </c>
      <c r="AR132" s="236">
        <f t="shared" si="116"/>
        <v>1499112.6562795809</v>
      </c>
      <c r="AS132" s="236">
        <f t="shared" si="82"/>
        <v>0</v>
      </c>
      <c r="AT132" s="242">
        <f t="shared" si="83"/>
        <v>113932561.87724812</v>
      </c>
      <c r="AU132" s="254">
        <v>0</v>
      </c>
      <c r="AV132" s="246">
        <f t="shared" si="84"/>
        <v>155.97867704009508</v>
      </c>
      <c r="AW132" s="257">
        <f t="shared" si="77"/>
        <v>3.1372946822597805</v>
      </c>
    </row>
    <row r="133" spans="1:49">
      <c r="A133" s="193">
        <f>'Input data'!A125</f>
        <v>2025</v>
      </c>
      <c r="B133" s="208">
        <f>'Input data'!B125</f>
        <v>62.892038582526091</v>
      </c>
      <c r="C133" s="417">
        <f>'Recycling - Case 1'!E105</f>
        <v>0.78393939393939382</v>
      </c>
      <c r="D133" s="525">
        <f>'Recycling - Case 1'!F105</f>
        <v>0.30842424242424238</v>
      </c>
      <c r="E133" s="235">
        <f t="shared" si="76"/>
        <v>978883920.66820967</v>
      </c>
      <c r="F133" s="236">
        <v>0</v>
      </c>
      <c r="G133" s="237">
        <f t="shared" si="78"/>
        <v>978883920.66820967</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14015837.955022098</v>
      </c>
      <c r="AA133" s="236">
        <f t="shared" si="101"/>
        <v>0</v>
      </c>
      <c r="AB133" s="236">
        <f t="shared" si="102"/>
        <v>14015837.955022098</v>
      </c>
      <c r="AC133" s="236">
        <f t="shared" si="103"/>
        <v>7848869.2548123738</v>
      </c>
      <c r="AD133" s="236">
        <f t="shared" si="104"/>
        <v>1121267.0364017671</v>
      </c>
      <c r="AE133" s="236">
        <f t="shared" si="105"/>
        <v>0</v>
      </c>
      <c r="AF133" s="242">
        <f t="shared" si="80"/>
        <v>37001812.201258332</v>
      </c>
      <c r="AG133" s="235">
        <f t="shared" si="106"/>
        <v>0</v>
      </c>
      <c r="AH133" s="236">
        <f t="shared" si="107"/>
        <v>0</v>
      </c>
      <c r="AI133" s="236">
        <f t="shared" si="108"/>
        <v>5285973.1716083316</v>
      </c>
      <c r="AJ133" s="236">
        <f t="shared" si="109"/>
        <v>1057194.6343216663</v>
      </c>
      <c r="AK133" s="236">
        <f t="shared" si="110"/>
        <v>0</v>
      </c>
      <c r="AL133" s="236">
        <f t="shared" si="111"/>
        <v>0</v>
      </c>
      <c r="AM133" s="242">
        <f t="shared" si="81"/>
        <v>6343167.8059299979</v>
      </c>
      <c r="AN133" s="235">
        <f t="shared" si="112"/>
        <v>51889746.740148447</v>
      </c>
      <c r="AO133" s="236">
        <f t="shared" si="113"/>
        <v>0</v>
      </c>
      <c r="AP133" s="236">
        <f t="shared" si="114"/>
        <v>25944873.370074224</v>
      </c>
      <c r="AQ133" s="236">
        <f t="shared" si="115"/>
        <v>36628056.522457741</v>
      </c>
      <c r="AR133" s="236">
        <f t="shared" si="116"/>
        <v>1526169.0217690731</v>
      </c>
      <c r="AS133" s="236">
        <f t="shared" si="82"/>
        <v>0</v>
      </c>
      <c r="AT133" s="242">
        <f t="shared" si="83"/>
        <v>115988845.65444949</v>
      </c>
      <c r="AU133" s="254">
        <v>0</v>
      </c>
      <c r="AV133" s="246">
        <f t="shared" si="84"/>
        <v>159.3338256616378</v>
      </c>
      <c r="AW133" s="257">
        <f t="shared" si="77"/>
        <v>3.1711036769819763</v>
      </c>
    </row>
    <row r="134" spans="1:49">
      <c r="A134" s="193">
        <f>'Input data'!A126</f>
        <v>2026</v>
      </c>
      <c r="B134" s="208">
        <f>'Input data'!B126</f>
        <v>63.548817559440096</v>
      </c>
      <c r="C134" s="417">
        <f>'Recycling - Case 1'!E106</f>
        <v>0.79258181818181805</v>
      </c>
      <c r="D134" s="525">
        <f>'Recycling - Case 1'!F106</f>
        <v>0.31077727272727268</v>
      </c>
      <c r="E134" s="235">
        <f t="shared" si="76"/>
        <v>989106365.26412511</v>
      </c>
      <c r="F134" s="236">
        <v>0</v>
      </c>
      <c r="G134" s="237">
        <f t="shared" si="78"/>
        <v>989106365.26412511</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14485912.313095512</v>
      </c>
      <c r="AA134" s="236">
        <f t="shared" si="101"/>
        <v>0</v>
      </c>
      <c r="AB134" s="236">
        <f t="shared" si="102"/>
        <v>14485912.313095512</v>
      </c>
      <c r="AC134" s="236">
        <f t="shared" si="103"/>
        <v>8112110.8953334838</v>
      </c>
      <c r="AD134" s="236">
        <f t="shared" si="104"/>
        <v>1158872.9850476398</v>
      </c>
      <c r="AE134" s="236">
        <f t="shared" si="105"/>
        <v>0</v>
      </c>
      <c r="AF134" s="242">
        <f t="shared" si="80"/>
        <v>38242808.506572142</v>
      </c>
      <c r="AG134" s="235">
        <f t="shared" si="106"/>
        <v>0</v>
      </c>
      <c r="AH134" s="236">
        <f t="shared" si="107"/>
        <v>0</v>
      </c>
      <c r="AI134" s="236">
        <f t="shared" si="108"/>
        <v>5341174.3724262752</v>
      </c>
      <c r="AJ134" s="236">
        <f t="shared" si="109"/>
        <v>1068234.874485255</v>
      </c>
      <c r="AK134" s="236">
        <f t="shared" si="110"/>
        <v>0</v>
      </c>
      <c r="AL134" s="236">
        <f t="shared" si="111"/>
        <v>0</v>
      </c>
      <c r="AM134" s="242">
        <f t="shared" si="81"/>
        <v>6409409.2469115304</v>
      </c>
      <c r="AN134" s="235">
        <f t="shared" si="112"/>
        <v>52806140.87243966</v>
      </c>
      <c r="AO134" s="236">
        <f t="shared" si="113"/>
        <v>0</v>
      </c>
      <c r="AP134" s="236">
        <f t="shared" si="114"/>
        <v>26403070.43621983</v>
      </c>
      <c r="AQ134" s="236">
        <f t="shared" si="115"/>
        <v>37274922.968780957</v>
      </c>
      <c r="AR134" s="236">
        <f t="shared" si="116"/>
        <v>1553121.7903658736</v>
      </c>
      <c r="AS134" s="236">
        <f t="shared" si="82"/>
        <v>0</v>
      </c>
      <c r="AT134" s="242">
        <f t="shared" si="83"/>
        <v>118037256.06780633</v>
      </c>
      <c r="AU134" s="254">
        <v>0</v>
      </c>
      <c r="AV134" s="246">
        <f t="shared" si="84"/>
        <v>162.68947382129002</v>
      </c>
      <c r="AW134" s="257">
        <f t="shared" si="77"/>
        <v>3.2042193824925169</v>
      </c>
    </row>
    <row r="135" spans="1:49">
      <c r="A135" s="193">
        <f>'Input data'!A127</f>
        <v>2027</v>
      </c>
      <c r="B135" s="208">
        <f>'Input data'!B127</f>
        <v>64.191260356766122</v>
      </c>
      <c r="C135" s="417">
        <f>'Recycling - Case 1'!E107</f>
        <v>0.80122424242424228</v>
      </c>
      <c r="D135" s="525">
        <f>'Recycling - Case 1'!F107</f>
        <v>0.31313030303030298</v>
      </c>
      <c r="E135" s="235">
        <f t="shared" si="76"/>
        <v>999105674.21364093</v>
      </c>
      <c r="F135" s="236">
        <v>0</v>
      </c>
      <c r="G135" s="237">
        <f t="shared" si="78"/>
        <v>999105674.21364093</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14959336.776635157</v>
      </c>
      <c r="AA135" s="236">
        <f t="shared" si="101"/>
        <v>0</v>
      </c>
      <c r="AB135" s="236">
        <f t="shared" si="102"/>
        <v>14959336.776635157</v>
      </c>
      <c r="AC135" s="236">
        <f t="shared" si="103"/>
        <v>8377228.5949156862</v>
      </c>
      <c r="AD135" s="236">
        <f t="shared" si="104"/>
        <v>1196746.9421308113</v>
      </c>
      <c r="AE135" s="236">
        <f t="shared" si="105"/>
        <v>0</v>
      </c>
      <c r="AF135" s="242">
        <f t="shared" si="80"/>
        <v>39492649.09031681</v>
      </c>
      <c r="AG135" s="235">
        <f t="shared" si="106"/>
        <v>0</v>
      </c>
      <c r="AH135" s="236">
        <f t="shared" si="107"/>
        <v>0</v>
      </c>
      <c r="AI135" s="236">
        <f t="shared" si="108"/>
        <v>5395170.6407536604</v>
      </c>
      <c r="AJ135" s="236">
        <f t="shared" si="109"/>
        <v>1079034.128150732</v>
      </c>
      <c r="AK135" s="236">
        <f t="shared" si="110"/>
        <v>0</v>
      </c>
      <c r="AL135" s="236">
        <f t="shared" si="111"/>
        <v>0</v>
      </c>
      <c r="AM135" s="242">
        <f t="shared" si="81"/>
        <v>6474204.7689043926</v>
      </c>
      <c r="AN135" s="235">
        <f t="shared" si="112"/>
        <v>53718278.990924865</v>
      </c>
      <c r="AO135" s="236">
        <f t="shared" si="113"/>
        <v>0</v>
      </c>
      <c r="AP135" s="236">
        <f t="shared" si="114"/>
        <v>26859139.495462433</v>
      </c>
      <c r="AQ135" s="236">
        <f t="shared" si="115"/>
        <v>37918785.170064636</v>
      </c>
      <c r="AR135" s="236">
        <f t="shared" si="116"/>
        <v>1579949.3820860267</v>
      </c>
      <c r="AS135" s="236">
        <f t="shared" si="82"/>
        <v>0</v>
      </c>
      <c r="AT135" s="242">
        <f t="shared" si="83"/>
        <v>120076153.03853796</v>
      </c>
      <c r="AU135" s="254">
        <v>0</v>
      </c>
      <c r="AV135" s="246">
        <f t="shared" si="84"/>
        <v>166.04300689775917</v>
      </c>
      <c r="AW135" s="257">
        <f t="shared" si="77"/>
        <v>3.2366122379757729</v>
      </c>
    </row>
    <row r="136" spans="1:49">
      <c r="A136" s="193">
        <f>'Input data'!A128</f>
        <v>2028</v>
      </c>
      <c r="B136" s="208">
        <f>'Input data'!B128</f>
        <v>64.818788725428234</v>
      </c>
      <c r="C136" s="417">
        <f>'Recycling - Case 1'!E108</f>
        <v>0.80986666666666651</v>
      </c>
      <c r="D136" s="525">
        <f>'Recycling - Case 1'!F108</f>
        <v>0.31548333333333328</v>
      </c>
      <c r="E136" s="235">
        <f t="shared" si="76"/>
        <v>1008872847.351787</v>
      </c>
      <c r="F136" s="236">
        <v>0</v>
      </c>
      <c r="G136" s="237">
        <f t="shared" si="78"/>
        <v>1008872847.351787</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15435754.564482348</v>
      </c>
      <c r="AA136" s="236">
        <f t="shared" si="101"/>
        <v>0</v>
      </c>
      <c r="AB136" s="236">
        <f t="shared" si="102"/>
        <v>15435754.564482348</v>
      </c>
      <c r="AC136" s="236">
        <f t="shared" si="103"/>
        <v>8644022.556110112</v>
      </c>
      <c r="AD136" s="236">
        <f t="shared" si="104"/>
        <v>1234860.3651585865</v>
      </c>
      <c r="AE136" s="236">
        <f t="shared" si="105"/>
        <v>0</v>
      </c>
      <c r="AF136" s="242">
        <f t="shared" si="80"/>
        <v>40750392.050233394</v>
      </c>
      <c r="AG136" s="235">
        <f t="shared" si="106"/>
        <v>0</v>
      </c>
      <c r="AH136" s="236">
        <f t="shared" si="107"/>
        <v>0</v>
      </c>
      <c r="AI136" s="236">
        <f t="shared" si="108"/>
        <v>5447913.3756996496</v>
      </c>
      <c r="AJ136" s="236">
        <f t="shared" si="109"/>
        <v>1089582.6751399299</v>
      </c>
      <c r="AK136" s="236">
        <f t="shared" si="110"/>
        <v>0</v>
      </c>
      <c r="AL136" s="236">
        <f t="shared" si="111"/>
        <v>0</v>
      </c>
      <c r="AM136" s="242">
        <f t="shared" si="81"/>
        <v>6537496.0508395797</v>
      </c>
      <c r="AN136" s="235">
        <f t="shared" si="112"/>
        <v>54625420.319862492</v>
      </c>
      <c r="AO136" s="236">
        <f t="shared" si="113"/>
        <v>0</v>
      </c>
      <c r="AP136" s="236">
        <f t="shared" si="114"/>
        <v>27312710.159931246</v>
      </c>
      <c r="AQ136" s="236">
        <f t="shared" si="115"/>
        <v>38559120.225785315</v>
      </c>
      <c r="AR136" s="236">
        <f t="shared" si="116"/>
        <v>1606630.0094077215</v>
      </c>
      <c r="AS136" s="236">
        <f t="shared" si="82"/>
        <v>0</v>
      </c>
      <c r="AT136" s="242">
        <f t="shared" si="83"/>
        <v>122103880.71498677</v>
      </c>
      <c r="AU136" s="254">
        <v>0</v>
      </c>
      <c r="AV136" s="246">
        <f t="shared" si="84"/>
        <v>169.39176881605974</v>
      </c>
      <c r="AW136" s="257">
        <f t="shared" si="77"/>
        <v>3.2682530873125892</v>
      </c>
    </row>
    <row r="137" spans="1:49">
      <c r="A137" s="193">
        <f>'Input data'!A129</f>
        <v>2029</v>
      </c>
      <c r="B137" s="208">
        <f>'Input data'!B129</f>
        <v>65.435442210930105</v>
      </c>
      <c r="C137" s="417">
        <f>'Recycling - Case 1'!E109</f>
        <v>0.81850909090909074</v>
      </c>
      <c r="D137" s="525">
        <f>'Recycling - Case 1'!F109</f>
        <v>0.31783636363636358</v>
      </c>
      <c r="E137" s="235">
        <f t="shared" si="76"/>
        <v>1018470758.2350494</v>
      </c>
      <c r="F137" s="236">
        <v>0</v>
      </c>
      <c r="G137" s="237">
        <f t="shared" si="78"/>
        <v>1018470758.2350494</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15915920.30369137</v>
      </c>
      <c r="AA137" s="236">
        <f t="shared" si="101"/>
        <v>0</v>
      </c>
      <c r="AB137" s="236">
        <f t="shared" si="102"/>
        <v>15915920.30369137</v>
      </c>
      <c r="AC137" s="236">
        <f t="shared" si="103"/>
        <v>8912915.3700671643</v>
      </c>
      <c r="AD137" s="236">
        <f t="shared" si="104"/>
        <v>1273273.6242953083</v>
      </c>
      <c r="AE137" s="236">
        <f t="shared" si="105"/>
        <v>0</v>
      </c>
      <c r="AF137" s="242">
        <f t="shared" si="80"/>
        <v>42018029.601745218</v>
      </c>
      <c r="AG137" s="235">
        <f t="shared" si="106"/>
        <v>0</v>
      </c>
      <c r="AH137" s="236">
        <f t="shared" si="107"/>
        <v>0</v>
      </c>
      <c r="AI137" s="236">
        <f t="shared" si="108"/>
        <v>5499742.094469266</v>
      </c>
      <c r="AJ137" s="236">
        <f t="shared" si="109"/>
        <v>1099948.4188938532</v>
      </c>
      <c r="AK137" s="236">
        <f t="shared" si="110"/>
        <v>0</v>
      </c>
      <c r="AL137" s="236">
        <f t="shared" si="111"/>
        <v>0</v>
      </c>
      <c r="AM137" s="242">
        <f t="shared" si="81"/>
        <v>6599690.5133631192</v>
      </c>
      <c r="AN137" s="235">
        <f t="shared" si="112"/>
        <v>55530729.269004814</v>
      </c>
      <c r="AO137" s="236">
        <f t="shared" si="113"/>
        <v>0</v>
      </c>
      <c r="AP137" s="236">
        <f t="shared" si="114"/>
        <v>27765364.634502407</v>
      </c>
      <c r="AQ137" s="236">
        <f t="shared" si="115"/>
        <v>39198161.83694461</v>
      </c>
      <c r="AR137" s="236">
        <f t="shared" si="116"/>
        <v>1633256.7432060253</v>
      </c>
      <c r="AS137" s="236">
        <f t="shared" si="82"/>
        <v>0</v>
      </c>
      <c r="AT137" s="242">
        <f t="shared" si="83"/>
        <v>124127512.48365785</v>
      </c>
      <c r="AU137" s="254">
        <v>0</v>
      </c>
      <c r="AV137" s="246">
        <f t="shared" si="84"/>
        <v>172.74523259876619</v>
      </c>
      <c r="AW137" s="257">
        <f t="shared" si="77"/>
        <v>3.2993456099811418</v>
      </c>
    </row>
    <row r="138" spans="1:49">
      <c r="A138" s="123">
        <f>'Input data'!A130</f>
        <v>2030</v>
      </c>
      <c r="B138" s="208">
        <f>'Input data'!B130</f>
        <v>66.040790860694059</v>
      </c>
      <c r="C138" s="417">
        <f>'Recycling - Case 1'!E110</f>
        <v>0.82715151515151497</v>
      </c>
      <c r="D138" s="525">
        <f>'Recycling - Case 1'!F110</f>
        <v>0.32018939393939388</v>
      </c>
      <c r="E138" s="235">
        <f t="shared" si="76"/>
        <v>1027892714.8611585</v>
      </c>
      <c r="F138" s="236">
        <v>0</v>
      </c>
      <c r="G138" s="237">
        <f t="shared" si="78"/>
        <v>1027892714.8611585</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16399561.041648492</v>
      </c>
      <c r="AA138" s="236">
        <f t="shared" si="101"/>
        <v>0</v>
      </c>
      <c r="AB138" s="236">
        <f t="shared" si="102"/>
        <v>16399561.041648492</v>
      </c>
      <c r="AC138" s="236">
        <f t="shared" si="103"/>
        <v>9183754.1833231524</v>
      </c>
      <c r="AD138" s="236">
        <f t="shared" si="104"/>
        <v>1311964.8833318779</v>
      </c>
      <c r="AE138" s="236">
        <f t="shared" si="105"/>
        <v>0</v>
      </c>
      <c r="AF138" s="242">
        <f t="shared" si="80"/>
        <v>43294841.149952017</v>
      </c>
      <c r="AG138" s="235">
        <f t="shared" si="106"/>
        <v>0</v>
      </c>
      <c r="AH138" s="236">
        <f t="shared" si="107"/>
        <v>0</v>
      </c>
      <c r="AI138" s="236">
        <f t="shared" si="108"/>
        <v>5550620.6602502558</v>
      </c>
      <c r="AJ138" s="236">
        <f t="shared" si="109"/>
        <v>1110124.1320500511</v>
      </c>
      <c r="AK138" s="236">
        <f t="shared" si="110"/>
        <v>0</v>
      </c>
      <c r="AL138" s="236">
        <f t="shared" si="111"/>
        <v>0</v>
      </c>
      <c r="AM138" s="242">
        <f t="shared" si="81"/>
        <v>6660744.7923003072</v>
      </c>
      <c r="AN138" s="235">
        <f t="shared" si="112"/>
        <v>56433646.165684082</v>
      </c>
      <c r="AO138" s="236">
        <f t="shared" si="113"/>
        <v>0</v>
      </c>
      <c r="AP138" s="236">
        <f t="shared" si="114"/>
        <v>28216823.082842041</v>
      </c>
      <c r="AQ138" s="236">
        <f t="shared" si="115"/>
        <v>39835514.940482914</v>
      </c>
      <c r="AR138" s="236">
        <f t="shared" si="116"/>
        <v>1659813.1225201217</v>
      </c>
      <c r="AS138" s="236">
        <f t="shared" si="82"/>
        <v>0</v>
      </c>
      <c r="AT138" s="242">
        <f t="shared" si="83"/>
        <v>126145797.31152916</v>
      </c>
      <c r="AU138" s="254">
        <v>0</v>
      </c>
      <c r="AV138" s="246">
        <f t="shared" si="84"/>
        <v>176.10138325378151</v>
      </c>
      <c r="AW138" s="257">
        <f t="shared" si="77"/>
        <v>3.3298681271770771</v>
      </c>
    </row>
    <row r="139" spans="1:49">
      <c r="A139" s="193">
        <f>'Input data'!A131</f>
        <v>2031</v>
      </c>
      <c r="B139" s="208">
        <f>'Input data'!B131</f>
        <v>66.6344094187031</v>
      </c>
      <c r="C139" s="417">
        <f>'Recycling - Case 1'!E111</f>
        <v>0.8357939393939392</v>
      </c>
      <c r="D139" s="525">
        <f>'Recycling - Case 1'!F111</f>
        <v>0.32254242424242419</v>
      </c>
      <c r="E139" s="235">
        <f t="shared" si="76"/>
        <v>1037132098.3275223</v>
      </c>
      <c r="F139" s="236">
        <v>0</v>
      </c>
      <c r="G139" s="237">
        <f t="shared" si="78"/>
        <v>1037132098.3275223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16886396.255496304</v>
      </c>
      <c r="AA139" s="236">
        <f t="shared" si="101"/>
        <v>0</v>
      </c>
      <c r="AB139" s="236">
        <f t="shared" si="102"/>
        <v>16886396.255496304</v>
      </c>
      <c r="AC139" s="236">
        <f t="shared" si="103"/>
        <v>9456381.9030779265</v>
      </c>
      <c r="AD139" s="236">
        <f t="shared" si="104"/>
        <v>1350911.7004397027</v>
      </c>
      <c r="AE139" s="236">
        <f t="shared" si="105"/>
        <v>0</v>
      </c>
      <c r="AF139" s="242">
        <f t="shared" si="80"/>
        <v>44580086.114510238</v>
      </c>
      <c r="AG139" s="235">
        <f t="shared" si="106"/>
        <v>0</v>
      </c>
      <c r="AH139" s="236">
        <f t="shared" si="107"/>
        <v>0</v>
      </c>
      <c r="AI139" s="236">
        <f t="shared" si="108"/>
        <v>5600513.3309686203</v>
      </c>
      <c r="AJ139" s="236">
        <f t="shared" si="109"/>
        <v>1120102.6661937239</v>
      </c>
      <c r="AK139" s="236">
        <f t="shared" si="110"/>
        <v>0</v>
      </c>
      <c r="AL139" s="236">
        <f t="shared" si="111"/>
        <v>0</v>
      </c>
      <c r="AM139" s="242">
        <f t="shared" si="81"/>
        <v>6720615.9971623439</v>
      </c>
      <c r="AN139" s="235">
        <f t="shared" si="112"/>
        <v>57333605.242907524</v>
      </c>
      <c r="AO139" s="236">
        <f t="shared" si="113"/>
        <v>0</v>
      </c>
      <c r="AP139" s="236">
        <f t="shared" si="114"/>
        <v>28666802.621453762</v>
      </c>
      <c r="AQ139" s="236">
        <f t="shared" si="115"/>
        <v>40470780.171464175</v>
      </c>
      <c r="AR139" s="236">
        <f t="shared" si="116"/>
        <v>1686282.5071443408</v>
      </c>
      <c r="AS139" s="236">
        <f t="shared" si="82"/>
        <v>0</v>
      </c>
      <c r="AT139" s="242">
        <f t="shared" si="83"/>
        <v>128157470.54296981</v>
      </c>
      <c r="AU139" s="254">
        <v>0</v>
      </c>
      <c r="AV139" s="246">
        <f t="shared" si="84"/>
        <v>179.4581726546424</v>
      </c>
      <c r="AW139" s="257">
        <f t="shared" si="77"/>
        <v>3.3597991969031304</v>
      </c>
    </row>
    <row r="140" spans="1:49">
      <c r="A140" s="193">
        <f>'Input data'!A132</f>
        <v>2032</v>
      </c>
      <c r="B140" s="208">
        <f>'Input data'!B132</f>
        <v>67.215877817791679</v>
      </c>
      <c r="C140" s="417">
        <f>'Recycling - Case 1'!E112</f>
        <v>0.84443636363636343</v>
      </c>
      <c r="D140" s="525">
        <f>'Recycling - Case 1'!F112</f>
        <v>0.32489545454545449</v>
      </c>
      <c r="E140" s="235">
        <f t="shared" ref="E140:E157" si="130">B140*$C$4*($C$7*$C$11+$C$8*$C$10+$C$7*$C$12)*10^6</f>
        <v>1046182370.4934915</v>
      </c>
      <c r="F140" s="236">
        <v>0</v>
      </c>
      <c r="G140" s="237">
        <f t="shared" si="78"/>
        <v>1046182370.4934915</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17376138.099014636</v>
      </c>
      <c r="AA140" s="236">
        <f t="shared" si="101"/>
        <v>0</v>
      </c>
      <c r="AB140" s="236">
        <f t="shared" si="102"/>
        <v>17376138.099014636</v>
      </c>
      <c r="AC140" s="236">
        <f t="shared" si="103"/>
        <v>9730637.3354481924</v>
      </c>
      <c r="AD140" s="236">
        <f t="shared" si="104"/>
        <v>1390091.0479211693</v>
      </c>
      <c r="AE140" s="236">
        <f t="shared" si="105"/>
        <v>0</v>
      </c>
      <c r="AF140" s="242">
        <f t="shared" si="80"/>
        <v>45873004.581398629</v>
      </c>
      <c r="AG140" s="235">
        <f t="shared" si="106"/>
        <v>0</v>
      </c>
      <c r="AH140" s="236">
        <f t="shared" si="107"/>
        <v>0</v>
      </c>
      <c r="AI140" s="236">
        <f t="shared" si="108"/>
        <v>5649384.8006648542</v>
      </c>
      <c r="AJ140" s="236">
        <f t="shared" si="109"/>
        <v>1129876.9601329707</v>
      </c>
      <c r="AK140" s="236">
        <f t="shared" si="110"/>
        <v>0</v>
      </c>
      <c r="AL140" s="236">
        <f t="shared" si="111"/>
        <v>0</v>
      </c>
      <c r="AM140" s="242">
        <f t="shared" si="81"/>
        <v>6779261.7607978247</v>
      </c>
      <c r="AN140" s="235">
        <f t="shared" si="112"/>
        <v>58230035.204226583</v>
      </c>
      <c r="AO140" s="236">
        <f t="shared" si="113"/>
        <v>0</v>
      </c>
      <c r="AP140" s="236">
        <f t="shared" si="114"/>
        <v>29115017.602113292</v>
      </c>
      <c r="AQ140" s="236">
        <f t="shared" si="115"/>
        <v>41103554.261807039</v>
      </c>
      <c r="AR140" s="236">
        <f t="shared" si="116"/>
        <v>1712648.09424196</v>
      </c>
      <c r="AS140" s="236">
        <f t="shared" si="82"/>
        <v>0</v>
      </c>
      <c r="AT140" s="242">
        <f t="shared" si="83"/>
        <v>130161255.16238888</v>
      </c>
      <c r="AU140" s="254">
        <v>0</v>
      </c>
      <c r="AV140" s="246">
        <f t="shared" si="84"/>
        <v>182.81352150458534</v>
      </c>
      <c r="AW140" s="257">
        <f t="shared" ref="AW140:AW158" si="131">((B140*$C$46*$C$47*$C$48*$C$49)-$C$50)*$C$51*$C$52</f>
        <v>3.3891176387911139</v>
      </c>
    </row>
    <row r="141" spans="1:49">
      <c r="A141" s="193">
        <f>'Input data'!A133</f>
        <v>2033</v>
      </c>
      <c r="B141" s="208">
        <f>'Input data'!B133</f>
        <v>67.784781669940756</v>
      </c>
      <c r="C141" s="417">
        <f>'Recycling - Case 1'!E113</f>
        <v>0.85307878787878766</v>
      </c>
      <c r="D141" s="525">
        <f>'Recycling - Case 1'!F113</f>
        <v>0.32724848484848479</v>
      </c>
      <c r="E141" s="235">
        <f t="shared" si="130"/>
        <v>1055037081.6115639</v>
      </c>
      <c r="F141" s="236">
        <v>0</v>
      </c>
      <c r="G141" s="237">
        <f t="shared" si="78"/>
        <v>1055037081.6115639</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17868491.664021317</v>
      </c>
      <c r="AA141" s="236">
        <f t="shared" si="101"/>
        <v>0</v>
      </c>
      <c r="AB141" s="236">
        <f t="shared" si="102"/>
        <v>17868491.664021317</v>
      </c>
      <c r="AC141" s="236">
        <f t="shared" si="103"/>
        <v>10006355.331851933</v>
      </c>
      <c r="AD141" s="236">
        <f t="shared" si="104"/>
        <v>1429479.3331217035</v>
      </c>
      <c r="AE141" s="236">
        <f t="shared" si="105"/>
        <v>0</v>
      </c>
      <c r="AF141" s="242">
        <f t="shared" si="80"/>
        <v>47172817.993016273</v>
      </c>
      <c r="AG141" s="235">
        <f t="shared" si="106"/>
        <v>0</v>
      </c>
      <c r="AH141" s="236">
        <f t="shared" si="107"/>
        <v>0</v>
      </c>
      <c r="AI141" s="236">
        <f t="shared" si="108"/>
        <v>5697200.2407024447</v>
      </c>
      <c r="AJ141" s="236">
        <f t="shared" si="109"/>
        <v>1139440.0481404888</v>
      </c>
      <c r="AK141" s="236">
        <f t="shared" si="110"/>
        <v>0</v>
      </c>
      <c r="AL141" s="236">
        <f t="shared" si="111"/>
        <v>0</v>
      </c>
      <c r="AM141" s="242">
        <f t="shared" si="81"/>
        <v>6836640.2888429333</v>
      </c>
      <c r="AN141" s="235">
        <f t="shared" si="112"/>
        <v>59122359.804272719</v>
      </c>
      <c r="AO141" s="236">
        <f t="shared" si="113"/>
        <v>0</v>
      </c>
      <c r="AP141" s="236">
        <f t="shared" si="114"/>
        <v>29561179.902136359</v>
      </c>
      <c r="AQ141" s="236">
        <f t="shared" si="115"/>
        <v>41733430.450074904</v>
      </c>
      <c r="AR141" s="236">
        <f t="shared" si="116"/>
        <v>1738892.9354197879</v>
      </c>
      <c r="AS141" s="236">
        <f t="shared" si="82"/>
        <v>0</v>
      </c>
      <c r="AT141" s="242">
        <f t="shared" si="83"/>
        <v>132155863.09190376</v>
      </c>
      <c r="AU141" s="254">
        <v>0</v>
      </c>
      <c r="AV141" s="246">
        <f t="shared" si="84"/>
        <v>186.16532137376296</v>
      </c>
      <c r="AW141" s="257">
        <f t="shared" si="131"/>
        <v>3.4178025588232726</v>
      </c>
    </row>
    <row r="142" spans="1:49">
      <c r="A142" s="193">
        <f>'Input data'!A134</f>
        <v>2034</v>
      </c>
      <c r="B142" s="208">
        <f>'Input data'!B134</f>
        <v>68.342055626742408</v>
      </c>
      <c r="C142" s="417">
        <f>'Recycling - Case 1'!E114</f>
        <v>0.86172121212121189</v>
      </c>
      <c r="D142" s="525">
        <f>'Recycling - Case 1'!F114</f>
        <v>0.32960151515151509</v>
      </c>
      <c r="E142" s="235">
        <f t="shared" si="130"/>
        <v>1063710779.0781276</v>
      </c>
      <c r="F142" s="236">
        <v>0</v>
      </c>
      <c r="G142" s="237">
        <f t="shared" si="78"/>
        <v>1063710779.0781276</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18363516.086085141</v>
      </c>
      <c r="AA142" s="236">
        <f t="shared" si="101"/>
        <v>0</v>
      </c>
      <c r="AB142" s="236">
        <f t="shared" si="102"/>
        <v>18363516.086085141</v>
      </c>
      <c r="AC142" s="236">
        <f t="shared" si="103"/>
        <v>10283569.008207675</v>
      </c>
      <c r="AD142" s="236">
        <f t="shared" si="104"/>
        <v>1469081.2868868092</v>
      </c>
      <c r="AE142" s="236">
        <f t="shared" si="105"/>
        <v>0</v>
      </c>
      <c r="AF142" s="242">
        <f t="shared" si="80"/>
        <v>48479682.467264771</v>
      </c>
      <c r="AG142" s="235">
        <f t="shared" si="106"/>
        <v>0</v>
      </c>
      <c r="AH142" s="236">
        <f t="shared" si="107"/>
        <v>0</v>
      </c>
      <c r="AI142" s="236">
        <f t="shared" si="108"/>
        <v>5744038.2070218893</v>
      </c>
      <c r="AJ142" s="236">
        <f t="shared" si="109"/>
        <v>1148807.6414043778</v>
      </c>
      <c r="AK142" s="236">
        <f t="shared" si="110"/>
        <v>0</v>
      </c>
      <c r="AL142" s="236">
        <f t="shared" si="111"/>
        <v>0</v>
      </c>
      <c r="AM142" s="242">
        <f t="shared" si="81"/>
        <v>6892845.8484262675</v>
      </c>
      <c r="AN142" s="235">
        <f t="shared" si="112"/>
        <v>60011177.621290863</v>
      </c>
      <c r="AO142" s="236">
        <f t="shared" si="113"/>
        <v>0</v>
      </c>
      <c r="AP142" s="236">
        <f t="shared" si="114"/>
        <v>30005588.810645431</v>
      </c>
      <c r="AQ142" s="236">
        <f t="shared" si="115"/>
        <v>42360831.262087718</v>
      </c>
      <c r="AR142" s="236">
        <f t="shared" si="116"/>
        <v>1765034.6359203216</v>
      </c>
      <c r="AS142" s="236">
        <f t="shared" si="82"/>
        <v>0</v>
      </c>
      <c r="AT142" s="242">
        <f t="shared" si="83"/>
        <v>134142632.32994433</v>
      </c>
      <c r="AU142" s="254">
        <v>0</v>
      </c>
      <c r="AV142" s="246">
        <f t="shared" si="84"/>
        <v>189.51516064563538</v>
      </c>
      <c r="AW142" s="257">
        <f t="shared" si="131"/>
        <v>3.4459010834271635</v>
      </c>
    </row>
    <row r="143" spans="1:49">
      <c r="A143" s="193">
        <f>'Input data'!A135</f>
        <v>2035</v>
      </c>
      <c r="B143" s="208">
        <f>'Input data'!B135</f>
        <v>68.88733085860035</v>
      </c>
      <c r="C143" s="417">
        <f>'Recycling - Case 1'!E115</f>
        <v>0.87036363636363612</v>
      </c>
      <c r="D143" s="525">
        <f>'Recycling - Case 1'!F115</f>
        <v>0.33195454545454539</v>
      </c>
      <c r="E143" s="235">
        <f t="shared" si="130"/>
        <v>1072197722.2403212</v>
      </c>
      <c r="F143" s="236">
        <v>0</v>
      </c>
      <c r="G143" s="237">
        <f t="shared" si="78"/>
        <v>1072197722.2403212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18860932.659409296</v>
      </c>
      <c r="AA143" s="236">
        <f t="shared" si="101"/>
        <v>0</v>
      </c>
      <c r="AB143" s="236">
        <f t="shared" si="102"/>
        <v>18860932.659409296</v>
      </c>
      <c r="AC143" s="236">
        <f t="shared" si="103"/>
        <v>10562122.289269201</v>
      </c>
      <c r="AD143" s="236">
        <f t="shared" si="104"/>
        <v>1508874.6127527417</v>
      </c>
      <c r="AE143" s="236">
        <f t="shared" si="105"/>
        <v>0</v>
      </c>
      <c r="AF143" s="242">
        <f t="shared" si="80"/>
        <v>49792862.220840536</v>
      </c>
      <c r="AG143" s="235">
        <f t="shared" si="106"/>
        <v>0</v>
      </c>
      <c r="AH143" s="236">
        <f t="shared" si="107"/>
        <v>0</v>
      </c>
      <c r="AI143" s="236">
        <f t="shared" si="108"/>
        <v>5789867.7000977341</v>
      </c>
      <c r="AJ143" s="236">
        <f t="shared" si="109"/>
        <v>1157973.5400195469</v>
      </c>
      <c r="AK143" s="236">
        <f t="shared" si="110"/>
        <v>0</v>
      </c>
      <c r="AL143" s="236">
        <f t="shared" si="111"/>
        <v>0</v>
      </c>
      <c r="AM143" s="242">
        <f t="shared" si="81"/>
        <v>6947841.2401172807</v>
      </c>
      <c r="AN143" s="235">
        <f t="shared" si="112"/>
        <v>60895956.997240022</v>
      </c>
      <c r="AO143" s="236">
        <f t="shared" si="113"/>
        <v>0</v>
      </c>
      <c r="AP143" s="236">
        <f t="shared" si="114"/>
        <v>30447978.498620011</v>
      </c>
      <c r="AQ143" s="236">
        <f t="shared" si="115"/>
        <v>42985381.409816541</v>
      </c>
      <c r="AR143" s="236">
        <f t="shared" si="116"/>
        <v>1791057.5587423563</v>
      </c>
      <c r="AS143" s="236">
        <f t="shared" si="82"/>
        <v>0</v>
      </c>
      <c r="AT143" s="242">
        <f t="shared" si="83"/>
        <v>136120374.46441892</v>
      </c>
      <c r="AU143" s="254">
        <v>0</v>
      </c>
      <c r="AV143" s="246">
        <f t="shared" si="84"/>
        <v>192.86107792537675</v>
      </c>
      <c r="AW143" s="257">
        <f t="shared" si="131"/>
        <v>3.4733946157037967</v>
      </c>
    </row>
    <row r="144" spans="1:49">
      <c r="A144" s="193">
        <f>'Input data'!A136</f>
        <v>2036</v>
      </c>
      <c r="B144" s="208">
        <f>'Input data'!B136</f>
        <v>69.420244147098416</v>
      </c>
      <c r="C144" s="417">
        <f>'Recycling - Case 1'!E116</f>
        <v>0.87900606060606035</v>
      </c>
      <c r="D144" s="525">
        <f>'Recycling - Case 1'!F116</f>
        <v>0.33430757575757569</v>
      </c>
      <c r="E144" s="235">
        <f t="shared" si="130"/>
        <v>1080492257.7805653</v>
      </c>
      <c r="F144" s="236">
        <v>0</v>
      </c>
      <c r="G144" s="237">
        <f t="shared" si="78"/>
        <v>1080492257.7805653</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19360456.728049964</v>
      </c>
      <c r="AA144" s="236">
        <f t="shared" si="101"/>
        <v>0</v>
      </c>
      <c r="AB144" s="236">
        <f t="shared" si="102"/>
        <v>19360456.728049964</v>
      </c>
      <c r="AC144" s="236">
        <f t="shared" si="103"/>
        <v>10841855.767707974</v>
      </c>
      <c r="AD144" s="236">
        <f t="shared" si="104"/>
        <v>1548836.5382439941</v>
      </c>
      <c r="AE144" s="236">
        <f t="shared" si="105"/>
        <v>0</v>
      </c>
      <c r="AF144" s="242">
        <f t="shared" si="80"/>
        <v>51111605.762051895</v>
      </c>
      <c r="AG144" s="235">
        <f t="shared" si="106"/>
        <v>0</v>
      </c>
      <c r="AH144" s="236">
        <f t="shared" si="107"/>
        <v>0</v>
      </c>
      <c r="AI144" s="236">
        <f t="shared" si="108"/>
        <v>5834658.1920150518</v>
      </c>
      <c r="AJ144" s="236">
        <f t="shared" si="109"/>
        <v>1166931.6384030103</v>
      </c>
      <c r="AK144" s="236">
        <f t="shared" si="110"/>
        <v>0</v>
      </c>
      <c r="AL144" s="236">
        <f t="shared" si="111"/>
        <v>0</v>
      </c>
      <c r="AM144" s="242">
        <f t="shared" si="81"/>
        <v>7001589.8304180624</v>
      </c>
      <c r="AN144" s="235">
        <f t="shared" si="112"/>
        <v>61776162.572914891</v>
      </c>
      <c r="AO144" s="236">
        <f t="shared" si="113"/>
        <v>0</v>
      </c>
      <c r="AP144" s="236">
        <f t="shared" si="114"/>
        <v>30888081.286457445</v>
      </c>
      <c r="AQ144" s="236">
        <f t="shared" si="115"/>
        <v>43606702.992645867</v>
      </c>
      <c r="AR144" s="236">
        <f t="shared" si="116"/>
        <v>1816945.9580269111</v>
      </c>
      <c r="AS144" s="236">
        <f t="shared" si="82"/>
        <v>0</v>
      </c>
      <c r="AT144" s="242">
        <f t="shared" si="83"/>
        <v>138087892.81004512</v>
      </c>
      <c r="AU144" s="254">
        <v>0</v>
      </c>
      <c r="AV144" s="246">
        <f t="shared" si="84"/>
        <v>196.2010884025151</v>
      </c>
      <c r="AW144" s="257">
        <f t="shared" si="131"/>
        <v>3.5002648416776503</v>
      </c>
    </row>
    <row r="145" spans="1:49">
      <c r="A145" s="193">
        <f>'Input data'!A137</f>
        <v>2037</v>
      </c>
      <c r="B145" s="208">
        <f>'Input data'!B137</f>
        <v>69.940438284968707</v>
      </c>
      <c r="C145" s="417">
        <f>'Recycling - Case 1'!E117</f>
        <v>0.88764848484848458</v>
      </c>
      <c r="D145" s="525">
        <f>'Recycling - Case 1'!F117</f>
        <v>0.33666060606060599</v>
      </c>
      <c r="E145" s="235">
        <f t="shared" si="130"/>
        <v>1088588825.941874</v>
      </c>
      <c r="F145" s="236">
        <v>0</v>
      </c>
      <c r="G145" s="237">
        <f t="shared" si="78"/>
        <v>1088588825.941874</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19861797.942412205</v>
      </c>
      <c r="AA145" s="236">
        <f t="shared" si="101"/>
        <v>0</v>
      </c>
      <c r="AB145" s="236">
        <f t="shared" si="102"/>
        <v>19861797.942412205</v>
      </c>
      <c r="AC145" s="236">
        <f t="shared" si="103"/>
        <v>11122606.84775083</v>
      </c>
      <c r="AD145" s="236">
        <f t="shared" si="104"/>
        <v>1588943.8353929739</v>
      </c>
      <c r="AE145" s="236">
        <f t="shared" si="105"/>
        <v>0</v>
      </c>
      <c r="AF145" s="242">
        <f t="shared" si="80"/>
        <v>52435146.567968212</v>
      </c>
      <c r="AG145" s="235">
        <f t="shared" si="106"/>
        <v>0</v>
      </c>
      <c r="AH145" s="236">
        <f t="shared" si="107"/>
        <v>0</v>
      </c>
      <c r="AI145" s="236">
        <f t="shared" si="108"/>
        <v>5878379.6600861186</v>
      </c>
      <c r="AJ145" s="236">
        <f t="shared" si="109"/>
        <v>1175675.9320172237</v>
      </c>
      <c r="AK145" s="236">
        <f t="shared" si="110"/>
        <v>0</v>
      </c>
      <c r="AL145" s="236">
        <f t="shared" si="111"/>
        <v>0</v>
      </c>
      <c r="AM145" s="242">
        <f t="shared" si="81"/>
        <v>7054055.5921033425</v>
      </c>
      <c r="AN145" s="235">
        <f t="shared" si="112"/>
        <v>62651255.811571024</v>
      </c>
      <c r="AO145" s="236">
        <f t="shared" si="113"/>
        <v>0</v>
      </c>
      <c r="AP145" s="236">
        <f t="shared" si="114"/>
        <v>31325627.905785512</v>
      </c>
      <c r="AQ145" s="236">
        <f t="shared" si="115"/>
        <v>44224415.866991363</v>
      </c>
      <c r="AR145" s="236">
        <f t="shared" si="116"/>
        <v>1842683.9944579739</v>
      </c>
      <c r="AS145" s="236">
        <f t="shared" si="82"/>
        <v>0</v>
      </c>
      <c r="AT145" s="242">
        <f t="shared" si="83"/>
        <v>140043983.57880586</v>
      </c>
      <c r="AU145" s="254">
        <v>0</v>
      </c>
      <c r="AV145" s="246">
        <f t="shared" si="84"/>
        <v>199.53318573887742</v>
      </c>
      <c r="AW145" s="257">
        <f t="shared" si="131"/>
        <v>3.5264937504636227</v>
      </c>
    </row>
    <row r="146" spans="1:49">
      <c r="A146" s="193">
        <f>'Input data'!A138</f>
        <v>2038</v>
      </c>
      <c r="B146" s="208">
        <f>'Input data'!B138</f>
        <v>70.447562472153166</v>
      </c>
      <c r="C146" s="417">
        <f>'Recycling - Case 1'!E118</f>
        <v>0.89629090909090881</v>
      </c>
      <c r="D146" s="525">
        <f>'Recycling - Case 1'!F118</f>
        <v>0.33901363636363629</v>
      </c>
      <c r="E146" s="235">
        <f t="shared" si="130"/>
        <v>1096481966.692359</v>
      </c>
      <c r="F146" s="236">
        <v>0</v>
      </c>
      <c r="G146" s="237">
        <f t="shared" si="78"/>
        <v>1096481966.692359</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20364660.526840828</v>
      </c>
      <c r="AA146" s="236">
        <f t="shared" si="101"/>
        <v>0</v>
      </c>
      <c r="AB146" s="236">
        <f t="shared" si="102"/>
        <v>20364660.526840828</v>
      </c>
      <c r="AC146" s="236">
        <f t="shared" si="103"/>
        <v>11404209.895030858</v>
      </c>
      <c r="AD146" s="236">
        <f t="shared" si="104"/>
        <v>1629172.8421472632</v>
      </c>
      <c r="AE146" s="236">
        <f t="shared" si="105"/>
        <v>0</v>
      </c>
      <c r="AF146" s="242">
        <f t="shared" si="80"/>
        <v>53762703.790859774</v>
      </c>
      <c r="AG146" s="235">
        <f t="shared" si="106"/>
        <v>0</v>
      </c>
      <c r="AH146" s="236">
        <f t="shared" si="107"/>
        <v>0</v>
      </c>
      <c r="AI146" s="236">
        <f t="shared" si="108"/>
        <v>5921002.6201387383</v>
      </c>
      <c r="AJ146" s="236">
        <f t="shared" si="109"/>
        <v>1184200.5240277476</v>
      </c>
      <c r="AK146" s="236">
        <f t="shared" si="110"/>
        <v>0</v>
      </c>
      <c r="AL146" s="236">
        <f t="shared" si="111"/>
        <v>0</v>
      </c>
      <c r="AM146" s="242">
        <f t="shared" si="81"/>
        <v>7105203.1441664863</v>
      </c>
      <c r="AN146" s="235">
        <f t="shared" si="112"/>
        <v>63520695.533170171</v>
      </c>
      <c r="AO146" s="236">
        <f t="shared" si="113"/>
        <v>0</v>
      </c>
      <c r="AP146" s="236">
        <f t="shared" si="114"/>
        <v>31760347.766585086</v>
      </c>
      <c r="AQ146" s="236">
        <f t="shared" si="115"/>
        <v>44838138.023414299</v>
      </c>
      <c r="AR146" s="236">
        <f t="shared" si="116"/>
        <v>1868255.750975596</v>
      </c>
      <c r="AS146" s="236">
        <f t="shared" si="82"/>
        <v>0</v>
      </c>
      <c r="AT146" s="242">
        <f t="shared" si="83"/>
        <v>141987437.07414517</v>
      </c>
      <c r="AU146" s="254">
        <v>0</v>
      </c>
      <c r="AV146" s="246">
        <f t="shared" si="84"/>
        <v>202.85534400917143</v>
      </c>
      <c r="AW146" s="257">
        <f t="shared" si="131"/>
        <v>3.5520636542370059</v>
      </c>
    </row>
    <row r="147" spans="1:49">
      <c r="A147" s="193">
        <f>'Input data'!A139</f>
        <v>2039</v>
      </c>
      <c r="B147" s="208">
        <f>'Input data'!B139</f>
        <v>70.942722252264574</v>
      </c>
      <c r="C147" s="417">
        <f>'Recycling - Case 1'!E119</f>
        <v>0.90493333333333303</v>
      </c>
      <c r="D147" s="525">
        <f>'Recycling - Case 1'!F119</f>
        <v>0.3413666666666666</v>
      </c>
      <c r="E147" s="235">
        <f t="shared" si="130"/>
        <v>1104188887.2794001</v>
      </c>
      <c r="F147" s="236">
        <v>0</v>
      </c>
      <c r="G147" s="237">
        <f t="shared" si="78"/>
        <v>1104188887.2794001</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20869169.969580676</v>
      </c>
      <c r="AA147" s="236">
        <f t="shared" si="101"/>
        <v>0</v>
      </c>
      <c r="AB147" s="236">
        <f t="shared" si="102"/>
        <v>20869169.969580676</v>
      </c>
      <c r="AC147" s="236">
        <f t="shared" si="103"/>
        <v>11686735.182965174</v>
      </c>
      <c r="AD147" s="236">
        <f t="shared" si="104"/>
        <v>1669533.5975664509</v>
      </c>
      <c r="AE147" s="236">
        <f t="shared" si="105"/>
        <v>0</v>
      </c>
      <c r="AF147" s="242">
        <f t="shared" si="80"/>
        <v>55094608.719692975</v>
      </c>
      <c r="AG147" s="235">
        <f t="shared" si="106"/>
        <v>0</v>
      </c>
      <c r="AH147" s="236">
        <f t="shared" si="107"/>
        <v>0</v>
      </c>
      <c r="AI147" s="236">
        <f t="shared" si="108"/>
        <v>5962619.9913087599</v>
      </c>
      <c r="AJ147" s="236">
        <f t="shared" si="109"/>
        <v>1192523.9982617518</v>
      </c>
      <c r="AK147" s="236">
        <f t="shared" si="110"/>
        <v>0</v>
      </c>
      <c r="AL147" s="236">
        <f t="shared" si="111"/>
        <v>0</v>
      </c>
      <c r="AM147" s="242">
        <f t="shared" si="81"/>
        <v>7155143.9895705115</v>
      </c>
      <c r="AN147" s="235">
        <f t="shared" si="112"/>
        <v>64385254.017261781</v>
      </c>
      <c r="AO147" s="236">
        <f t="shared" si="113"/>
        <v>0</v>
      </c>
      <c r="AP147" s="236">
        <f t="shared" si="114"/>
        <v>32192627.00863089</v>
      </c>
      <c r="AQ147" s="236">
        <f t="shared" si="115"/>
        <v>45448414.600420147</v>
      </c>
      <c r="AR147" s="236">
        <f t="shared" si="116"/>
        <v>1893683.941684173</v>
      </c>
      <c r="AS147" s="236">
        <f t="shared" si="82"/>
        <v>0</v>
      </c>
      <c r="AT147" s="242">
        <f t="shared" si="83"/>
        <v>143919979.56799701</v>
      </c>
      <c r="AU147" s="254">
        <v>0</v>
      </c>
      <c r="AV147" s="246">
        <f t="shared" si="84"/>
        <v>206.16973227726049</v>
      </c>
      <c r="AW147" s="257">
        <f t="shared" si="131"/>
        <v>3.5770302960376927</v>
      </c>
    </row>
    <row r="148" spans="1:49">
      <c r="A148" s="193">
        <f>'Input data'!A140</f>
        <v>2040</v>
      </c>
      <c r="B148" s="208">
        <f>'Input data'!B140</f>
        <v>71.425610993241406</v>
      </c>
      <c r="C148" s="417">
        <f>'Recycling - Case 1'!E120</f>
        <v>0.91357575757575726</v>
      </c>
      <c r="D148" s="525">
        <f>'Recycling - Case 1'!F120</f>
        <v>0.3437196969696969</v>
      </c>
      <c r="E148" s="235">
        <f t="shared" si="130"/>
        <v>1111704815.1244435</v>
      </c>
      <c r="F148" s="236">
        <v>0</v>
      </c>
      <c r="G148" s="237">
        <f t="shared" si="78"/>
        <v>1111704815.1244435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21375051.672619998</v>
      </c>
      <c r="AA148" s="236">
        <f t="shared" si="101"/>
        <v>0</v>
      </c>
      <c r="AB148" s="236">
        <f t="shared" si="102"/>
        <v>21375051.672619998</v>
      </c>
      <c r="AC148" s="236">
        <f t="shared" si="103"/>
        <v>11970028.936667193</v>
      </c>
      <c r="AD148" s="236">
        <f t="shared" si="104"/>
        <v>1710004.1338095965</v>
      </c>
      <c r="AE148" s="236">
        <f t="shared" si="105"/>
        <v>0</v>
      </c>
      <c r="AF148" s="242">
        <f t="shared" si="80"/>
        <v>56430136.415716782</v>
      </c>
      <c r="AG148" s="235">
        <f t="shared" si="106"/>
        <v>0</v>
      </c>
      <c r="AH148" s="236">
        <f t="shared" si="107"/>
        <v>0</v>
      </c>
      <c r="AI148" s="236">
        <f t="shared" si="108"/>
        <v>6003206.001671995</v>
      </c>
      <c r="AJ148" s="236">
        <f t="shared" si="109"/>
        <v>1200641.2003343988</v>
      </c>
      <c r="AK148" s="236">
        <f t="shared" si="110"/>
        <v>0</v>
      </c>
      <c r="AL148" s="236">
        <f t="shared" si="111"/>
        <v>0</v>
      </c>
      <c r="AM148" s="242">
        <f t="shared" si="81"/>
        <v>7203847.202006394</v>
      </c>
      <c r="AN148" s="235">
        <f t="shared" si="112"/>
        <v>65244439.638542011</v>
      </c>
      <c r="AO148" s="236">
        <f t="shared" si="113"/>
        <v>0</v>
      </c>
      <c r="AP148" s="236">
        <f t="shared" si="114"/>
        <v>32622219.819271006</v>
      </c>
      <c r="AQ148" s="236">
        <f t="shared" si="115"/>
        <v>46054898.568382673</v>
      </c>
      <c r="AR148" s="236">
        <f t="shared" si="116"/>
        <v>1918954.1070159448</v>
      </c>
      <c r="AS148" s="236">
        <f t="shared" si="82"/>
        <v>0</v>
      </c>
      <c r="AT148" s="242">
        <f t="shared" si="83"/>
        <v>145840512.13321164</v>
      </c>
      <c r="AU148" s="254">
        <v>0</v>
      </c>
      <c r="AV148" s="246">
        <f t="shared" si="84"/>
        <v>209.47449575093481</v>
      </c>
      <c r="AW148" s="257">
        <f t="shared" si="131"/>
        <v>3.6013782150525211</v>
      </c>
    </row>
    <row r="149" spans="1:49">
      <c r="A149" s="193">
        <f>'Input data'!A141</f>
        <v>2041</v>
      </c>
      <c r="B149" s="208">
        <f>'Input data'!B141</f>
        <v>71.895928013305991</v>
      </c>
      <c r="C149" s="417">
        <f>'Recycling - Case 1'!E121</f>
        <v>0.92221818181818149</v>
      </c>
      <c r="D149" s="525">
        <f>'Recycling - Case 1'!F121</f>
        <v>0.3460727272727272</v>
      </c>
      <c r="E149" s="235">
        <f t="shared" si="130"/>
        <v>1119025070.2622013</v>
      </c>
      <c r="F149" s="236">
        <v>0</v>
      </c>
      <c r="G149" s="237">
        <f t="shared" si="78"/>
        <v>1119025070.2622013</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21882026.601218153</v>
      </c>
      <c r="AA149" s="236">
        <f t="shared" si="101"/>
        <v>0</v>
      </c>
      <c r="AB149" s="236">
        <f t="shared" si="102"/>
        <v>21882026.601218153</v>
      </c>
      <c r="AC149" s="236">
        <f t="shared" si="103"/>
        <v>12253934.896682158</v>
      </c>
      <c r="AD149" s="236">
        <f t="shared" si="104"/>
        <v>1750562.1280974492</v>
      </c>
      <c r="AE149" s="236">
        <f t="shared" si="105"/>
        <v>0</v>
      </c>
      <c r="AF149" s="242">
        <f t="shared" si="80"/>
        <v>57768550.227215916</v>
      </c>
      <c r="AG149" s="235">
        <f t="shared" si="106"/>
        <v>0</v>
      </c>
      <c r="AH149" s="236">
        <f t="shared" si="107"/>
        <v>0</v>
      </c>
      <c r="AI149" s="236">
        <f t="shared" si="108"/>
        <v>6042735.3794158865</v>
      </c>
      <c r="AJ149" s="236">
        <f t="shared" si="109"/>
        <v>1208547.0758831771</v>
      </c>
      <c r="AK149" s="236">
        <f t="shared" si="110"/>
        <v>0</v>
      </c>
      <c r="AL149" s="236">
        <f t="shared" si="111"/>
        <v>0</v>
      </c>
      <c r="AM149" s="242">
        <f t="shared" si="81"/>
        <v>7251282.4552990636</v>
      </c>
      <c r="AN149" s="235">
        <f t="shared" si="112"/>
        <v>66097759.013832934</v>
      </c>
      <c r="AO149" s="236">
        <f t="shared" si="113"/>
        <v>0</v>
      </c>
      <c r="AP149" s="236">
        <f t="shared" si="114"/>
        <v>33048879.506916467</v>
      </c>
      <c r="AQ149" s="236">
        <f t="shared" si="115"/>
        <v>46657241.656823322</v>
      </c>
      <c r="AR149" s="236">
        <f t="shared" si="116"/>
        <v>1944051.7357009717</v>
      </c>
      <c r="AS149" s="236">
        <f t="shared" si="82"/>
        <v>0</v>
      </c>
      <c r="AT149" s="242">
        <f t="shared" si="83"/>
        <v>147747931.91327369</v>
      </c>
      <c r="AU149" s="254">
        <v>0</v>
      </c>
      <c r="AV149" s="246">
        <f t="shared" si="84"/>
        <v>212.76776459578866</v>
      </c>
      <c r="AW149" s="257">
        <f t="shared" si="131"/>
        <v>3.6250922504898839</v>
      </c>
    </row>
    <row r="150" spans="1:49">
      <c r="A150" s="193">
        <f>'Input data'!A142</f>
        <v>2042</v>
      </c>
      <c r="B150" s="208">
        <f>'Input data'!B142</f>
        <v>72.353378891150228</v>
      </c>
      <c r="C150" s="417">
        <f>'Recycling - Case 1'!E122</f>
        <v>0.93086060606060572</v>
      </c>
      <c r="D150" s="525">
        <f>'Recycling - Case 1'!F122</f>
        <v>0.3484257575757575</v>
      </c>
      <c r="E150" s="235">
        <f t="shared" si="130"/>
        <v>1126145070.1685441</v>
      </c>
      <c r="F150" s="236">
        <v>0</v>
      </c>
      <c r="G150" s="237">
        <f t="shared" si="78"/>
        <v>1126145070.1685441</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22389811.53144189</v>
      </c>
      <c r="AA150" s="236">
        <f t="shared" si="101"/>
        <v>0</v>
      </c>
      <c r="AB150" s="236">
        <f t="shared" si="102"/>
        <v>22389811.53144189</v>
      </c>
      <c r="AC150" s="236">
        <f t="shared" si="103"/>
        <v>12538294.45760745</v>
      </c>
      <c r="AD150" s="236">
        <f t="shared" si="104"/>
        <v>1791184.9225153476</v>
      </c>
      <c r="AE150" s="236">
        <f t="shared" si="105"/>
        <v>0</v>
      </c>
      <c r="AF150" s="242">
        <f t="shared" si="80"/>
        <v>59109102.443006575</v>
      </c>
      <c r="AG150" s="235">
        <f t="shared" si="106"/>
        <v>0</v>
      </c>
      <c r="AH150" s="236">
        <f t="shared" si="107"/>
        <v>0</v>
      </c>
      <c r="AI150" s="236">
        <f t="shared" si="108"/>
        <v>6081183.3789101373</v>
      </c>
      <c r="AJ150" s="236">
        <f t="shared" si="109"/>
        <v>1216236.6757820274</v>
      </c>
      <c r="AK150" s="236">
        <f t="shared" si="110"/>
        <v>0</v>
      </c>
      <c r="AL150" s="236">
        <f t="shared" si="111"/>
        <v>0</v>
      </c>
      <c r="AM150" s="242">
        <f t="shared" si="81"/>
        <v>7297420.054692165</v>
      </c>
      <c r="AN150" s="235">
        <f t="shared" si="112"/>
        <v>66944717.464414664</v>
      </c>
      <c r="AO150" s="236">
        <f t="shared" si="113"/>
        <v>0</v>
      </c>
      <c r="AP150" s="236">
        <f t="shared" si="114"/>
        <v>33472358.732207332</v>
      </c>
      <c r="AQ150" s="236">
        <f t="shared" si="115"/>
        <v>47255094.680763364</v>
      </c>
      <c r="AR150" s="236">
        <f t="shared" si="116"/>
        <v>1968962.2783651405</v>
      </c>
      <c r="AS150" s="236">
        <f t="shared" si="82"/>
        <v>0</v>
      </c>
      <c r="AT150" s="242">
        <f t="shared" si="83"/>
        <v>149641133.15575051</v>
      </c>
      <c r="AU150" s="254">
        <v>0</v>
      </c>
      <c r="AV150" s="246">
        <f t="shared" si="84"/>
        <v>216.04765565344923</v>
      </c>
      <c r="AW150" s="257">
        <f t="shared" si="131"/>
        <v>3.6481575572197178</v>
      </c>
    </row>
    <row r="151" spans="1:49">
      <c r="A151" s="193">
        <f>'Input data'!A143</f>
        <v>2043</v>
      </c>
      <c r="B151" s="208">
        <f>'Input data'!B143</f>
        <v>72.797675771420302</v>
      </c>
      <c r="C151" s="417">
        <f>'Recycling - Case 1'!E123</f>
        <v>0.93950303030302995</v>
      </c>
      <c r="D151" s="525">
        <f>'Recycling - Case 1'!F123</f>
        <v>0.3507787878787878</v>
      </c>
      <c r="E151" s="235">
        <f t="shared" si="130"/>
        <v>1133060334.5152185</v>
      </c>
      <c r="F151" s="236">
        <v>0</v>
      </c>
      <c r="G151" s="237">
        <f t="shared" si="78"/>
        <v>1133060334.5152185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22898119.305703025</v>
      </c>
      <c r="AA151" s="236">
        <f t="shared" si="101"/>
        <v>0</v>
      </c>
      <c r="AB151" s="236">
        <f t="shared" si="102"/>
        <v>22898119.305703025</v>
      </c>
      <c r="AC151" s="236">
        <f t="shared" si="103"/>
        <v>12822946.811193686</v>
      </c>
      <c r="AD151" s="236">
        <f t="shared" si="104"/>
        <v>1831849.5444562386</v>
      </c>
      <c r="AE151" s="236">
        <f t="shared" si="105"/>
        <v>0</v>
      </c>
      <c r="AF151" s="242">
        <f t="shared" si="80"/>
        <v>60451034.967055969</v>
      </c>
      <c r="AG151" s="235">
        <f t="shared" si="106"/>
        <v>0</v>
      </c>
      <c r="AH151" s="236">
        <f t="shared" si="107"/>
        <v>0</v>
      </c>
      <c r="AI151" s="236">
        <f t="shared" si="108"/>
        <v>6118525.8063821793</v>
      </c>
      <c r="AJ151" s="236">
        <f t="shared" si="109"/>
        <v>1223705.1612764357</v>
      </c>
      <c r="AK151" s="236">
        <f t="shared" si="110"/>
        <v>0</v>
      </c>
      <c r="AL151" s="236">
        <f t="shared" si="111"/>
        <v>0</v>
      </c>
      <c r="AM151" s="242">
        <f t="shared" si="81"/>
        <v>7342230.9676586147</v>
      </c>
      <c r="AN151" s="235">
        <f t="shared" si="112"/>
        <v>67784819.484948114</v>
      </c>
      <c r="AO151" s="236">
        <f t="shared" si="113"/>
        <v>0</v>
      </c>
      <c r="AP151" s="236">
        <f t="shared" si="114"/>
        <v>33892409.742474057</v>
      </c>
      <c r="AQ151" s="236">
        <f t="shared" si="115"/>
        <v>47848107.871728159</v>
      </c>
      <c r="AR151" s="236">
        <f t="shared" si="116"/>
        <v>1993671.161322007</v>
      </c>
      <c r="AS151" s="236">
        <f t="shared" si="82"/>
        <v>0</v>
      </c>
      <c r="AT151" s="242">
        <f t="shared" si="83"/>
        <v>151519008.26047233</v>
      </c>
      <c r="AU151" s="254">
        <v>0</v>
      </c>
      <c r="AV151" s="246">
        <f t="shared" si="84"/>
        <v>219.31227419518692</v>
      </c>
      <c r="AW151" s="257">
        <f t="shared" si="131"/>
        <v>3.6705596211764653</v>
      </c>
    </row>
    <row r="152" spans="1:49">
      <c r="A152" s="193">
        <f>'Input data'!A144</f>
        <v>2044</v>
      </c>
      <c r="B152" s="208">
        <f>'Input data'!B144</f>
        <v>73.228597899236789</v>
      </c>
      <c r="C152" s="417">
        <f>'Recycling - Case 1'!E124</f>
        <v>0.94814545454545418</v>
      </c>
      <c r="D152" s="525">
        <f>'Recycling - Case 1'!F124</f>
        <v>0.3531318181818181</v>
      </c>
      <c r="E152" s="235">
        <f t="shared" si="130"/>
        <v>1139767427.3601449</v>
      </c>
      <c r="F152" s="236">
        <v>0</v>
      </c>
      <c r="G152" s="237">
        <f t="shared" si="78"/>
        <v>1139767427.3601449</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23406678.349150628</v>
      </c>
      <c r="AA152" s="236">
        <f t="shared" si="101"/>
        <v>0</v>
      </c>
      <c r="AB152" s="236">
        <f t="shared" si="102"/>
        <v>23406678.349150628</v>
      </c>
      <c r="AC152" s="236">
        <f t="shared" si="103"/>
        <v>13107739.875524346</v>
      </c>
      <c r="AD152" s="236">
        <f t="shared" si="104"/>
        <v>1872534.2679320464</v>
      </c>
      <c r="AE152" s="236">
        <f t="shared" si="105"/>
        <v>0</v>
      </c>
      <c r="AF152" s="242">
        <f t="shared" si="80"/>
        <v>61793630.841757648</v>
      </c>
      <c r="AG152" s="235">
        <f t="shared" si="106"/>
        <v>0</v>
      </c>
      <c r="AH152" s="236">
        <f t="shared" si="107"/>
        <v>0</v>
      </c>
      <c r="AI152" s="236">
        <f t="shared" si="108"/>
        <v>6154744.1077447813</v>
      </c>
      <c r="AJ152" s="236">
        <f t="shared" si="109"/>
        <v>1230948.8215489562</v>
      </c>
      <c r="AK152" s="236">
        <f t="shared" si="110"/>
        <v>0</v>
      </c>
      <c r="AL152" s="236">
        <f t="shared" si="111"/>
        <v>0</v>
      </c>
      <c r="AM152" s="242">
        <f t="shared" si="81"/>
        <v>7385692.9292937377</v>
      </c>
      <c r="AN152" s="235">
        <f t="shared" si="112"/>
        <v>68617625.659804091</v>
      </c>
      <c r="AO152" s="236">
        <f t="shared" si="113"/>
        <v>0</v>
      </c>
      <c r="AP152" s="236">
        <f t="shared" si="114"/>
        <v>34308812.829902045</v>
      </c>
      <c r="AQ152" s="236">
        <f t="shared" si="115"/>
        <v>48435971.053979442</v>
      </c>
      <c r="AR152" s="236">
        <f t="shared" si="116"/>
        <v>2018165.4605824768</v>
      </c>
      <c r="AS152" s="236">
        <f t="shared" si="82"/>
        <v>0</v>
      </c>
      <c r="AT152" s="242">
        <f t="shared" si="83"/>
        <v>153380575.00426802</v>
      </c>
      <c r="AU152" s="254">
        <v>0</v>
      </c>
      <c r="AV152" s="246">
        <f t="shared" si="84"/>
        <v>222.5598987753194</v>
      </c>
      <c r="AW152" s="257">
        <f t="shared" si="131"/>
        <v>3.6922873115934127</v>
      </c>
    </row>
    <row r="153" spans="1:49">
      <c r="A153" s="193">
        <f>'Input data'!A145</f>
        <v>2045</v>
      </c>
      <c r="B153" s="208">
        <f>'Input data'!B145</f>
        <v>73.645872502840064</v>
      </c>
      <c r="C153" s="417">
        <f>'Recycling - Case 1'!E125</f>
        <v>0.95678787878787841</v>
      </c>
      <c r="D153" s="525">
        <f>'Recycling - Case 1'!F125</f>
        <v>0.3554848484848484</v>
      </c>
      <c r="E153" s="235">
        <f t="shared" si="130"/>
        <v>1146262103.1438606</v>
      </c>
      <c r="F153" s="236">
        <v>0</v>
      </c>
      <c r="G153" s="237">
        <f t="shared" si="78"/>
        <v>1146262103.1438606</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23915195.697410565</v>
      </c>
      <c r="AA153" s="236">
        <f t="shared" si="101"/>
        <v>0</v>
      </c>
      <c r="AB153" s="236">
        <f t="shared" si="102"/>
        <v>23915195.697410565</v>
      </c>
      <c r="AC153" s="236">
        <f t="shared" si="103"/>
        <v>13392509.590549909</v>
      </c>
      <c r="AD153" s="236">
        <f t="shared" si="104"/>
        <v>1913215.6557928415</v>
      </c>
      <c r="AE153" s="236">
        <f t="shared" si="105"/>
        <v>0</v>
      </c>
      <c r="AF153" s="242">
        <f t="shared" si="80"/>
        <v>63136116.641163878</v>
      </c>
      <c r="AG153" s="235">
        <f t="shared" si="106"/>
        <v>0</v>
      </c>
      <c r="AH153" s="236">
        <f t="shared" si="107"/>
        <v>0</v>
      </c>
      <c r="AI153" s="236">
        <f t="shared" si="108"/>
        <v>6189815.3569768472</v>
      </c>
      <c r="AJ153" s="236">
        <f t="shared" si="109"/>
        <v>1237963.0713953692</v>
      </c>
      <c r="AK153" s="236">
        <f t="shared" si="110"/>
        <v>0</v>
      </c>
      <c r="AL153" s="236">
        <f t="shared" si="111"/>
        <v>0</v>
      </c>
      <c r="AM153" s="242">
        <f t="shared" si="81"/>
        <v>7427778.4283722164</v>
      </c>
      <c r="AN153" s="235">
        <f t="shared" si="112"/>
        <v>69442642.321369827</v>
      </c>
      <c r="AO153" s="236">
        <f t="shared" si="113"/>
        <v>0</v>
      </c>
      <c r="AP153" s="236">
        <f t="shared" si="114"/>
        <v>34721321.160684913</v>
      </c>
      <c r="AQ153" s="236">
        <f t="shared" si="115"/>
        <v>49018335.75626114</v>
      </c>
      <c r="AR153" s="236">
        <f t="shared" si="116"/>
        <v>2042430.6565108811</v>
      </c>
      <c r="AS153" s="236">
        <f t="shared" si="82"/>
        <v>0</v>
      </c>
      <c r="AT153" s="242">
        <f t="shared" si="83"/>
        <v>155224729.89482677</v>
      </c>
      <c r="AU153" s="254">
        <v>0</v>
      </c>
      <c r="AV153" s="246">
        <f t="shared" si="84"/>
        <v>225.78862496436287</v>
      </c>
      <c r="AW153" s="257">
        <f t="shared" si="131"/>
        <v>3.7133268749407069</v>
      </c>
    </row>
    <row r="154" spans="1:49">
      <c r="A154" s="193">
        <f>'Input data'!A146</f>
        <v>2046</v>
      </c>
      <c r="B154" s="208">
        <f>'Input data'!B146</f>
        <v>74.049234192071822</v>
      </c>
      <c r="C154" s="417">
        <f>'Recycling - Case 1'!E126</f>
        <v>0.96543030303030264</v>
      </c>
      <c r="D154" s="525">
        <f>'Recycling - Case 1'!F126</f>
        <v>0.3578378787878787</v>
      </c>
      <c r="E154" s="235">
        <f t="shared" si="130"/>
        <v>1152540231.1979294</v>
      </c>
      <c r="F154" s="236">
        <v>0</v>
      </c>
      <c r="G154" s="237">
        <f t="shared" si="78"/>
        <v>1152540231.1979294</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24423375.262930691</v>
      </c>
      <c r="AA154" s="236">
        <f t="shared" si="101"/>
        <v>0</v>
      </c>
      <c r="AB154" s="236">
        <f t="shared" si="102"/>
        <v>24423375.262930691</v>
      </c>
      <c r="AC154" s="236">
        <f t="shared" si="103"/>
        <v>13677090.147241175</v>
      </c>
      <c r="AD154" s="236">
        <f t="shared" si="104"/>
        <v>1953870.021034451</v>
      </c>
      <c r="AE154" s="236">
        <f t="shared" si="105"/>
        <v>0</v>
      </c>
      <c r="AF154" s="242">
        <f t="shared" si="80"/>
        <v>64477710.694137007</v>
      </c>
      <c r="AG154" s="235">
        <f t="shared" si="106"/>
        <v>0</v>
      </c>
      <c r="AH154" s="236">
        <f t="shared" si="107"/>
        <v>0</v>
      </c>
      <c r="AI154" s="236">
        <f t="shared" si="108"/>
        <v>6223717.2484688181</v>
      </c>
      <c r="AJ154" s="236">
        <f t="shared" si="109"/>
        <v>1244743.4496937634</v>
      </c>
      <c r="AK154" s="236">
        <f t="shared" si="110"/>
        <v>0</v>
      </c>
      <c r="AL154" s="236">
        <f t="shared" si="111"/>
        <v>0</v>
      </c>
      <c r="AM154" s="242">
        <f t="shared" si="81"/>
        <v>7468460.6981625818</v>
      </c>
      <c r="AN154" s="235">
        <f t="shared" si="112"/>
        <v>70259376.375748992</v>
      </c>
      <c r="AO154" s="236">
        <f t="shared" si="113"/>
        <v>0</v>
      </c>
      <c r="AP154" s="236">
        <f t="shared" si="114"/>
        <v>35129688.187874496</v>
      </c>
      <c r="AQ154" s="236">
        <f t="shared" si="115"/>
        <v>49594853.912293501</v>
      </c>
      <c r="AR154" s="236">
        <f t="shared" si="116"/>
        <v>2066452.2463455624</v>
      </c>
      <c r="AS154" s="236">
        <f t="shared" si="82"/>
        <v>0</v>
      </c>
      <c r="AT154" s="242">
        <f t="shared" si="83"/>
        <v>157050370.72226253</v>
      </c>
      <c r="AU154" s="254">
        <v>0</v>
      </c>
      <c r="AV154" s="246">
        <f t="shared" si="84"/>
        <v>228.99654211456212</v>
      </c>
      <c r="AW154" s="257">
        <f t="shared" si="131"/>
        <v>3.7336649298790605</v>
      </c>
    </row>
    <row r="155" spans="1:49">
      <c r="A155" s="193">
        <f>'Input data'!A147</f>
        <v>2047</v>
      </c>
      <c r="B155" s="208">
        <f>'Input data'!B147</f>
        <v>74.438425238522782</v>
      </c>
      <c r="C155" s="417">
        <f>'Recycling - Case 1'!E127</f>
        <v>0.97407272727272687</v>
      </c>
      <c r="D155" s="525">
        <f>'Recycling - Case 1'!F127</f>
        <v>0.36019090909090901</v>
      </c>
      <c r="E155" s="235">
        <f t="shared" si="130"/>
        <v>1158597800.1053035</v>
      </c>
      <c r="F155" s="236">
        <v>0</v>
      </c>
      <c r="G155" s="237">
        <f t="shared" si="78"/>
        <v>1158597800.1053035</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24930918.116811417</v>
      </c>
      <c r="AA155" s="236">
        <f t="shared" si="101"/>
        <v>0</v>
      </c>
      <c r="AB155" s="236">
        <f t="shared" si="102"/>
        <v>24930918.116811417</v>
      </c>
      <c r="AC155" s="236">
        <f t="shared" si="103"/>
        <v>13961314.145414382</v>
      </c>
      <c r="AD155" s="236">
        <f t="shared" si="104"/>
        <v>1994473.4493449086</v>
      </c>
      <c r="AE155" s="236">
        <f t="shared" si="105"/>
        <v>0</v>
      </c>
      <c r="AF155" s="242">
        <f t="shared" si="80"/>
        <v>65817623.828382127</v>
      </c>
      <c r="AG155" s="235">
        <f t="shared" si="106"/>
        <v>0</v>
      </c>
      <c r="AH155" s="236">
        <f t="shared" si="107"/>
        <v>0</v>
      </c>
      <c r="AI155" s="236">
        <f t="shared" si="108"/>
        <v>6256428.1205686387</v>
      </c>
      <c r="AJ155" s="236">
        <f t="shared" si="109"/>
        <v>1251285.6241137278</v>
      </c>
      <c r="AK155" s="236">
        <f t="shared" si="110"/>
        <v>0</v>
      </c>
      <c r="AL155" s="236">
        <f t="shared" si="111"/>
        <v>0</v>
      </c>
      <c r="AM155" s="242">
        <f t="shared" si="81"/>
        <v>7507713.744682366</v>
      </c>
      <c r="AN155" s="235">
        <f t="shared" si="112"/>
        <v>71067335.787731886</v>
      </c>
      <c r="AO155" s="236">
        <f t="shared" si="113"/>
        <v>0</v>
      </c>
      <c r="AP155" s="236">
        <f t="shared" si="114"/>
        <v>35533667.893865943</v>
      </c>
      <c r="AQ155" s="236">
        <f t="shared" si="115"/>
        <v>50165178.203104958</v>
      </c>
      <c r="AR155" s="236">
        <f t="shared" si="116"/>
        <v>2090215.7584627066</v>
      </c>
      <c r="AS155" s="236">
        <f t="shared" si="82"/>
        <v>0</v>
      </c>
      <c r="AT155" s="242">
        <f t="shared" si="83"/>
        <v>158856397.6431655</v>
      </c>
      <c r="AU155" s="254">
        <v>0</v>
      </c>
      <c r="AV155" s="246">
        <f t="shared" si="84"/>
        <v>232.18173521622998</v>
      </c>
      <c r="AW155" s="257">
        <f t="shared" si="131"/>
        <v>3.753288481385181</v>
      </c>
    </row>
    <row r="156" spans="1:49">
      <c r="A156" s="193">
        <f>'Input data'!A148</f>
        <v>2048</v>
      </c>
      <c r="B156" s="208">
        <f>'Input data'!B148</f>
        <v>74.813195848926668</v>
      </c>
      <c r="C156" s="417">
        <f>'Recycling - Case 1'!E128</f>
        <v>0.9827151515151511</v>
      </c>
      <c r="D156" s="525">
        <f>'Recycling - Case 1'!F128</f>
        <v>0.36254393939393931</v>
      </c>
      <c r="E156" s="235">
        <f t="shared" si="130"/>
        <v>1164430921.9555674</v>
      </c>
      <c r="F156" s="236">
        <v>0</v>
      </c>
      <c r="G156" s="237">
        <f t="shared" si="78"/>
        <v>1164430921.9555674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25437522.776902102</v>
      </c>
      <c r="AA156" s="236">
        <f t="shared" si="101"/>
        <v>0</v>
      </c>
      <c r="AB156" s="236">
        <f t="shared" si="102"/>
        <v>25437522.776902102</v>
      </c>
      <c r="AC156" s="236">
        <f t="shared" si="103"/>
        <v>14245012.755065162</v>
      </c>
      <c r="AD156" s="236">
        <f t="shared" si="104"/>
        <v>2035001.8221521636</v>
      </c>
      <c r="AE156" s="236">
        <f t="shared" si="105"/>
        <v>0</v>
      </c>
      <c r="AF156" s="242">
        <f t="shared" si="80"/>
        <v>67155060.131021529</v>
      </c>
      <c r="AG156" s="235">
        <f t="shared" si="106"/>
        <v>0</v>
      </c>
      <c r="AH156" s="236">
        <f t="shared" si="107"/>
        <v>0</v>
      </c>
      <c r="AI156" s="236">
        <f t="shared" si="108"/>
        <v>6287926.9785600631</v>
      </c>
      <c r="AJ156" s="236">
        <f t="shared" si="109"/>
        <v>1257585.3957120127</v>
      </c>
      <c r="AK156" s="236">
        <f t="shared" si="110"/>
        <v>0</v>
      </c>
      <c r="AL156" s="236">
        <f t="shared" si="111"/>
        <v>0</v>
      </c>
      <c r="AM156" s="242">
        <f t="shared" si="81"/>
        <v>7545512.3742720755</v>
      </c>
      <c r="AN156" s="235">
        <f t="shared" si="112"/>
        <v>71866030.06918402</v>
      </c>
      <c r="AO156" s="236">
        <f t="shared" si="113"/>
        <v>0</v>
      </c>
      <c r="AP156" s="236">
        <f t="shared" si="114"/>
        <v>35933015.03459201</v>
      </c>
      <c r="AQ156" s="236">
        <f t="shared" si="115"/>
        <v>50728962.401777051</v>
      </c>
      <c r="AR156" s="236">
        <f t="shared" si="116"/>
        <v>2113706.7667407109</v>
      </c>
      <c r="AS156" s="236">
        <f t="shared" si="82"/>
        <v>0</v>
      </c>
      <c r="AT156" s="242">
        <f t="shared" si="83"/>
        <v>160641714.27229381</v>
      </c>
      <c r="AU156" s="254">
        <v>0</v>
      </c>
      <c r="AV156" s="246">
        <f t="shared" si="84"/>
        <v>235.34228677758742</v>
      </c>
      <c r="AW156" s="257">
        <f t="shared" si="131"/>
        <v>3.7721849345366727</v>
      </c>
    </row>
    <row r="157" spans="1:49">
      <c r="A157" s="193">
        <f>'Input data'!A149</f>
        <v>2049</v>
      </c>
      <c r="B157" s="208">
        <f>'Input data'!B149</f>
        <v>75.173102421925719</v>
      </c>
      <c r="C157" s="417">
        <f>'Recycling - Case 1'!E129</f>
        <v>0.99135757575757533</v>
      </c>
      <c r="D157" s="525">
        <f>'Recycling - Case 1'!F129</f>
        <v>0.36489696969696961</v>
      </c>
      <c r="E157" s="235">
        <f t="shared" si="130"/>
        <v>1170032692.3098433</v>
      </c>
      <c r="F157" s="236">
        <v>0</v>
      </c>
      <c r="G157" s="237">
        <f t="shared" si="78"/>
        <v>1170032692.3098433</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25942815.786761001</v>
      </c>
      <c r="AA157" s="236">
        <f t="shared" si="101"/>
        <v>0</v>
      </c>
      <c r="AB157" s="236">
        <f t="shared" si="102"/>
        <v>25942815.786761001</v>
      </c>
      <c r="AC157" s="236">
        <f t="shared" si="103"/>
        <v>14527976.840586146</v>
      </c>
      <c r="AD157" s="236">
        <f t="shared" si="104"/>
        <v>2075425.2629408753</v>
      </c>
      <c r="AE157" s="236">
        <f t="shared" si="105"/>
        <v>0</v>
      </c>
      <c r="AF157" s="242">
        <f t="shared" si="80"/>
        <v>68489033.677049026</v>
      </c>
      <c r="AG157" s="235">
        <f t="shared" si="106"/>
        <v>0</v>
      </c>
      <c r="AH157" s="236">
        <f t="shared" si="107"/>
        <v>0</v>
      </c>
      <c r="AI157" s="236">
        <f t="shared" si="108"/>
        <v>6318176.5384731535</v>
      </c>
      <c r="AJ157" s="236">
        <f t="shared" si="109"/>
        <v>1263635.3076946305</v>
      </c>
      <c r="AK157" s="236">
        <f t="shared" si="110"/>
        <v>0</v>
      </c>
      <c r="AL157" s="236">
        <f t="shared" si="111"/>
        <v>0</v>
      </c>
      <c r="AM157" s="242">
        <f t="shared" si="81"/>
        <v>7581811.8461677842</v>
      </c>
      <c r="AN157" s="235">
        <f t="shared" si="112"/>
        <v>72654775.528105542</v>
      </c>
      <c r="AO157" s="236">
        <f t="shared" si="113"/>
        <v>0</v>
      </c>
      <c r="AP157" s="236">
        <f t="shared" si="114"/>
        <v>36327387.764052771</v>
      </c>
      <c r="AQ157" s="236">
        <f t="shared" si="115"/>
        <v>51285723.902192242</v>
      </c>
      <c r="AR157" s="236">
        <f t="shared" si="116"/>
        <v>2136905.1625913437</v>
      </c>
      <c r="AS157" s="236">
        <f t="shared" si="82"/>
        <v>0</v>
      </c>
      <c r="AT157" s="242">
        <f t="shared" si="83"/>
        <v>162404792.35694188</v>
      </c>
      <c r="AU157" s="254">
        <v>0</v>
      </c>
      <c r="AV157" s="246">
        <f t="shared" si="84"/>
        <v>238.4756378801587</v>
      </c>
      <c r="AW157" s="257">
        <f t="shared" si="131"/>
        <v>3.790331922338789</v>
      </c>
    </row>
    <row r="158" spans="1:49" ht="15.75" thickBot="1">
      <c r="A158" s="195">
        <f>'Input data'!A150</f>
        <v>2050</v>
      </c>
      <c r="B158" s="209">
        <f>'Input data'!B150</f>
        <v>75.517908954390194</v>
      </c>
      <c r="C158" s="651">
        <f>'Recycling - Case 1'!E130</f>
        <v>1</v>
      </c>
      <c r="D158" s="652">
        <f>'Recycling - Case 1'!F130</f>
        <v>0.36725000000000002</v>
      </c>
      <c r="E158" s="238">
        <f>B158*$C$4*($C$7*$C$11+$C$8*$C$10+$C$7*$C$12)*10^6</f>
        <v>1175399437.8944683</v>
      </c>
      <c r="F158" s="239">
        <v>0</v>
      </c>
      <c r="G158" s="240">
        <f t="shared" si="78"/>
        <v>1175399437.8944683</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26446487.352625538</v>
      </c>
      <c r="AA158" s="239">
        <f t="shared" si="101"/>
        <v>0</v>
      </c>
      <c r="AB158" s="239">
        <f t="shared" si="102"/>
        <v>26446487.352625538</v>
      </c>
      <c r="AC158" s="239">
        <f t="shared" si="103"/>
        <v>14810032.917470304</v>
      </c>
      <c r="AD158" s="239">
        <f t="shared" si="104"/>
        <v>2115718.9882100429</v>
      </c>
      <c r="AE158" s="239">
        <f t="shared" si="105"/>
        <v>0</v>
      </c>
      <c r="AF158" s="243">
        <f t="shared" si="80"/>
        <v>69818726.610931411</v>
      </c>
      <c r="AG158" s="238">
        <f t="shared" si="106"/>
        <v>0</v>
      </c>
      <c r="AH158" s="239">
        <f t="shared" si="107"/>
        <v>0</v>
      </c>
      <c r="AI158" s="239">
        <f t="shared" si="108"/>
        <v>6347156.9646301288</v>
      </c>
      <c r="AJ158" s="239">
        <f t="shared" si="109"/>
        <v>1269431.3929260257</v>
      </c>
      <c r="AK158" s="239">
        <f t="shared" si="110"/>
        <v>0</v>
      </c>
      <c r="AL158" s="239">
        <f t="shared" si="111"/>
        <v>0</v>
      </c>
      <c r="AM158" s="243">
        <f t="shared" si="81"/>
        <v>7616588.357556155</v>
      </c>
      <c r="AN158" s="238">
        <f t="shared" si="112"/>
        <v>73433079.882456899</v>
      </c>
      <c r="AO158" s="239">
        <f t="shared" si="113"/>
        <v>0</v>
      </c>
      <c r="AP158" s="239">
        <f t="shared" si="114"/>
        <v>36716539.941228449</v>
      </c>
      <c r="AQ158" s="239">
        <f t="shared" si="115"/>
        <v>51835115.211146049</v>
      </c>
      <c r="AR158" s="239">
        <f t="shared" si="116"/>
        <v>2159796.4671310852</v>
      </c>
      <c r="AS158" s="239">
        <f t="shared" si="82"/>
        <v>0</v>
      </c>
      <c r="AT158" s="243">
        <f t="shared" si="83"/>
        <v>164144531.50196248</v>
      </c>
      <c r="AU158" s="255">
        <v>0</v>
      </c>
      <c r="AV158" s="249">
        <f t="shared" si="84"/>
        <v>241.57984647045004</v>
      </c>
      <c r="AW158" s="258">
        <f t="shared" si="131"/>
        <v>3.8077175451869141</v>
      </c>
    </row>
    <row r="159" spans="1:49" ht="21.75" thickBot="1">
      <c r="A159" s="763" t="s">
        <v>618</v>
      </c>
    </row>
    <row r="160" spans="1:49">
      <c r="A160" s="194">
        <f>'Input data'!A118</f>
        <v>2018</v>
      </c>
      <c r="B160" s="207">
        <f>'Input data'!B118</f>
        <v>57.436000617299655</v>
      </c>
      <c r="C160" s="647">
        <f>'Recycling - Case 2'!E98</f>
        <v>0.73673846153846156</v>
      </c>
      <c r="D160" s="715">
        <f>'Recycling - Case 2'!F98</f>
        <v>0.29557307692307688</v>
      </c>
      <c r="E160" s="961">
        <f>B160*$C$4*($C$7*$C$11+$C$8*$C$10+$C$7*$C$12)*10^6</f>
        <v>893963349.55796838</v>
      </c>
      <c r="F160" s="738">
        <v>0</v>
      </c>
      <c r="G160" s="739">
        <f t="shared" ref="G160:G192" si="132">E160-F160</f>
        <v>893963349.55796838</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11202048.434076387</v>
      </c>
      <c r="AA160" s="738">
        <f t="shared" ref="AA160:AA192" si="134">I160*$C$36*G160*$C$10</f>
        <v>0</v>
      </c>
      <c r="AB160" s="738">
        <f t="shared" ref="AB160:AB192" si="135">J160*$C$37*G160*$C$10</f>
        <v>11202048.434076387</v>
      </c>
      <c r="AC160" s="738">
        <f t="shared" ref="AC160:AC192" si="136">K160*$C$40*G160*$C$10</f>
        <v>6273147.1230827775</v>
      </c>
      <c r="AD160" s="738">
        <f t="shared" ref="AD160:AD192" si="137">L160*$C$41*G160*$C$10</f>
        <v>896163.87472611107</v>
      </c>
      <c r="AE160" s="738">
        <f t="shared" ref="AE160:AE192" si="138">M160*$C$42*G160*$C$10</f>
        <v>0</v>
      </c>
      <c r="AF160" s="970">
        <f t="shared" ref="AF160:AF192" si="139">SUM(Z160:AE160)</f>
        <v>29573407.865961663</v>
      </c>
      <c r="AG160" s="961">
        <f t="shared" ref="AG160:AG192" si="140">N160*$C$35*G160*$C$11</f>
        <v>0</v>
      </c>
      <c r="AH160" s="738">
        <f t="shared" ref="AH160:AH192" si="141">O160*$C$36*G160*$C$11</f>
        <v>0</v>
      </c>
      <c r="AI160" s="738">
        <f t="shared" ref="AI160:AI192" si="142">P160*$C$37*G160*$C$11</f>
        <v>4827402.0876130285</v>
      </c>
      <c r="AJ160" s="738">
        <f t="shared" ref="AJ160:AJ192" si="143">Q160*$C$38*G160*$C$11</f>
        <v>965480.41752260574</v>
      </c>
      <c r="AK160" s="738">
        <f t="shared" ref="AK160:AK192" si="144">R160*$C$41*G160*$C$11</f>
        <v>0</v>
      </c>
      <c r="AL160" s="738">
        <f t="shared" ref="AL160:AL192" si="145">S160*$C$42*G160*$C$11</f>
        <v>0</v>
      </c>
      <c r="AM160" s="1434">
        <f t="shared" ref="AM160:AM192" si="146">SUM(AG160:AL160)</f>
        <v>5792882.505135634</v>
      </c>
      <c r="AN160" s="961">
        <f t="shared" ref="AN160:AN192" si="147">T160*$C$35*G160*$C$12</f>
        <v>45539524.52265548</v>
      </c>
      <c r="AO160" s="738">
        <f t="shared" ref="AO160:AO192" si="148">U160*$C$36*G160*$C$12</f>
        <v>0</v>
      </c>
      <c r="AP160" s="738">
        <f t="shared" ref="AP160:AP192" si="149">V160*$C$37*G160*$C$12</f>
        <v>22769762.26132774</v>
      </c>
      <c r="AQ160" s="738">
        <f t="shared" ref="AQ160:AQ192" si="150">W160*$C$39*G160*$C$12</f>
        <v>32145546.721874453</v>
      </c>
      <c r="AR160" s="738">
        <f t="shared" ref="AR160:AR192" si="151">X160*$C$41*G160*$C$12</f>
        <v>1339397.7800781021</v>
      </c>
      <c r="AS160" s="738">
        <f t="shared" ref="AS160:AS192" si="152">Y160*$C$42*N160*$C$12</f>
        <v>0</v>
      </c>
      <c r="AT160" s="1434">
        <f t="shared" ref="AT160:AT192" si="153">SUM(AN160:AS160)</f>
        <v>101794231.28593577</v>
      </c>
      <c r="AU160" s="1435">
        <v>0</v>
      </c>
      <c r="AV160" s="1436">
        <f>(AF160+AM160+AT160)/10^6-AU160</f>
        <v>137.16052165703309</v>
      </c>
      <c r="AW160" s="1437">
        <f t="shared" ref="AW160:AW192" si="154">((B160*$C$46*$C$47*$C$48*$C$49)-$C$50)*$C$51*$C$52</f>
        <v>2.8960026873618072</v>
      </c>
    </row>
    <row r="161" spans="1:49">
      <c r="A161" s="193">
        <f>'Input data'!A119</f>
        <v>2019</v>
      </c>
      <c r="B161" s="208">
        <f>'Input data'!B119</f>
        <v>58.364834921819444</v>
      </c>
      <c r="C161" s="417">
        <f>'Recycling - Case 2'!E99</f>
        <v>0.75867692307692314</v>
      </c>
      <c r="D161" s="525">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971">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17">
        <f>'Recycling - Case 2'!E100</f>
        <v>0.78061538461538471</v>
      </c>
      <c r="D162" s="525">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971">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60.097873988486953</v>
      </c>
      <c r="C163" s="417">
        <f>'Recycling - Case 2'!E101</f>
        <v>0.80255384615384628</v>
      </c>
      <c r="D163" s="525">
        <f>'Recycling - Case 2'!F101</f>
        <v>0.31349230769230763</v>
      </c>
      <c r="E163" s="235">
        <f t="shared" si="155"/>
        <v>935394110.91723013</v>
      </c>
      <c r="F163" s="236">
        <v>0</v>
      </c>
      <c r="G163" s="237">
        <f t="shared" si="132"/>
        <v>935394110.91723013</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14052497.6817027</v>
      </c>
      <c r="AA163" s="236">
        <f t="shared" si="134"/>
        <v>0</v>
      </c>
      <c r="AB163" s="236">
        <f t="shared" si="135"/>
        <v>14052497.6817027</v>
      </c>
      <c r="AC163" s="236">
        <f t="shared" si="136"/>
        <v>7869398.7017535111</v>
      </c>
      <c r="AD163" s="236">
        <f t="shared" si="137"/>
        <v>1124199.8145362155</v>
      </c>
      <c r="AE163" s="236">
        <f t="shared" si="138"/>
        <v>0</v>
      </c>
      <c r="AF163" s="971">
        <f t="shared" si="139"/>
        <v>37098593.879695125</v>
      </c>
      <c r="AG163" s="235">
        <f t="shared" si="140"/>
        <v>0</v>
      </c>
      <c r="AH163" s="236">
        <f t="shared" si="141"/>
        <v>0</v>
      </c>
      <c r="AI163" s="236">
        <f t="shared" si="142"/>
        <v>5051128.1989530427</v>
      </c>
      <c r="AJ163" s="236">
        <f t="shared" si="143"/>
        <v>1010225.6397906084</v>
      </c>
      <c r="AK163" s="236">
        <f t="shared" si="144"/>
        <v>0</v>
      </c>
      <c r="AL163" s="236">
        <f t="shared" si="145"/>
        <v>0</v>
      </c>
      <c r="AM163" s="242">
        <f t="shared" si="146"/>
        <v>6061353.8387436513</v>
      </c>
      <c r="AN163" s="235">
        <f t="shared" si="147"/>
        <v>50347228.253154181</v>
      </c>
      <c r="AO163" s="236">
        <f t="shared" si="148"/>
        <v>0</v>
      </c>
      <c r="AP163" s="236">
        <f t="shared" si="149"/>
        <v>25173614.12657709</v>
      </c>
      <c r="AQ163" s="236">
        <f t="shared" si="150"/>
        <v>35539219.943402946</v>
      </c>
      <c r="AR163" s="236">
        <f t="shared" si="151"/>
        <v>1480800.8309751225</v>
      </c>
      <c r="AS163" s="236">
        <f t="shared" si="152"/>
        <v>0</v>
      </c>
      <c r="AT163" s="242">
        <f t="shared" si="153"/>
        <v>112540863.15410933</v>
      </c>
      <c r="AU163" s="254">
        <v>0</v>
      </c>
      <c r="AV163" s="246">
        <f t="shared" si="167"/>
        <v>155.70081087254809</v>
      </c>
      <c r="AW163" s="257">
        <f t="shared" si="154"/>
        <v>3.0302180288466625</v>
      </c>
    </row>
    <row r="164" spans="1:49">
      <c r="A164" s="193">
        <f>'Input data'!A122</f>
        <v>2022</v>
      </c>
      <c r="B164" s="208">
        <f>'Input data'!B122</f>
        <v>60.841582286809363</v>
      </c>
      <c r="C164" s="417">
        <f>'Recycling - Case 2'!E102</f>
        <v>0.82449230769230786</v>
      </c>
      <c r="D164" s="525">
        <f>'Recycling - Case 2'!F102</f>
        <v>0.31946538461538454</v>
      </c>
      <c r="E164" s="235">
        <f t="shared" si="155"/>
        <v>946969568.0228231</v>
      </c>
      <c r="F164" s="236">
        <v>0</v>
      </c>
      <c r="G164" s="237">
        <f t="shared" si="132"/>
        <v>946969568.0228231</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15013109.843807992</v>
      </c>
      <c r="AA164" s="236">
        <f t="shared" si="134"/>
        <v>0</v>
      </c>
      <c r="AB164" s="236">
        <f t="shared" si="135"/>
        <v>15013109.843807992</v>
      </c>
      <c r="AC164" s="236">
        <f t="shared" si="136"/>
        <v>8407341.5125324763</v>
      </c>
      <c r="AD164" s="236">
        <f t="shared" si="137"/>
        <v>1201048.7875046388</v>
      </c>
      <c r="AE164" s="236">
        <f t="shared" si="138"/>
        <v>0</v>
      </c>
      <c r="AF164" s="971">
        <f t="shared" si="139"/>
        <v>39634609.987653099</v>
      </c>
      <c r="AG164" s="235">
        <f t="shared" si="140"/>
        <v>0</v>
      </c>
      <c r="AH164" s="236">
        <f t="shared" si="141"/>
        <v>0</v>
      </c>
      <c r="AI164" s="236">
        <f t="shared" si="142"/>
        <v>5113635.6673232438</v>
      </c>
      <c r="AJ164" s="236">
        <f t="shared" si="143"/>
        <v>1022727.1334646487</v>
      </c>
      <c r="AK164" s="236">
        <f t="shared" si="144"/>
        <v>0</v>
      </c>
      <c r="AL164" s="236">
        <f t="shared" si="145"/>
        <v>0</v>
      </c>
      <c r="AM164" s="242">
        <f t="shared" si="146"/>
        <v>6136362.8007878922</v>
      </c>
      <c r="AN164" s="235">
        <f t="shared" si="147"/>
        <v>51880456.222259618</v>
      </c>
      <c r="AO164" s="236">
        <f t="shared" si="148"/>
        <v>0</v>
      </c>
      <c r="AP164" s="236">
        <f t="shared" si="149"/>
        <v>25940228.111129809</v>
      </c>
      <c r="AQ164" s="236">
        <f t="shared" si="150"/>
        <v>36621498.509830318</v>
      </c>
      <c r="AR164" s="236">
        <f t="shared" si="151"/>
        <v>1525895.7712429292</v>
      </c>
      <c r="AS164" s="236">
        <f t="shared" si="152"/>
        <v>0</v>
      </c>
      <c r="AT164" s="242">
        <f t="shared" si="153"/>
        <v>115968078.61446269</v>
      </c>
      <c r="AU164" s="254">
        <v>0</v>
      </c>
      <c r="AV164" s="246">
        <f t="shared" si="167"/>
        <v>161.73905140290367</v>
      </c>
      <c r="AW164" s="257">
        <f t="shared" si="154"/>
        <v>3.0677168311206198</v>
      </c>
    </row>
    <row r="165" spans="1:49">
      <c r="A165" s="193">
        <f>'Input data'!A123</f>
        <v>2023</v>
      </c>
      <c r="B165" s="208">
        <f>'Input data'!B123</f>
        <v>61.537824355929828</v>
      </c>
      <c r="C165" s="417">
        <f>'Recycling - Case 2'!E103</f>
        <v>0.84643076923076943</v>
      </c>
      <c r="D165" s="525">
        <f>'Recycling - Case 2'!F103</f>
        <v>0.32543846153846145</v>
      </c>
      <c r="E165" s="235">
        <f t="shared" si="155"/>
        <v>957806236.41067433</v>
      </c>
      <c r="F165" s="236">
        <v>0</v>
      </c>
      <c r="G165" s="237">
        <f t="shared" si="132"/>
        <v>957806236.41067433</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15980628.667498099</v>
      </c>
      <c r="AA165" s="236">
        <f t="shared" si="134"/>
        <v>0</v>
      </c>
      <c r="AB165" s="236">
        <f t="shared" si="135"/>
        <v>15980628.667498099</v>
      </c>
      <c r="AC165" s="236">
        <f t="shared" si="136"/>
        <v>8949152.0537989382</v>
      </c>
      <c r="AD165" s="236">
        <f t="shared" si="137"/>
        <v>1278450.2933998476</v>
      </c>
      <c r="AE165" s="236">
        <f t="shared" si="138"/>
        <v>0</v>
      </c>
      <c r="AF165" s="971">
        <f t="shared" si="139"/>
        <v>42188859.682194985</v>
      </c>
      <c r="AG165" s="235">
        <f t="shared" si="140"/>
        <v>0</v>
      </c>
      <c r="AH165" s="236">
        <f t="shared" si="141"/>
        <v>0</v>
      </c>
      <c r="AI165" s="236">
        <f t="shared" si="142"/>
        <v>5172153.676617641</v>
      </c>
      <c r="AJ165" s="236">
        <f t="shared" si="143"/>
        <v>1034430.7353235283</v>
      </c>
      <c r="AK165" s="236">
        <f t="shared" si="144"/>
        <v>0</v>
      </c>
      <c r="AL165" s="236">
        <f t="shared" si="145"/>
        <v>0</v>
      </c>
      <c r="AM165" s="242">
        <f t="shared" si="146"/>
        <v>6206584.4119411688</v>
      </c>
      <c r="AN165" s="235">
        <f t="shared" si="147"/>
        <v>53394750.583783068</v>
      </c>
      <c r="AO165" s="236">
        <f t="shared" si="148"/>
        <v>0</v>
      </c>
      <c r="AP165" s="236">
        <f t="shared" si="149"/>
        <v>26697375.291891534</v>
      </c>
      <c r="AQ165" s="236">
        <f t="shared" si="150"/>
        <v>37690412.176788047</v>
      </c>
      <c r="AR165" s="236">
        <f t="shared" si="151"/>
        <v>1570433.8406995013</v>
      </c>
      <c r="AS165" s="236">
        <f t="shared" si="152"/>
        <v>0</v>
      </c>
      <c r="AT165" s="242">
        <f t="shared" si="153"/>
        <v>119352971.89316216</v>
      </c>
      <c r="AU165" s="254">
        <v>0</v>
      </c>
      <c r="AV165" s="246">
        <f t="shared" si="167"/>
        <v>167.7484159872983</v>
      </c>
      <c r="AW165" s="257">
        <f t="shared" si="154"/>
        <v>3.1028223203879186</v>
      </c>
    </row>
    <row r="166" spans="1:49">
      <c r="A166" s="193">
        <f>'Input data'!A124</f>
        <v>2024</v>
      </c>
      <c r="B166" s="208">
        <f>'Input data'!B124</f>
        <v>62.221509701386374</v>
      </c>
      <c r="C166" s="417">
        <f>'Recycling - Case 2'!E104</f>
        <v>0.868369230769231</v>
      </c>
      <c r="D166" s="525">
        <f>'Recycling - Case 2'!F104</f>
        <v>0.33141153846153837</v>
      </c>
      <c r="E166" s="235">
        <f t="shared" si="155"/>
        <v>968447465.51609957</v>
      </c>
      <c r="F166" s="236">
        <v>0</v>
      </c>
      <c r="G166" s="237">
        <f t="shared" si="132"/>
        <v>968447465.51609957</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16962729.838308915</v>
      </c>
      <c r="AA166" s="236">
        <f t="shared" si="134"/>
        <v>0</v>
      </c>
      <c r="AB166" s="236">
        <f t="shared" si="135"/>
        <v>16962729.838308915</v>
      </c>
      <c r="AC166" s="236">
        <f t="shared" si="136"/>
        <v>9499128.709452996</v>
      </c>
      <c r="AD166" s="236">
        <f t="shared" si="137"/>
        <v>1357018.3870647128</v>
      </c>
      <c r="AE166" s="236">
        <f t="shared" si="138"/>
        <v>0</v>
      </c>
      <c r="AF166" s="971">
        <f t="shared" si="139"/>
        <v>44781606.773135535</v>
      </c>
      <c r="AG166" s="235">
        <f t="shared" si="140"/>
        <v>0</v>
      </c>
      <c r="AH166" s="236">
        <f t="shared" si="141"/>
        <v>0</v>
      </c>
      <c r="AI166" s="236">
        <f t="shared" si="142"/>
        <v>5229616.3137869369</v>
      </c>
      <c r="AJ166" s="236">
        <f t="shared" si="143"/>
        <v>1045923.2627573875</v>
      </c>
      <c r="AK166" s="236">
        <f t="shared" si="144"/>
        <v>0</v>
      </c>
      <c r="AL166" s="236">
        <f t="shared" si="145"/>
        <v>0</v>
      </c>
      <c r="AM166" s="242">
        <f t="shared" si="146"/>
        <v>6275539.5765443239</v>
      </c>
      <c r="AN166" s="235">
        <f t="shared" si="147"/>
        <v>54918793.370445862</v>
      </c>
      <c r="AO166" s="236">
        <f t="shared" si="148"/>
        <v>0</v>
      </c>
      <c r="AP166" s="236">
        <f t="shared" si="149"/>
        <v>27459396.685222931</v>
      </c>
      <c r="AQ166" s="236">
        <f t="shared" si="150"/>
        <v>38766207.085020617</v>
      </c>
      <c r="AR166" s="236">
        <f t="shared" si="151"/>
        <v>1615258.6285425245</v>
      </c>
      <c r="AS166" s="236">
        <f t="shared" si="152"/>
        <v>0</v>
      </c>
      <c r="AT166" s="242">
        <f t="shared" si="153"/>
        <v>122759655.76923195</v>
      </c>
      <c r="AU166" s="254">
        <v>0</v>
      </c>
      <c r="AV166" s="246">
        <f t="shared" si="167"/>
        <v>173.8168021189118</v>
      </c>
      <c r="AW166" s="257">
        <f t="shared" si="154"/>
        <v>3.1372946822597805</v>
      </c>
    </row>
    <row r="167" spans="1:49">
      <c r="A167" s="193">
        <f>'Input data'!A125</f>
        <v>2025</v>
      </c>
      <c r="B167" s="208">
        <f>'Input data'!B125</f>
        <v>62.892038582526091</v>
      </c>
      <c r="C167" s="417">
        <f>'Recycling - Case 2'!E105</f>
        <v>0.89030769230769258</v>
      </c>
      <c r="D167" s="525">
        <f>'Recycling - Case 2'!F105</f>
        <v>0.33738461538461528</v>
      </c>
      <c r="E167" s="235">
        <f t="shared" si="155"/>
        <v>978883920.66820967</v>
      </c>
      <c r="F167" s="236">
        <v>0</v>
      </c>
      <c r="G167" s="237">
        <f t="shared" si="132"/>
        <v>978883920.66820967</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17958755.006105233</v>
      </c>
      <c r="AA167" s="236">
        <f t="shared" si="134"/>
        <v>0</v>
      </c>
      <c r="AB167" s="236">
        <f t="shared" si="135"/>
        <v>17958755.006105233</v>
      </c>
      <c r="AC167" s="236">
        <f t="shared" si="136"/>
        <v>10056902.803418934</v>
      </c>
      <c r="AD167" s="236">
        <f t="shared" si="137"/>
        <v>1436700.4004884183</v>
      </c>
      <c r="AE167" s="236">
        <f t="shared" si="138"/>
        <v>0</v>
      </c>
      <c r="AF167" s="971">
        <f t="shared" si="139"/>
        <v>47411113.216117822</v>
      </c>
      <c r="AG167" s="235">
        <f t="shared" si="140"/>
        <v>0</v>
      </c>
      <c r="AH167" s="236">
        <f t="shared" si="141"/>
        <v>0</v>
      </c>
      <c r="AI167" s="236">
        <f t="shared" si="142"/>
        <v>5285973.1716083316</v>
      </c>
      <c r="AJ167" s="236">
        <f t="shared" si="143"/>
        <v>1057194.6343216663</v>
      </c>
      <c r="AK167" s="236">
        <f t="shared" si="144"/>
        <v>0</v>
      </c>
      <c r="AL167" s="236">
        <f t="shared" si="145"/>
        <v>0</v>
      </c>
      <c r="AM167" s="242">
        <f t="shared" si="146"/>
        <v>6343167.8059299979</v>
      </c>
      <c r="AN167" s="235">
        <f t="shared" si="147"/>
        <v>56451482.717304386</v>
      </c>
      <c r="AO167" s="236">
        <f t="shared" si="148"/>
        <v>0</v>
      </c>
      <c r="AP167" s="236">
        <f t="shared" si="149"/>
        <v>28225741.358652193</v>
      </c>
      <c r="AQ167" s="236">
        <f t="shared" si="150"/>
        <v>39848105.447508976</v>
      </c>
      <c r="AR167" s="236">
        <f t="shared" si="151"/>
        <v>1660337.7269795393</v>
      </c>
      <c r="AS167" s="236">
        <f t="shared" si="152"/>
        <v>0</v>
      </c>
      <c r="AT167" s="242">
        <f t="shared" si="153"/>
        <v>126185667.2504451</v>
      </c>
      <c r="AU167" s="254">
        <v>0</v>
      </c>
      <c r="AV167" s="246">
        <f t="shared" si="167"/>
        <v>179.93994827249293</v>
      </c>
      <c r="AW167" s="257">
        <f t="shared" si="154"/>
        <v>3.1711036769819763</v>
      </c>
    </row>
    <row r="168" spans="1:49">
      <c r="A168" s="193">
        <f>'Input data'!A126</f>
        <v>2026</v>
      </c>
      <c r="B168" s="208">
        <f>'Input data'!B126</f>
        <v>63.548817559440096</v>
      </c>
      <c r="C168" s="417">
        <f>'Recycling - Case 2'!E106</f>
        <v>0.91224615384615415</v>
      </c>
      <c r="D168" s="525">
        <f>'Recycling - Case 2'!F106</f>
        <v>0.3433576923076922</v>
      </c>
      <c r="E168" s="235">
        <f t="shared" si="155"/>
        <v>989106365.26412511</v>
      </c>
      <c r="F168" s="236">
        <v>0</v>
      </c>
      <c r="G168" s="237">
        <f t="shared" si="132"/>
        <v>989106365.26412511</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18968016.681565106</v>
      </c>
      <c r="AA168" s="236">
        <f t="shared" si="134"/>
        <v>0</v>
      </c>
      <c r="AB168" s="236">
        <f t="shared" si="135"/>
        <v>18968016.681565106</v>
      </c>
      <c r="AC168" s="236">
        <f t="shared" si="136"/>
        <v>10622089.341676464</v>
      </c>
      <c r="AD168" s="236">
        <f t="shared" si="137"/>
        <v>1517441.3345252085</v>
      </c>
      <c r="AE168" s="236">
        <f t="shared" si="138"/>
        <v>0</v>
      </c>
      <c r="AF168" s="971">
        <f t="shared" si="139"/>
        <v>50075564.039331883</v>
      </c>
      <c r="AG168" s="235">
        <f t="shared" si="140"/>
        <v>0</v>
      </c>
      <c r="AH168" s="236">
        <f t="shared" si="141"/>
        <v>0</v>
      </c>
      <c r="AI168" s="236">
        <f t="shared" si="142"/>
        <v>5341174.3724262752</v>
      </c>
      <c r="AJ168" s="236">
        <f t="shared" si="143"/>
        <v>1068234.874485255</v>
      </c>
      <c r="AK168" s="236">
        <f t="shared" si="144"/>
        <v>0</v>
      </c>
      <c r="AL168" s="236">
        <f t="shared" si="145"/>
        <v>0</v>
      </c>
      <c r="AM168" s="242">
        <f t="shared" si="146"/>
        <v>6409409.2469115304</v>
      </c>
      <c r="AN168" s="235">
        <f t="shared" si="147"/>
        <v>57991686.620960765</v>
      </c>
      <c r="AO168" s="236">
        <f t="shared" si="148"/>
        <v>0</v>
      </c>
      <c r="AP168" s="236">
        <f t="shared" si="149"/>
        <v>28995843.310480382</v>
      </c>
      <c r="AQ168" s="236">
        <f t="shared" si="150"/>
        <v>40935308.203031138</v>
      </c>
      <c r="AR168" s="236">
        <f t="shared" si="151"/>
        <v>1705637.8417929627</v>
      </c>
      <c r="AS168" s="236">
        <f t="shared" si="152"/>
        <v>0</v>
      </c>
      <c r="AT168" s="242">
        <f t="shared" si="153"/>
        <v>129628475.97626524</v>
      </c>
      <c r="AU168" s="254">
        <v>0</v>
      </c>
      <c r="AV168" s="246">
        <f t="shared" si="167"/>
        <v>186.11344926250865</v>
      </c>
      <c r="AW168" s="257">
        <f t="shared" si="154"/>
        <v>3.2042193824925169</v>
      </c>
    </row>
    <row r="169" spans="1:49">
      <c r="A169" s="193">
        <f>'Input data'!A127</f>
        <v>2027</v>
      </c>
      <c r="B169" s="208">
        <f>'Input data'!B127</f>
        <v>64.191260356766122</v>
      </c>
      <c r="C169" s="417">
        <f>'Recycling - Case 2'!E107</f>
        <v>0.93418461538461572</v>
      </c>
      <c r="D169" s="525">
        <f>'Recycling - Case 2'!F107</f>
        <v>0.34933076923076911</v>
      </c>
      <c r="E169" s="235">
        <f t="shared" si="155"/>
        <v>999105674.21364093</v>
      </c>
      <c r="F169" s="236">
        <v>0</v>
      </c>
      <c r="G169" s="237">
        <f t="shared" si="132"/>
        <v>999105674.21364093</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19989798.912535999</v>
      </c>
      <c r="AA169" s="236">
        <f t="shared" si="134"/>
        <v>0</v>
      </c>
      <c r="AB169" s="236">
        <f t="shared" si="135"/>
        <v>19989798.912535999</v>
      </c>
      <c r="AC169" s="236">
        <f t="shared" si="136"/>
        <v>11194287.391020166</v>
      </c>
      <c r="AD169" s="236">
        <f t="shared" si="137"/>
        <v>1599183.9130028801</v>
      </c>
      <c r="AE169" s="236">
        <f t="shared" si="138"/>
        <v>0</v>
      </c>
      <c r="AF169" s="971">
        <f t="shared" si="139"/>
        <v>52773069.12909504</v>
      </c>
      <c r="AG169" s="235">
        <f t="shared" si="140"/>
        <v>0</v>
      </c>
      <c r="AH169" s="236">
        <f t="shared" si="141"/>
        <v>0</v>
      </c>
      <c r="AI169" s="236">
        <f t="shared" si="142"/>
        <v>5395170.6407536604</v>
      </c>
      <c r="AJ169" s="236">
        <f t="shared" si="143"/>
        <v>1079034.128150732</v>
      </c>
      <c r="AK169" s="236">
        <f t="shared" si="144"/>
        <v>0</v>
      </c>
      <c r="AL169" s="236">
        <f t="shared" si="145"/>
        <v>0</v>
      </c>
      <c r="AM169" s="242">
        <f t="shared" si="146"/>
        <v>6474204.7689043926</v>
      </c>
      <c r="AN169" s="235">
        <f t="shared" si="147"/>
        <v>59538244.212043516</v>
      </c>
      <c r="AO169" s="236">
        <f t="shared" si="148"/>
        <v>0</v>
      </c>
      <c r="AP169" s="236">
        <f t="shared" si="149"/>
        <v>29769122.106021758</v>
      </c>
      <c r="AQ169" s="236">
        <f t="shared" si="150"/>
        <v>42026995.914383665</v>
      </c>
      <c r="AR169" s="236">
        <f t="shared" si="151"/>
        <v>1751124.8297659841</v>
      </c>
      <c r="AS169" s="236">
        <f t="shared" si="152"/>
        <v>0</v>
      </c>
      <c r="AT169" s="242">
        <f t="shared" si="153"/>
        <v>133085487.06221493</v>
      </c>
      <c r="AU169" s="254">
        <v>0</v>
      </c>
      <c r="AV169" s="246">
        <f t="shared" si="167"/>
        <v>192.33276096021439</v>
      </c>
      <c r="AW169" s="257">
        <f t="shared" si="154"/>
        <v>3.2366122379757729</v>
      </c>
    </row>
    <row r="170" spans="1:49">
      <c r="A170" s="193">
        <f>'Input data'!A128</f>
        <v>2028</v>
      </c>
      <c r="B170" s="208">
        <f>'Input data'!B128</f>
        <v>64.818788725428234</v>
      </c>
      <c r="C170" s="417">
        <f>'Recycling - Case 2'!E108</f>
        <v>0.9561230769230773</v>
      </c>
      <c r="D170" s="525">
        <f>'Recycling - Case 2'!F108</f>
        <v>0.35530384615384603</v>
      </c>
      <c r="E170" s="235">
        <f t="shared" si="155"/>
        <v>1008872847.351787</v>
      </c>
      <c r="F170" s="236">
        <v>0</v>
      </c>
      <c r="G170" s="237">
        <f t="shared" si="132"/>
        <v>1008872847.351787</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21023358.026738387</v>
      </c>
      <c r="AA170" s="236">
        <f t="shared" si="134"/>
        <v>0</v>
      </c>
      <c r="AB170" s="236">
        <f t="shared" si="135"/>
        <v>21023358.026738387</v>
      </c>
      <c r="AC170" s="236">
        <f t="shared" si="136"/>
        <v>11773080.494973505</v>
      </c>
      <c r="AD170" s="236">
        <f t="shared" si="137"/>
        <v>1681868.6421390716</v>
      </c>
      <c r="AE170" s="236">
        <f t="shared" si="138"/>
        <v>0</v>
      </c>
      <c r="AF170" s="971">
        <f t="shared" si="139"/>
        <v>55501665.190589346</v>
      </c>
      <c r="AG170" s="235">
        <f t="shared" si="140"/>
        <v>0</v>
      </c>
      <c r="AH170" s="236">
        <f t="shared" si="141"/>
        <v>0</v>
      </c>
      <c r="AI170" s="236">
        <f t="shared" si="142"/>
        <v>5447913.3756996496</v>
      </c>
      <c r="AJ170" s="236">
        <f t="shared" si="143"/>
        <v>1089582.6751399299</v>
      </c>
      <c r="AK170" s="236">
        <f t="shared" si="144"/>
        <v>0</v>
      </c>
      <c r="AL170" s="236">
        <f t="shared" si="145"/>
        <v>0</v>
      </c>
      <c r="AM170" s="242">
        <f t="shared" si="146"/>
        <v>6537496.0508395797</v>
      </c>
      <c r="AN170" s="235">
        <f t="shared" si="147"/>
        <v>61089967.103278197</v>
      </c>
      <c r="AO170" s="236">
        <f t="shared" si="148"/>
        <v>0</v>
      </c>
      <c r="AP170" s="236">
        <f t="shared" si="149"/>
        <v>30544983.551639099</v>
      </c>
      <c r="AQ170" s="236">
        <f t="shared" si="150"/>
        <v>43122329.719961092</v>
      </c>
      <c r="AR170" s="236">
        <f t="shared" si="151"/>
        <v>1796763.7383317102</v>
      </c>
      <c r="AS170" s="236">
        <f t="shared" si="152"/>
        <v>0</v>
      </c>
      <c r="AT170" s="242">
        <f t="shared" si="153"/>
        <v>136554044.11321011</v>
      </c>
      <c r="AU170" s="254">
        <v>0</v>
      </c>
      <c r="AV170" s="246">
        <f t="shared" si="167"/>
        <v>198.59320535463905</v>
      </c>
      <c r="AW170" s="257">
        <f t="shared" si="154"/>
        <v>3.2682530873125892</v>
      </c>
    </row>
    <row r="171" spans="1:49">
      <c r="A171" s="193">
        <f>'Input data'!A129</f>
        <v>2029</v>
      </c>
      <c r="B171" s="208">
        <f>'Input data'!B129</f>
        <v>65.435442210930105</v>
      </c>
      <c r="C171" s="417">
        <f>'Recycling - Case 2'!E109</f>
        <v>0.97806153846153887</v>
      </c>
      <c r="D171" s="525">
        <f>'Recycling - Case 2'!F109</f>
        <v>0.36127692307692294</v>
      </c>
      <c r="E171" s="235">
        <f t="shared" si="155"/>
        <v>1018470758.2350494</v>
      </c>
      <c r="F171" s="236">
        <v>0</v>
      </c>
      <c r="G171" s="237">
        <f t="shared" si="132"/>
        <v>1018470758.2350494</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22069477.89190872</v>
      </c>
      <c r="AA171" s="236">
        <f t="shared" si="134"/>
        <v>0</v>
      </c>
      <c r="AB171" s="236">
        <f t="shared" si="135"/>
        <v>22069477.89190872</v>
      </c>
      <c r="AC171" s="236">
        <f t="shared" si="136"/>
        <v>12358907.619468892</v>
      </c>
      <c r="AD171" s="236">
        <f t="shared" si="137"/>
        <v>1765558.2313526983</v>
      </c>
      <c r="AE171" s="236">
        <f t="shared" si="138"/>
        <v>0</v>
      </c>
      <c r="AF171" s="971">
        <f t="shared" si="139"/>
        <v>58263421.634639032</v>
      </c>
      <c r="AG171" s="235">
        <f t="shared" si="140"/>
        <v>0</v>
      </c>
      <c r="AH171" s="236">
        <f t="shared" si="141"/>
        <v>0</v>
      </c>
      <c r="AI171" s="236">
        <f t="shared" si="142"/>
        <v>5499742.094469266</v>
      </c>
      <c r="AJ171" s="236">
        <f t="shared" si="143"/>
        <v>1099948.4188938532</v>
      </c>
      <c r="AK171" s="236">
        <f t="shared" si="144"/>
        <v>0</v>
      </c>
      <c r="AL171" s="236">
        <f t="shared" si="145"/>
        <v>0</v>
      </c>
      <c r="AM171" s="242">
        <f t="shared" si="146"/>
        <v>6599690.5133631192</v>
      </c>
      <c r="AN171" s="235">
        <f t="shared" si="147"/>
        <v>62650053.53426189</v>
      </c>
      <c r="AO171" s="236">
        <f t="shared" si="148"/>
        <v>0</v>
      </c>
      <c r="AP171" s="236">
        <f t="shared" si="149"/>
        <v>31325026.767130945</v>
      </c>
      <c r="AQ171" s="236">
        <f t="shared" si="150"/>
        <v>44223567.200655453</v>
      </c>
      <c r="AR171" s="236">
        <f t="shared" si="151"/>
        <v>1842648.633360642</v>
      </c>
      <c r="AS171" s="236">
        <f t="shared" si="152"/>
        <v>0</v>
      </c>
      <c r="AT171" s="242">
        <f t="shared" si="153"/>
        <v>140041296.13540894</v>
      </c>
      <c r="AU171" s="254">
        <v>0</v>
      </c>
      <c r="AV171" s="246">
        <f t="shared" si="167"/>
        <v>204.90440828341107</v>
      </c>
      <c r="AW171" s="257">
        <f t="shared" si="154"/>
        <v>3.2993456099811418</v>
      </c>
    </row>
    <row r="172" spans="1:49" s="1" customFormat="1">
      <c r="A172" s="123">
        <f>'Input data'!A130</f>
        <v>2030</v>
      </c>
      <c r="B172" s="208">
        <f>'Input data'!B130</f>
        <v>66.040790860694059</v>
      </c>
      <c r="C172" s="417">
        <f>'Recycling - Case 2'!E110</f>
        <v>1</v>
      </c>
      <c r="D172" s="525">
        <f>'Recycling - Case 2'!F110</f>
        <v>0.36725000000000002</v>
      </c>
      <c r="E172" s="766">
        <f t="shared" si="155"/>
        <v>1027892714.8611585</v>
      </c>
      <c r="F172" s="526">
        <v>0</v>
      </c>
      <c r="G172" s="663">
        <f t="shared" si="132"/>
        <v>1027892714.8611585</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23127586.084376067</v>
      </c>
      <c r="AA172" s="526">
        <f t="shared" si="134"/>
        <v>0</v>
      </c>
      <c r="AB172" s="526">
        <f t="shared" si="135"/>
        <v>23127586.084376067</v>
      </c>
      <c r="AC172" s="526">
        <f t="shared" si="136"/>
        <v>12951448.207250601</v>
      </c>
      <c r="AD172" s="526">
        <f t="shared" si="137"/>
        <v>1850206.8867500857</v>
      </c>
      <c r="AE172" s="526">
        <f t="shared" si="138"/>
        <v>0</v>
      </c>
      <c r="AF172" s="981">
        <f t="shared" si="139"/>
        <v>61056827.262752824</v>
      </c>
      <c r="AG172" s="766">
        <f t="shared" si="140"/>
        <v>0</v>
      </c>
      <c r="AH172" s="526">
        <f t="shared" si="141"/>
        <v>0</v>
      </c>
      <c r="AI172" s="526">
        <f t="shared" si="142"/>
        <v>5550620.6602502558</v>
      </c>
      <c r="AJ172" s="526">
        <f t="shared" si="143"/>
        <v>1110124.1320500511</v>
      </c>
      <c r="AK172" s="526">
        <f t="shared" si="144"/>
        <v>0</v>
      </c>
      <c r="AL172" s="526">
        <f t="shared" si="145"/>
        <v>0</v>
      </c>
      <c r="AM172" s="768">
        <f t="shared" si="146"/>
        <v>6660744.7923003072</v>
      </c>
      <c r="AN172" s="766">
        <f t="shared" si="147"/>
        <v>64217597.36095088</v>
      </c>
      <c r="AO172" s="526">
        <f t="shared" si="148"/>
        <v>0</v>
      </c>
      <c r="AP172" s="526">
        <f t="shared" si="149"/>
        <v>32108798.68047544</v>
      </c>
      <c r="AQ172" s="526">
        <f t="shared" si="150"/>
        <v>45330068.72537709</v>
      </c>
      <c r="AR172" s="526">
        <f t="shared" si="151"/>
        <v>1888752.8635573785</v>
      </c>
      <c r="AS172" s="526">
        <f t="shared" si="152"/>
        <v>0</v>
      </c>
      <c r="AT172" s="768">
        <f t="shared" si="153"/>
        <v>143545217.63036078</v>
      </c>
      <c r="AU172" s="254">
        <v>0</v>
      </c>
      <c r="AV172" s="246">
        <f t="shared" si="167"/>
        <v>211.26278968541391</v>
      </c>
      <c r="AW172" s="257">
        <f t="shared" si="154"/>
        <v>3.3298681271770771</v>
      </c>
    </row>
    <row r="173" spans="1:49">
      <c r="A173" s="193">
        <f>'Input data'!A131</f>
        <v>2031</v>
      </c>
      <c r="B173" s="208">
        <f>'Input data'!B131</f>
        <v>66.6344094187031</v>
      </c>
      <c r="C173" s="417">
        <f>'Recycling - Case 2'!E111</f>
        <v>1</v>
      </c>
      <c r="D173" s="525">
        <f>'Recycling - Case 2'!F111</f>
        <v>0.36725000000000002</v>
      </c>
      <c r="E173" s="235">
        <f t="shared" si="155"/>
        <v>1037132098.3275223</v>
      </c>
      <c r="F173" s="236">
        <v>0</v>
      </c>
      <c r="G173" s="237">
        <f t="shared" si="132"/>
        <v>1037132098.3275223</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23335472.212369256</v>
      </c>
      <c r="AA173" s="236">
        <f t="shared" si="134"/>
        <v>0</v>
      </c>
      <c r="AB173" s="236">
        <f t="shared" si="135"/>
        <v>23335472.212369256</v>
      </c>
      <c r="AC173" s="236">
        <f t="shared" si="136"/>
        <v>13067864.438926784</v>
      </c>
      <c r="AD173" s="236">
        <f t="shared" si="137"/>
        <v>1866837.7769895401</v>
      </c>
      <c r="AE173" s="236">
        <f t="shared" si="138"/>
        <v>0</v>
      </c>
      <c r="AF173" s="971">
        <f t="shared" si="139"/>
        <v>61605646.64065484</v>
      </c>
      <c r="AG173" s="235">
        <f t="shared" si="140"/>
        <v>0</v>
      </c>
      <c r="AH173" s="236">
        <f t="shared" si="141"/>
        <v>0</v>
      </c>
      <c r="AI173" s="236">
        <f t="shared" si="142"/>
        <v>5600513.3309686203</v>
      </c>
      <c r="AJ173" s="236">
        <f t="shared" si="143"/>
        <v>1120102.6661937239</v>
      </c>
      <c r="AK173" s="236">
        <f t="shared" si="144"/>
        <v>0</v>
      </c>
      <c r="AL173" s="236">
        <f t="shared" si="145"/>
        <v>0</v>
      </c>
      <c r="AM173" s="242">
        <f t="shared" si="146"/>
        <v>6720615.9971623439</v>
      </c>
      <c r="AN173" s="235">
        <f t="shared" si="147"/>
        <v>64794827.843011953</v>
      </c>
      <c r="AO173" s="236">
        <f t="shared" si="148"/>
        <v>0</v>
      </c>
      <c r="AP173" s="236">
        <f t="shared" si="149"/>
        <v>32397413.921505976</v>
      </c>
      <c r="AQ173" s="236">
        <f t="shared" si="150"/>
        <v>45737525.536243737</v>
      </c>
      <c r="AR173" s="236">
        <f t="shared" si="151"/>
        <v>1905730.2306768221</v>
      </c>
      <c r="AS173" s="236">
        <f t="shared" si="152"/>
        <v>0</v>
      </c>
      <c r="AT173" s="242">
        <f t="shared" si="153"/>
        <v>144835497.5314385</v>
      </c>
      <c r="AU173" s="254">
        <v>0</v>
      </c>
      <c r="AV173" s="246">
        <f t="shared" si="167"/>
        <v>213.16176016925567</v>
      </c>
      <c r="AW173" s="257">
        <f t="shared" si="154"/>
        <v>3.3597991969031304</v>
      </c>
    </row>
    <row r="174" spans="1:49">
      <c r="A174" s="193">
        <f>'Input data'!A132</f>
        <v>2032</v>
      </c>
      <c r="B174" s="208">
        <f>'Input data'!B132</f>
        <v>67.215877817791679</v>
      </c>
      <c r="C174" s="417">
        <f>'Recycling - Case 2'!E112</f>
        <v>1</v>
      </c>
      <c r="D174" s="525">
        <f>'Recycling - Case 2'!F112</f>
        <v>0.36725000000000002</v>
      </c>
      <c r="E174" s="235">
        <f t="shared" si="155"/>
        <v>1046182370.4934915</v>
      </c>
      <c r="F174" s="236">
        <v>0</v>
      </c>
      <c r="G174" s="237">
        <f t="shared" si="132"/>
        <v>1046182370.4934915</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23539103.336103562</v>
      </c>
      <c r="AA174" s="236">
        <f t="shared" si="134"/>
        <v>0</v>
      </c>
      <c r="AB174" s="236">
        <f t="shared" si="135"/>
        <v>23539103.336103562</v>
      </c>
      <c r="AC174" s="236">
        <f t="shared" si="136"/>
        <v>13181897.868217997</v>
      </c>
      <c r="AD174" s="236">
        <f t="shared" si="137"/>
        <v>1883128.2668882851</v>
      </c>
      <c r="AE174" s="236">
        <f t="shared" si="138"/>
        <v>0</v>
      </c>
      <c r="AF174" s="971">
        <f t="shared" si="139"/>
        <v>62143232.807313405</v>
      </c>
      <c r="AG174" s="235">
        <f t="shared" si="140"/>
        <v>0</v>
      </c>
      <c r="AH174" s="236">
        <f t="shared" si="141"/>
        <v>0</v>
      </c>
      <c r="AI174" s="236">
        <f t="shared" si="142"/>
        <v>5649384.8006648542</v>
      </c>
      <c r="AJ174" s="236">
        <f t="shared" si="143"/>
        <v>1129876.9601329707</v>
      </c>
      <c r="AK174" s="236">
        <f t="shared" si="144"/>
        <v>0</v>
      </c>
      <c r="AL174" s="236">
        <f t="shared" si="145"/>
        <v>0</v>
      </c>
      <c r="AM174" s="242">
        <f t="shared" si="146"/>
        <v>6779261.7607978247</v>
      </c>
      <c r="AN174" s="235">
        <f t="shared" si="147"/>
        <v>65360243.596580878</v>
      </c>
      <c r="AO174" s="236">
        <f t="shared" si="148"/>
        <v>0</v>
      </c>
      <c r="AP174" s="236">
        <f t="shared" si="149"/>
        <v>32680121.798290439</v>
      </c>
      <c r="AQ174" s="236">
        <f t="shared" si="150"/>
        <v>46136642.538762972</v>
      </c>
      <c r="AR174" s="236">
        <f t="shared" si="151"/>
        <v>1922360.1057817906</v>
      </c>
      <c r="AS174" s="236">
        <f t="shared" si="152"/>
        <v>0</v>
      </c>
      <c r="AT174" s="242">
        <f t="shared" si="153"/>
        <v>146099368.03941607</v>
      </c>
      <c r="AU174" s="254">
        <v>0</v>
      </c>
      <c r="AV174" s="246">
        <f t="shared" si="167"/>
        <v>215.02186260752731</v>
      </c>
      <c r="AW174" s="257">
        <f t="shared" si="154"/>
        <v>3.3891176387911139</v>
      </c>
    </row>
    <row r="175" spans="1:49">
      <c r="A175" s="193">
        <f>'Input data'!A133</f>
        <v>2033</v>
      </c>
      <c r="B175" s="208">
        <f>'Input data'!B133</f>
        <v>67.784781669940756</v>
      </c>
      <c r="C175" s="417">
        <f>'Recycling - Case 2'!E113</f>
        <v>1</v>
      </c>
      <c r="D175" s="525">
        <f>'Recycling - Case 2'!F113</f>
        <v>0.36725000000000002</v>
      </c>
      <c r="E175" s="235">
        <f t="shared" si="155"/>
        <v>1055037081.6115639</v>
      </c>
      <c r="F175" s="236">
        <v>0</v>
      </c>
      <c r="G175" s="237">
        <f t="shared" si="132"/>
        <v>1055037081.6115639</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23738334.336260188</v>
      </c>
      <c r="AA175" s="236">
        <f t="shared" si="134"/>
        <v>0</v>
      </c>
      <c r="AB175" s="236">
        <f t="shared" si="135"/>
        <v>23738334.336260188</v>
      </c>
      <c r="AC175" s="236">
        <f t="shared" si="136"/>
        <v>13293467.228305709</v>
      </c>
      <c r="AD175" s="236">
        <f t="shared" si="137"/>
        <v>1899066.7469008155</v>
      </c>
      <c r="AE175" s="236">
        <f t="shared" si="138"/>
        <v>0</v>
      </c>
      <c r="AF175" s="971">
        <f t="shared" si="139"/>
        <v>62669202.647726893</v>
      </c>
      <c r="AG175" s="235">
        <f t="shared" si="140"/>
        <v>0</v>
      </c>
      <c r="AH175" s="236">
        <f t="shared" si="141"/>
        <v>0</v>
      </c>
      <c r="AI175" s="236">
        <f t="shared" si="142"/>
        <v>5697200.2407024447</v>
      </c>
      <c r="AJ175" s="236">
        <f t="shared" si="143"/>
        <v>1139440.0481404888</v>
      </c>
      <c r="AK175" s="236">
        <f t="shared" si="144"/>
        <v>0</v>
      </c>
      <c r="AL175" s="236">
        <f t="shared" si="145"/>
        <v>0</v>
      </c>
      <c r="AM175" s="242">
        <f t="shared" si="146"/>
        <v>6836640.2888429333</v>
      </c>
      <c r="AN175" s="235">
        <f t="shared" si="147"/>
        <v>65913441.673682451</v>
      </c>
      <c r="AO175" s="236">
        <f t="shared" si="148"/>
        <v>0</v>
      </c>
      <c r="AP175" s="236">
        <f t="shared" si="149"/>
        <v>32956720.836841226</v>
      </c>
      <c r="AQ175" s="236">
        <f t="shared" si="150"/>
        <v>46527135.299069971</v>
      </c>
      <c r="AR175" s="236">
        <f t="shared" si="151"/>
        <v>1938630.6374612486</v>
      </c>
      <c r="AS175" s="236">
        <f t="shared" si="152"/>
        <v>0</v>
      </c>
      <c r="AT175" s="242">
        <f t="shared" si="153"/>
        <v>147335928.44705489</v>
      </c>
      <c r="AU175" s="254">
        <v>0</v>
      </c>
      <c r="AV175" s="246">
        <f t="shared" si="167"/>
        <v>216.84177138362475</v>
      </c>
      <c r="AW175" s="257">
        <f t="shared" si="154"/>
        <v>3.4178025588232726</v>
      </c>
    </row>
    <row r="176" spans="1:49">
      <c r="A176" s="193">
        <f>'Input data'!A134</f>
        <v>2034</v>
      </c>
      <c r="B176" s="208">
        <f>'Input data'!B134</f>
        <v>68.342055626742408</v>
      </c>
      <c r="C176" s="417">
        <f>'Recycling - Case 2'!E114</f>
        <v>1</v>
      </c>
      <c r="D176" s="525">
        <f>'Recycling - Case 2'!F114</f>
        <v>0.36725000000000002</v>
      </c>
      <c r="E176" s="235">
        <f t="shared" si="155"/>
        <v>1063710779.0781276</v>
      </c>
      <c r="F176" s="236">
        <v>0</v>
      </c>
      <c r="G176" s="237">
        <f t="shared" si="132"/>
        <v>1063710779.0781276</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23933492.529257875</v>
      </c>
      <c r="AA176" s="236">
        <f t="shared" si="134"/>
        <v>0</v>
      </c>
      <c r="AB176" s="236">
        <f t="shared" si="135"/>
        <v>23933492.529257875</v>
      </c>
      <c r="AC176" s="236">
        <f t="shared" si="136"/>
        <v>13402755.816384412</v>
      </c>
      <c r="AD176" s="236">
        <f t="shared" si="137"/>
        <v>1914679.4023406298</v>
      </c>
      <c r="AE176" s="236">
        <f t="shared" si="138"/>
        <v>0</v>
      </c>
      <c r="AF176" s="971">
        <f t="shared" si="139"/>
        <v>63184420.27724079</v>
      </c>
      <c r="AG176" s="235">
        <f t="shared" si="140"/>
        <v>0</v>
      </c>
      <c r="AH176" s="236">
        <f t="shared" si="141"/>
        <v>0</v>
      </c>
      <c r="AI176" s="236">
        <f t="shared" si="142"/>
        <v>5744038.2070218893</v>
      </c>
      <c r="AJ176" s="236">
        <f t="shared" si="143"/>
        <v>1148807.6414043778</v>
      </c>
      <c r="AK176" s="236">
        <f t="shared" si="144"/>
        <v>0</v>
      </c>
      <c r="AL176" s="236">
        <f t="shared" si="145"/>
        <v>0</v>
      </c>
      <c r="AM176" s="242">
        <f t="shared" si="146"/>
        <v>6892845.8484262675</v>
      </c>
      <c r="AN176" s="235">
        <f t="shared" si="147"/>
        <v>66455330.922906019</v>
      </c>
      <c r="AO176" s="236">
        <f t="shared" si="148"/>
        <v>0</v>
      </c>
      <c r="AP176" s="236">
        <f t="shared" si="149"/>
        <v>33227665.461453009</v>
      </c>
      <c r="AQ176" s="236">
        <f t="shared" si="150"/>
        <v>46909645.357345425</v>
      </c>
      <c r="AR176" s="236">
        <f t="shared" si="151"/>
        <v>1954568.5565560593</v>
      </c>
      <c r="AS176" s="236">
        <f t="shared" si="152"/>
        <v>0</v>
      </c>
      <c r="AT176" s="242">
        <f t="shared" si="153"/>
        <v>148547210.29826051</v>
      </c>
      <c r="AU176" s="254">
        <v>0</v>
      </c>
      <c r="AV176" s="246">
        <f t="shared" si="167"/>
        <v>218.62447642392758</v>
      </c>
      <c r="AW176" s="257">
        <f t="shared" si="154"/>
        <v>3.4459010834271635</v>
      </c>
    </row>
    <row r="177" spans="1:49">
      <c r="A177" s="193">
        <f>'Input data'!A135</f>
        <v>2035</v>
      </c>
      <c r="B177" s="208">
        <f>'Input data'!B135</f>
        <v>68.88733085860035</v>
      </c>
      <c r="C177" s="417">
        <f>'Recycling - Case 2'!E115</f>
        <v>1</v>
      </c>
      <c r="D177" s="525">
        <f>'Recycling - Case 2'!F115</f>
        <v>0.36725000000000002</v>
      </c>
      <c r="E177" s="235">
        <f t="shared" si="155"/>
        <v>1072197722.2403212</v>
      </c>
      <c r="F177" s="236">
        <v>0</v>
      </c>
      <c r="G177" s="237">
        <f t="shared" si="132"/>
        <v>1072197722.2403212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24124448.75040723</v>
      </c>
      <c r="AA177" s="236">
        <f t="shared" si="134"/>
        <v>0</v>
      </c>
      <c r="AB177" s="236">
        <f t="shared" si="135"/>
        <v>24124448.75040723</v>
      </c>
      <c r="AC177" s="236">
        <f t="shared" si="136"/>
        <v>13509691.300228052</v>
      </c>
      <c r="AD177" s="236">
        <f t="shared" si="137"/>
        <v>1929955.9000325785</v>
      </c>
      <c r="AE177" s="236">
        <f t="shared" si="138"/>
        <v>0</v>
      </c>
      <c r="AF177" s="971">
        <f t="shared" si="139"/>
        <v>63688544.701075092</v>
      </c>
      <c r="AG177" s="235">
        <f t="shared" si="140"/>
        <v>0</v>
      </c>
      <c r="AH177" s="236">
        <f t="shared" si="141"/>
        <v>0</v>
      </c>
      <c r="AI177" s="236">
        <f t="shared" si="142"/>
        <v>5789867.7000977341</v>
      </c>
      <c r="AJ177" s="236">
        <f t="shared" si="143"/>
        <v>1157973.5400195469</v>
      </c>
      <c r="AK177" s="236">
        <f t="shared" si="144"/>
        <v>0</v>
      </c>
      <c r="AL177" s="236">
        <f t="shared" si="145"/>
        <v>0</v>
      </c>
      <c r="AM177" s="242">
        <f t="shared" si="146"/>
        <v>6947841.2401172807</v>
      </c>
      <c r="AN177" s="235">
        <f t="shared" si="147"/>
        <v>66985552.696964055</v>
      </c>
      <c r="AO177" s="236">
        <f t="shared" si="148"/>
        <v>0</v>
      </c>
      <c r="AP177" s="236">
        <f t="shared" si="149"/>
        <v>33492776.348482028</v>
      </c>
      <c r="AQ177" s="236">
        <f t="shared" si="150"/>
        <v>47283919.550798163</v>
      </c>
      <c r="AR177" s="236">
        <f t="shared" si="151"/>
        <v>1970163.31461659</v>
      </c>
      <c r="AS177" s="236">
        <f t="shared" si="152"/>
        <v>0</v>
      </c>
      <c r="AT177" s="242">
        <f t="shared" si="153"/>
        <v>149732411.91086084</v>
      </c>
      <c r="AU177" s="254">
        <v>0</v>
      </c>
      <c r="AV177" s="246">
        <f t="shared" si="167"/>
        <v>220.36879785205323</v>
      </c>
      <c r="AW177" s="257">
        <f t="shared" si="154"/>
        <v>3.4733946157037967</v>
      </c>
    </row>
    <row r="178" spans="1:49">
      <c r="A178" s="193">
        <f>'Input data'!A136</f>
        <v>2036</v>
      </c>
      <c r="B178" s="208">
        <f>'Input data'!B136</f>
        <v>69.420244147098416</v>
      </c>
      <c r="C178" s="417">
        <f>'Recycling - Case 2'!E116</f>
        <v>1</v>
      </c>
      <c r="D178" s="525">
        <f>'Recycling - Case 2'!F116</f>
        <v>0.36725000000000002</v>
      </c>
      <c r="E178" s="235">
        <f t="shared" si="155"/>
        <v>1080492257.7805653</v>
      </c>
      <c r="F178" s="236">
        <v>0</v>
      </c>
      <c r="G178" s="237">
        <f t="shared" si="132"/>
        <v>1080492257.7805653</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24311075.80006272</v>
      </c>
      <c r="AA178" s="236">
        <f t="shared" si="134"/>
        <v>0</v>
      </c>
      <c r="AB178" s="236">
        <f t="shared" si="135"/>
        <v>24311075.80006272</v>
      </c>
      <c r="AC178" s="236">
        <f t="shared" si="136"/>
        <v>13614202.448035127</v>
      </c>
      <c r="AD178" s="236">
        <f t="shared" si="137"/>
        <v>1944886.064005018</v>
      </c>
      <c r="AE178" s="236">
        <f t="shared" si="138"/>
        <v>0</v>
      </c>
      <c r="AF178" s="971">
        <f t="shared" si="139"/>
        <v>64181240.112165585</v>
      </c>
      <c r="AG178" s="235">
        <f t="shared" si="140"/>
        <v>0</v>
      </c>
      <c r="AH178" s="236">
        <f t="shared" si="141"/>
        <v>0</v>
      </c>
      <c r="AI178" s="236">
        <f t="shared" si="142"/>
        <v>5834658.1920150518</v>
      </c>
      <c r="AJ178" s="236">
        <f t="shared" si="143"/>
        <v>1166931.6384030103</v>
      </c>
      <c r="AK178" s="236">
        <f t="shared" si="144"/>
        <v>0</v>
      </c>
      <c r="AL178" s="236">
        <f t="shared" si="145"/>
        <v>0</v>
      </c>
      <c r="AM178" s="242">
        <f t="shared" si="146"/>
        <v>7001589.8304180624</v>
      </c>
      <c r="AN178" s="235">
        <f t="shared" si="147"/>
        <v>67503753.804840818</v>
      </c>
      <c r="AO178" s="236">
        <f t="shared" si="148"/>
        <v>0</v>
      </c>
      <c r="AP178" s="236">
        <f t="shared" si="149"/>
        <v>33751876.902420409</v>
      </c>
      <c r="AQ178" s="236">
        <f t="shared" si="150"/>
        <v>47649708.568122923</v>
      </c>
      <c r="AR178" s="236">
        <f t="shared" si="151"/>
        <v>1985404.5236717886</v>
      </c>
      <c r="AS178" s="236">
        <f t="shared" si="152"/>
        <v>0</v>
      </c>
      <c r="AT178" s="242">
        <f t="shared" si="153"/>
        <v>150890743.79905593</v>
      </c>
      <c r="AU178" s="254">
        <v>0</v>
      </c>
      <c r="AV178" s="246">
        <f t="shared" si="167"/>
        <v>222.07357374163959</v>
      </c>
      <c r="AW178" s="257">
        <f t="shared" si="154"/>
        <v>3.5002648416776503</v>
      </c>
    </row>
    <row r="179" spans="1:49">
      <c r="A179" s="193">
        <f>'Input data'!A137</f>
        <v>2037</v>
      </c>
      <c r="B179" s="208">
        <f>'Input data'!B137</f>
        <v>69.940438284968707</v>
      </c>
      <c r="C179" s="417">
        <f>'Recycling - Case 2'!E117</f>
        <v>1</v>
      </c>
      <c r="D179" s="525">
        <f>'Recycling - Case 2'!F117</f>
        <v>0.36725000000000002</v>
      </c>
      <c r="E179" s="235">
        <f t="shared" si="155"/>
        <v>1088588825.941874</v>
      </c>
      <c r="F179" s="236">
        <v>0</v>
      </c>
      <c r="G179" s="237">
        <f t="shared" si="132"/>
        <v>1088588825.941874</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24493248.583692167</v>
      </c>
      <c r="AA179" s="236">
        <f t="shared" si="134"/>
        <v>0</v>
      </c>
      <c r="AB179" s="236">
        <f t="shared" si="135"/>
        <v>24493248.583692167</v>
      </c>
      <c r="AC179" s="236">
        <f t="shared" si="136"/>
        <v>13716219.206867617</v>
      </c>
      <c r="AD179" s="236">
        <f t="shared" si="137"/>
        <v>1959459.8866953736</v>
      </c>
      <c r="AE179" s="236">
        <f t="shared" si="138"/>
        <v>0</v>
      </c>
      <c r="AF179" s="971">
        <f t="shared" si="139"/>
        <v>64662176.260947317</v>
      </c>
      <c r="AG179" s="235">
        <f t="shared" si="140"/>
        <v>0</v>
      </c>
      <c r="AH179" s="236">
        <f t="shared" si="141"/>
        <v>0</v>
      </c>
      <c r="AI179" s="236">
        <f t="shared" si="142"/>
        <v>5878379.6600861186</v>
      </c>
      <c r="AJ179" s="236">
        <f t="shared" si="143"/>
        <v>1175675.9320172237</v>
      </c>
      <c r="AK179" s="236">
        <f t="shared" si="144"/>
        <v>0</v>
      </c>
      <c r="AL179" s="236">
        <f t="shared" si="145"/>
        <v>0</v>
      </c>
      <c r="AM179" s="242">
        <f t="shared" si="146"/>
        <v>7054055.5921033425</v>
      </c>
      <c r="AN179" s="235">
        <f t="shared" si="147"/>
        <v>68009586.90071857</v>
      </c>
      <c r="AO179" s="236">
        <f t="shared" si="148"/>
        <v>0</v>
      </c>
      <c r="AP179" s="236">
        <f t="shared" si="149"/>
        <v>34004793.450359285</v>
      </c>
      <c r="AQ179" s="236">
        <f t="shared" si="150"/>
        <v>48006767.224036641</v>
      </c>
      <c r="AR179" s="236">
        <f t="shared" si="151"/>
        <v>2000281.9676681934</v>
      </c>
      <c r="AS179" s="236">
        <f t="shared" si="152"/>
        <v>0</v>
      </c>
      <c r="AT179" s="242">
        <f t="shared" si="153"/>
        <v>152021429.54278269</v>
      </c>
      <c r="AU179" s="254">
        <v>0</v>
      </c>
      <c r="AV179" s="246">
        <f t="shared" si="167"/>
        <v>223.73766139583338</v>
      </c>
      <c r="AW179" s="257">
        <f t="shared" si="154"/>
        <v>3.5264937504636227</v>
      </c>
    </row>
    <row r="180" spans="1:49">
      <c r="A180" s="193">
        <f>'Input data'!A138</f>
        <v>2038</v>
      </c>
      <c r="B180" s="208">
        <f>'Input data'!B138</f>
        <v>70.447562472153166</v>
      </c>
      <c r="C180" s="417">
        <f>'Recycling - Case 2'!E118</f>
        <v>1</v>
      </c>
      <c r="D180" s="525">
        <f>'Recycling - Case 2'!F118</f>
        <v>0.36725000000000002</v>
      </c>
      <c r="E180" s="235">
        <f t="shared" si="155"/>
        <v>1096481966.692359</v>
      </c>
      <c r="F180" s="236">
        <v>0</v>
      </c>
      <c r="G180" s="237">
        <f t="shared" si="132"/>
        <v>1096481966.692359</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24670844.250578079</v>
      </c>
      <c r="AA180" s="236">
        <f t="shared" si="134"/>
        <v>0</v>
      </c>
      <c r="AB180" s="236">
        <f t="shared" si="135"/>
        <v>24670844.250578079</v>
      </c>
      <c r="AC180" s="236">
        <f t="shared" si="136"/>
        <v>13815672.780323727</v>
      </c>
      <c r="AD180" s="236">
        <f t="shared" si="137"/>
        <v>1973667.5400462465</v>
      </c>
      <c r="AE180" s="236">
        <f t="shared" si="138"/>
        <v>0</v>
      </c>
      <c r="AF180" s="971">
        <f t="shared" si="139"/>
        <v>65131028.821526133</v>
      </c>
      <c r="AG180" s="235">
        <f t="shared" si="140"/>
        <v>0</v>
      </c>
      <c r="AH180" s="236">
        <f t="shared" si="141"/>
        <v>0</v>
      </c>
      <c r="AI180" s="236">
        <f t="shared" si="142"/>
        <v>5921002.6201387383</v>
      </c>
      <c r="AJ180" s="236">
        <f t="shared" si="143"/>
        <v>1184200.5240277476</v>
      </c>
      <c r="AK180" s="236">
        <f t="shared" si="144"/>
        <v>0</v>
      </c>
      <c r="AL180" s="236">
        <f t="shared" si="145"/>
        <v>0</v>
      </c>
      <c r="AM180" s="242">
        <f t="shared" si="146"/>
        <v>7105203.1441664863</v>
      </c>
      <c r="AN180" s="235">
        <f t="shared" si="147"/>
        <v>68502710.86910513</v>
      </c>
      <c r="AO180" s="236">
        <f t="shared" si="148"/>
        <v>0</v>
      </c>
      <c r="AP180" s="236">
        <f t="shared" si="149"/>
        <v>34251355.434552565</v>
      </c>
      <c r="AQ180" s="236">
        <f t="shared" si="150"/>
        <v>48354854.731133029</v>
      </c>
      <c r="AR180" s="236">
        <f t="shared" si="151"/>
        <v>2014785.6137972095</v>
      </c>
      <c r="AS180" s="236">
        <f t="shared" si="152"/>
        <v>0</v>
      </c>
      <c r="AT180" s="242">
        <f t="shared" si="153"/>
        <v>153123706.64858794</v>
      </c>
      <c r="AU180" s="254">
        <v>0</v>
      </c>
      <c r="AV180" s="246">
        <f t="shared" si="167"/>
        <v>225.35993861428059</v>
      </c>
      <c r="AW180" s="257">
        <f t="shared" si="154"/>
        <v>3.5520636542370059</v>
      </c>
    </row>
    <row r="181" spans="1:49">
      <c r="A181" s="193">
        <f>'Input data'!A139</f>
        <v>2039</v>
      </c>
      <c r="B181" s="208">
        <f>'Input data'!B139</f>
        <v>70.942722252264574</v>
      </c>
      <c r="C181" s="417">
        <f>'Recycling - Case 2'!E119</f>
        <v>1</v>
      </c>
      <c r="D181" s="525">
        <f>'Recycling - Case 2'!F119</f>
        <v>0.36725000000000002</v>
      </c>
      <c r="E181" s="235">
        <f t="shared" si="155"/>
        <v>1104188887.2794001</v>
      </c>
      <c r="F181" s="236">
        <v>0</v>
      </c>
      <c r="G181" s="237">
        <f t="shared" si="132"/>
        <v>1104188887.2794001</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24844249.963786505</v>
      </c>
      <c r="AA181" s="236">
        <f t="shared" si="134"/>
        <v>0</v>
      </c>
      <c r="AB181" s="236">
        <f t="shared" si="135"/>
        <v>24844249.963786505</v>
      </c>
      <c r="AC181" s="236">
        <f t="shared" si="136"/>
        <v>13912779.979720445</v>
      </c>
      <c r="AD181" s="236">
        <f t="shared" si="137"/>
        <v>1987539.9971029207</v>
      </c>
      <c r="AE181" s="236">
        <f t="shared" si="138"/>
        <v>0</v>
      </c>
      <c r="AF181" s="971">
        <f t="shared" si="139"/>
        <v>65588819.904396378</v>
      </c>
      <c r="AG181" s="235">
        <f t="shared" si="140"/>
        <v>0</v>
      </c>
      <c r="AH181" s="236">
        <f t="shared" si="141"/>
        <v>0</v>
      </c>
      <c r="AI181" s="236">
        <f t="shared" si="142"/>
        <v>5962619.9913087599</v>
      </c>
      <c r="AJ181" s="236">
        <f t="shared" si="143"/>
        <v>1192523.9982617518</v>
      </c>
      <c r="AK181" s="236">
        <f t="shared" si="144"/>
        <v>0</v>
      </c>
      <c r="AL181" s="236">
        <f t="shared" si="145"/>
        <v>0</v>
      </c>
      <c r="AM181" s="242">
        <f t="shared" si="146"/>
        <v>7155143.9895705115</v>
      </c>
      <c r="AN181" s="235">
        <f t="shared" si="147"/>
        <v>68984200.732780531</v>
      </c>
      <c r="AO181" s="236">
        <f t="shared" si="148"/>
        <v>0</v>
      </c>
      <c r="AP181" s="236">
        <f t="shared" si="149"/>
        <v>34492100.366390266</v>
      </c>
      <c r="AQ181" s="236">
        <f t="shared" si="150"/>
        <v>48694729.929021545</v>
      </c>
      <c r="AR181" s="236">
        <f t="shared" si="151"/>
        <v>2028947.0803758977</v>
      </c>
      <c r="AS181" s="236">
        <f t="shared" si="152"/>
        <v>0</v>
      </c>
      <c r="AT181" s="242">
        <f t="shared" si="153"/>
        <v>154199978.10856825</v>
      </c>
      <c r="AU181" s="254">
        <v>0</v>
      </c>
      <c r="AV181" s="246">
        <f t="shared" si="167"/>
        <v>226.94394200253512</v>
      </c>
      <c r="AW181" s="257">
        <f t="shared" si="154"/>
        <v>3.5770302960376927</v>
      </c>
    </row>
    <row r="182" spans="1:49">
      <c r="A182" s="193">
        <f>'Input data'!A140</f>
        <v>2040</v>
      </c>
      <c r="B182" s="208">
        <f>'Input data'!B140</f>
        <v>71.425610993241406</v>
      </c>
      <c r="C182" s="417">
        <f>'Recycling - Case 2'!E120</f>
        <v>1</v>
      </c>
      <c r="D182" s="525">
        <f>'Recycling - Case 2'!F120</f>
        <v>0.36725000000000002</v>
      </c>
      <c r="E182" s="235">
        <f t="shared" si="155"/>
        <v>1111704815.1244435</v>
      </c>
      <c r="F182" s="236">
        <v>0</v>
      </c>
      <c r="G182" s="237">
        <f t="shared" si="132"/>
        <v>1111704815.1244435</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25013358.340299983</v>
      </c>
      <c r="AA182" s="236">
        <f t="shared" si="134"/>
        <v>0</v>
      </c>
      <c r="AB182" s="236">
        <f t="shared" si="135"/>
        <v>25013358.340299983</v>
      </c>
      <c r="AC182" s="236">
        <f t="shared" si="136"/>
        <v>14007480.670567991</v>
      </c>
      <c r="AD182" s="236">
        <f t="shared" si="137"/>
        <v>2001068.6672239983</v>
      </c>
      <c r="AE182" s="236">
        <f t="shared" si="138"/>
        <v>0</v>
      </c>
      <c r="AF182" s="971">
        <f t="shared" si="139"/>
        <v>66035266.018391952</v>
      </c>
      <c r="AG182" s="235">
        <f t="shared" si="140"/>
        <v>0</v>
      </c>
      <c r="AH182" s="236">
        <f t="shared" si="141"/>
        <v>0</v>
      </c>
      <c r="AI182" s="236">
        <f t="shared" si="142"/>
        <v>6003206.001671995</v>
      </c>
      <c r="AJ182" s="236">
        <f t="shared" si="143"/>
        <v>1200641.2003343988</v>
      </c>
      <c r="AK182" s="236">
        <f t="shared" si="144"/>
        <v>0</v>
      </c>
      <c r="AL182" s="236">
        <f t="shared" si="145"/>
        <v>0</v>
      </c>
      <c r="AM182" s="242">
        <f t="shared" si="146"/>
        <v>7203847.202006394</v>
      </c>
      <c r="AN182" s="235">
        <f t="shared" si="147"/>
        <v>69453758.324899599</v>
      </c>
      <c r="AO182" s="236">
        <f t="shared" si="148"/>
        <v>0</v>
      </c>
      <c r="AP182" s="236">
        <f t="shared" si="149"/>
        <v>34726879.162449799</v>
      </c>
      <c r="AQ182" s="236">
        <f t="shared" si="150"/>
        <v>49026182.346987955</v>
      </c>
      <c r="AR182" s="236">
        <f t="shared" si="151"/>
        <v>2042757.5977911649</v>
      </c>
      <c r="AS182" s="236">
        <f t="shared" si="152"/>
        <v>0</v>
      </c>
      <c r="AT182" s="242">
        <f t="shared" si="153"/>
        <v>155249577.43212852</v>
      </c>
      <c r="AU182" s="254">
        <v>0</v>
      </c>
      <c r="AV182" s="246">
        <f t="shared" si="167"/>
        <v>228.48869065252686</v>
      </c>
      <c r="AW182" s="257">
        <f t="shared" si="154"/>
        <v>3.6013782150525211</v>
      </c>
    </row>
    <row r="183" spans="1:49">
      <c r="A183" s="193">
        <f>'Input data'!A141</f>
        <v>2041</v>
      </c>
      <c r="B183" s="208">
        <f>'Input data'!B141</f>
        <v>71.895928013305991</v>
      </c>
      <c r="C183" s="417">
        <f>'Recycling - Case 2'!E121</f>
        <v>1</v>
      </c>
      <c r="D183" s="525">
        <f>'Recycling - Case 2'!F121</f>
        <v>0.36725000000000002</v>
      </c>
      <c r="E183" s="235">
        <f t="shared" si="155"/>
        <v>1119025070.2622013</v>
      </c>
      <c r="F183" s="236">
        <v>0</v>
      </c>
      <c r="G183" s="237">
        <f t="shared" si="132"/>
        <v>1119025070.2622013</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25178064.080899533</v>
      </c>
      <c r="AA183" s="236">
        <f t="shared" si="134"/>
        <v>0</v>
      </c>
      <c r="AB183" s="236">
        <f t="shared" si="135"/>
        <v>25178064.080899533</v>
      </c>
      <c r="AC183" s="236">
        <f t="shared" si="136"/>
        <v>14099715.885303741</v>
      </c>
      <c r="AD183" s="236">
        <f t="shared" si="137"/>
        <v>2014245.1264719628</v>
      </c>
      <c r="AE183" s="236">
        <f t="shared" si="138"/>
        <v>0</v>
      </c>
      <c r="AF183" s="971">
        <f t="shared" si="139"/>
        <v>66470089.173574775</v>
      </c>
      <c r="AG183" s="235">
        <f t="shared" si="140"/>
        <v>0</v>
      </c>
      <c r="AH183" s="236">
        <f t="shared" si="141"/>
        <v>0</v>
      </c>
      <c r="AI183" s="236">
        <f t="shared" si="142"/>
        <v>6042735.3794158865</v>
      </c>
      <c r="AJ183" s="236">
        <f t="shared" si="143"/>
        <v>1208547.0758831771</v>
      </c>
      <c r="AK183" s="236">
        <f t="shared" si="144"/>
        <v>0</v>
      </c>
      <c r="AL183" s="236">
        <f t="shared" si="145"/>
        <v>0</v>
      </c>
      <c r="AM183" s="242">
        <f t="shared" si="146"/>
        <v>7251282.4552990636</v>
      </c>
      <c r="AN183" s="235">
        <f t="shared" si="147"/>
        <v>69911091.264631033</v>
      </c>
      <c r="AO183" s="236">
        <f t="shared" si="148"/>
        <v>0</v>
      </c>
      <c r="AP183" s="236">
        <f t="shared" si="149"/>
        <v>34955545.632315516</v>
      </c>
      <c r="AQ183" s="236">
        <f t="shared" si="150"/>
        <v>49349005.598563075</v>
      </c>
      <c r="AR183" s="236">
        <f t="shared" si="151"/>
        <v>2056208.5666067949</v>
      </c>
      <c r="AS183" s="236">
        <f t="shared" si="152"/>
        <v>0</v>
      </c>
      <c r="AT183" s="242">
        <f t="shared" si="153"/>
        <v>156271851.06211641</v>
      </c>
      <c r="AU183" s="254">
        <v>0</v>
      </c>
      <c r="AV183" s="246">
        <f t="shared" si="167"/>
        <v>229.99322269099028</v>
      </c>
      <c r="AW183" s="257">
        <f t="shared" si="154"/>
        <v>3.6250922504898839</v>
      </c>
    </row>
    <row r="184" spans="1:49">
      <c r="A184" s="193">
        <f>'Input data'!A142</f>
        <v>2042</v>
      </c>
      <c r="B184" s="208">
        <f>'Input data'!B142</f>
        <v>72.353378891150228</v>
      </c>
      <c r="C184" s="417">
        <f>'Recycling - Case 2'!E122</f>
        <v>1</v>
      </c>
      <c r="D184" s="525">
        <f>'Recycling - Case 2'!F122</f>
        <v>0.36725000000000002</v>
      </c>
      <c r="E184" s="235">
        <f t="shared" si="155"/>
        <v>1126145070.1685441</v>
      </c>
      <c r="F184" s="236">
        <v>0</v>
      </c>
      <c r="G184" s="237">
        <f t="shared" si="132"/>
        <v>1126145070.1685441</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25338264.078792244</v>
      </c>
      <c r="AA184" s="236">
        <f t="shared" si="134"/>
        <v>0</v>
      </c>
      <c r="AB184" s="236">
        <f t="shared" si="135"/>
        <v>25338264.078792244</v>
      </c>
      <c r="AC184" s="236">
        <f t="shared" si="136"/>
        <v>14189427.884123659</v>
      </c>
      <c r="AD184" s="236">
        <f t="shared" si="137"/>
        <v>2027061.1263033797</v>
      </c>
      <c r="AE184" s="236">
        <f t="shared" si="138"/>
        <v>0</v>
      </c>
      <c r="AF184" s="971">
        <f t="shared" si="139"/>
        <v>66893017.168011531</v>
      </c>
      <c r="AG184" s="235">
        <f t="shared" si="140"/>
        <v>0</v>
      </c>
      <c r="AH184" s="236">
        <f t="shared" si="141"/>
        <v>0</v>
      </c>
      <c r="AI184" s="236">
        <f t="shared" si="142"/>
        <v>6081183.3789101373</v>
      </c>
      <c r="AJ184" s="236">
        <f t="shared" si="143"/>
        <v>1216236.6757820274</v>
      </c>
      <c r="AK184" s="236">
        <f t="shared" si="144"/>
        <v>0</v>
      </c>
      <c r="AL184" s="236">
        <f t="shared" si="145"/>
        <v>0</v>
      </c>
      <c r="AM184" s="242">
        <f t="shared" si="146"/>
        <v>7297420.054692165</v>
      </c>
      <c r="AN184" s="235">
        <f t="shared" si="147"/>
        <v>70355913.258779794</v>
      </c>
      <c r="AO184" s="236">
        <f t="shared" si="148"/>
        <v>0</v>
      </c>
      <c r="AP184" s="236">
        <f t="shared" si="149"/>
        <v>35177956.629389897</v>
      </c>
      <c r="AQ184" s="236">
        <f t="shared" si="150"/>
        <v>49662997.594432794</v>
      </c>
      <c r="AR184" s="236">
        <f t="shared" si="151"/>
        <v>2069291.5664346998</v>
      </c>
      <c r="AS184" s="236">
        <f t="shared" si="152"/>
        <v>0</v>
      </c>
      <c r="AT184" s="242">
        <f t="shared" si="153"/>
        <v>157266159.04903719</v>
      </c>
      <c r="AU184" s="254">
        <v>0</v>
      </c>
      <c r="AV184" s="246">
        <f t="shared" si="167"/>
        <v>231.45659627174089</v>
      </c>
      <c r="AW184" s="257">
        <f t="shared" si="154"/>
        <v>3.6481575572197178</v>
      </c>
    </row>
    <row r="185" spans="1:49">
      <c r="A185" s="193">
        <f>'Input data'!A143</f>
        <v>2043</v>
      </c>
      <c r="B185" s="208">
        <f>'Input data'!B143</f>
        <v>72.797675771420302</v>
      </c>
      <c r="C185" s="417">
        <f>'Recycling - Case 2'!E123</f>
        <v>1</v>
      </c>
      <c r="D185" s="525">
        <f>'Recycling - Case 2'!F123</f>
        <v>0.36725000000000002</v>
      </c>
      <c r="E185" s="235">
        <f t="shared" si="155"/>
        <v>1133060334.5152185</v>
      </c>
      <c r="F185" s="236">
        <v>0</v>
      </c>
      <c r="G185" s="237">
        <f t="shared" si="132"/>
        <v>1133060334.5152185</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25493857.526592419</v>
      </c>
      <c r="AA185" s="236">
        <f t="shared" si="134"/>
        <v>0</v>
      </c>
      <c r="AB185" s="236">
        <f t="shared" si="135"/>
        <v>25493857.526592419</v>
      </c>
      <c r="AC185" s="236">
        <f t="shared" si="136"/>
        <v>14276560.214891756</v>
      </c>
      <c r="AD185" s="236">
        <f t="shared" si="137"/>
        <v>2039508.6021273937</v>
      </c>
      <c r="AE185" s="236">
        <f t="shared" si="138"/>
        <v>0</v>
      </c>
      <c r="AF185" s="971">
        <f t="shared" si="139"/>
        <v>67303783.870203987</v>
      </c>
      <c r="AG185" s="235">
        <f t="shared" si="140"/>
        <v>0</v>
      </c>
      <c r="AH185" s="236">
        <f t="shared" si="141"/>
        <v>0</v>
      </c>
      <c r="AI185" s="236">
        <f t="shared" si="142"/>
        <v>6118525.8063821793</v>
      </c>
      <c r="AJ185" s="236">
        <f t="shared" si="143"/>
        <v>1223705.1612764357</v>
      </c>
      <c r="AK185" s="236">
        <f t="shared" si="144"/>
        <v>0</v>
      </c>
      <c r="AL185" s="236">
        <f t="shared" si="145"/>
        <v>0</v>
      </c>
      <c r="AM185" s="242">
        <f t="shared" si="146"/>
        <v>7342230.9676586147</v>
      </c>
      <c r="AN185" s="235">
        <f t="shared" si="147"/>
        <v>70787944.398838267</v>
      </c>
      <c r="AO185" s="236">
        <f t="shared" si="148"/>
        <v>0</v>
      </c>
      <c r="AP185" s="236">
        <f t="shared" si="149"/>
        <v>35393972.199419133</v>
      </c>
      <c r="AQ185" s="236">
        <f t="shared" si="150"/>
        <v>49967960.752121136</v>
      </c>
      <c r="AR185" s="236">
        <f t="shared" si="151"/>
        <v>2081998.3646717139</v>
      </c>
      <c r="AS185" s="236">
        <f t="shared" si="152"/>
        <v>0</v>
      </c>
      <c r="AT185" s="242">
        <f t="shared" si="153"/>
        <v>158231875.71505022</v>
      </c>
      <c r="AU185" s="254">
        <v>0</v>
      </c>
      <c r="AV185" s="246">
        <f t="shared" si="167"/>
        <v>232.87789055291285</v>
      </c>
      <c r="AW185" s="257">
        <f t="shared" si="154"/>
        <v>3.6705596211764653</v>
      </c>
    </row>
    <row r="186" spans="1:49">
      <c r="A186" s="193">
        <f>'Input data'!A144</f>
        <v>2044</v>
      </c>
      <c r="B186" s="208">
        <f>'Input data'!B144</f>
        <v>73.228597899236789</v>
      </c>
      <c r="C186" s="417">
        <f>'Recycling - Case 2'!E124</f>
        <v>1</v>
      </c>
      <c r="D186" s="525">
        <f>'Recycling - Case 2'!F124</f>
        <v>0.36725000000000002</v>
      </c>
      <c r="E186" s="235">
        <f t="shared" si="155"/>
        <v>1139767427.3601449</v>
      </c>
      <c r="F186" s="236">
        <v>0</v>
      </c>
      <c r="G186" s="237">
        <f t="shared" si="132"/>
        <v>1139767427.3601449</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25644767.115603261</v>
      </c>
      <c r="AA186" s="236">
        <f t="shared" si="134"/>
        <v>0</v>
      </c>
      <c r="AB186" s="236">
        <f t="shared" si="135"/>
        <v>25644767.115603261</v>
      </c>
      <c r="AC186" s="236">
        <f t="shared" si="136"/>
        <v>14361069.58473783</v>
      </c>
      <c r="AD186" s="236">
        <f t="shared" si="137"/>
        <v>2051581.369248261</v>
      </c>
      <c r="AE186" s="236">
        <f t="shared" si="138"/>
        <v>0</v>
      </c>
      <c r="AF186" s="971">
        <f t="shared" si="139"/>
        <v>67702185.185192615</v>
      </c>
      <c r="AG186" s="235">
        <f t="shared" si="140"/>
        <v>0</v>
      </c>
      <c r="AH186" s="236">
        <f t="shared" si="141"/>
        <v>0</v>
      </c>
      <c r="AI186" s="236">
        <f t="shared" si="142"/>
        <v>6154744.1077447813</v>
      </c>
      <c r="AJ186" s="236">
        <f t="shared" si="143"/>
        <v>1230948.8215489562</v>
      </c>
      <c r="AK186" s="236">
        <f t="shared" si="144"/>
        <v>0</v>
      </c>
      <c r="AL186" s="236">
        <f t="shared" si="145"/>
        <v>0</v>
      </c>
      <c r="AM186" s="242">
        <f t="shared" si="146"/>
        <v>7385692.9292937377</v>
      </c>
      <c r="AN186" s="235">
        <f t="shared" si="147"/>
        <v>71206970.024325043</v>
      </c>
      <c r="AO186" s="236">
        <f t="shared" si="148"/>
        <v>0</v>
      </c>
      <c r="AP186" s="236">
        <f t="shared" si="149"/>
        <v>35603485.012162521</v>
      </c>
      <c r="AQ186" s="236">
        <f t="shared" si="150"/>
        <v>50263743.546582386</v>
      </c>
      <c r="AR186" s="236">
        <f t="shared" si="151"/>
        <v>2094322.6477742658</v>
      </c>
      <c r="AS186" s="236">
        <f t="shared" si="152"/>
        <v>0</v>
      </c>
      <c r="AT186" s="242">
        <f t="shared" si="153"/>
        <v>159168521.23084423</v>
      </c>
      <c r="AU186" s="254">
        <v>0</v>
      </c>
      <c r="AV186" s="246">
        <f t="shared" si="167"/>
        <v>234.25639934533061</v>
      </c>
      <c r="AW186" s="257">
        <f t="shared" si="154"/>
        <v>3.6922873115934127</v>
      </c>
    </row>
    <row r="187" spans="1:49">
      <c r="A187" s="193">
        <f>'Input data'!A145</f>
        <v>2045</v>
      </c>
      <c r="B187" s="208">
        <f>'Input data'!B145</f>
        <v>73.645872502840064</v>
      </c>
      <c r="C187" s="417">
        <f>'Recycling - Case 2'!E125</f>
        <v>1</v>
      </c>
      <c r="D187" s="525">
        <f>'Recycling - Case 2'!F125</f>
        <v>0.36725000000000002</v>
      </c>
      <c r="E187" s="235">
        <f t="shared" si="155"/>
        <v>1146262103.1438606</v>
      </c>
      <c r="F187" s="236">
        <v>0</v>
      </c>
      <c r="G187" s="237">
        <f t="shared" si="132"/>
        <v>1146262103.1438606</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25790897.320736866</v>
      </c>
      <c r="AA187" s="236">
        <f t="shared" si="134"/>
        <v>0</v>
      </c>
      <c r="AB187" s="236">
        <f t="shared" si="135"/>
        <v>25790897.320736866</v>
      </c>
      <c r="AC187" s="236">
        <f t="shared" si="136"/>
        <v>14442902.499612648</v>
      </c>
      <c r="AD187" s="236">
        <f t="shared" si="137"/>
        <v>2063271.7856589493</v>
      </c>
      <c r="AE187" s="236">
        <f t="shared" si="138"/>
        <v>0</v>
      </c>
      <c r="AF187" s="971">
        <f t="shared" si="139"/>
        <v>68087968.92674534</v>
      </c>
      <c r="AG187" s="235">
        <f t="shared" si="140"/>
        <v>0</v>
      </c>
      <c r="AH187" s="236">
        <f t="shared" si="141"/>
        <v>0</v>
      </c>
      <c r="AI187" s="236">
        <f t="shared" si="142"/>
        <v>6189815.3569768472</v>
      </c>
      <c r="AJ187" s="236">
        <f t="shared" si="143"/>
        <v>1237963.0713953692</v>
      </c>
      <c r="AK187" s="236">
        <f t="shared" si="144"/>
        <v>0</v>
      </c>
      <c r="AL187" s="236">
        <f t="shared" si="145"/>
        <v>0</v>
      </c>
      <c r="AM187" s="242">
        <f t="shared" si="146"/>
        <v>7427778.4283722164</v>
      </c>
      <c r="AN187" s="235">
        <f t="shared" si="147"/>
        <v>71612724.893912688</v>
      </c>
      <c r="AO187" s="236">
        <f t="shared" si="148"/>
        <v>0</v>
      </c>
      <c r="AP187" s="236">
        <f t="shared" si="149"/>
        <v>35806362.446956344</v>
      </c>
      <c r="AQ187" s="236">
        <f t="shared" si="150"/>
        <v>50550158.748644248</v>
      </c>
      <c r="AR187" s="236">
        <f t="shared" si="151"/>
        <v>2106256.6145268441</v>
      </c>
      <c r="AS187" s="236">
        <f t="shared" si="152"/>
        <v>0</v>
      </c>
      <c r="AT187" s="242">
        <f t="shared" si="153"/>
        <v>160075502.70404014</v>
      </c>
      <c r="AU187" s="254">
        <v>0</v>
      </c>
      <c r="AV187" s="246">
        <f t="shared" si="167"/>
        <v>235.59125005915769</v>
      </c>
      <c r="AW187" s="257">
        <f t="shared" si="154"/>
        <v>3.7133268749407069</v>
      </c>
    </row>
    <row r="188" spans="1:49">
      <c r="A188" s="193">
        <f>'Input data'!A146</f>
        <v>2046</v>
      </c>
      <c r="B188" s="208">
        <f>'Input data'!B146</f>
        <v>74.049234192071822</v>
      </c>
      <c r="C188" s="417">
        <f>'Recycling - Case 2'!E126</f>
        <v>1</v>
      </c>
      <c r="D188" s="525">
        <f>'Recycling - Case 2'!F126</f>
        <v>0.36725000000000002</v>
      </c>
      <c r="E188" s="235">
        <f t="shared" si="155"/>
        <v>1152540231.1979294</v>
      </c>
      <c r="F188" s="236">
        <v>0</v>
      </c>
      <c r="G188" s="237">
        <f t="shared" si="132"/>
        <v>1152540231.1979294</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25932155.201953411</v>
      </c>
      <c r="AA188" s="236">
        <f t="shared" si="134"/>
        <v>0</v>
      </c>
      <c r="AB188" s="236">
        <f t="shared" si="135"/>
        <v>25932155.201953411</v>
      </c>
      <c r="AC188" s="236">
        <f t="shared" si="136"/>
        <v>14522006.913093913</v>
      </c>
      <c r="AD188" s="236">
        <f t="shared" si="137"/>
        <v>2074572.4161562731</v>
      </c>
      <c r="AE188" s="236">
        <f t="shared" si="138"/>
        <v>0</v>
      </c>
      <c r="AF188" s="971">
        <f t="shared" si="139"/>
        <v>68460889.733157009</v>
      </c>
      <c r="AG188" s="235">
        <f t="shared" si="140"/>
        <v>0</v>
      </c>
      <c r="AH188" s="236">
        <f t="shared" si="141"/>
        <v>0</v>
      </c>
      <c r="AI188" s="236">
        <f t="shared" si="142"/>
        <v>6223717.2484688181</v>
      </c>
      <c r="AJ188" s="236">
        <f t="shared" si="143"/>
        <v>1244743.4496937634</v>
      </c>
      <c r="AK188" s="236">
        <f t="shared" si="144"/>
        <v>0</v>
      </c>
      <c r="AL188" s="236">
        <f t="shared" si="145"/>
        <v>0</v>
      </c>
      <c r="AM188" s="242">
        <f t="shared" si="146"/>
        <v>7468460.6981625818</v>
      </c>
      <c r="AN188" s="235">
        <f t="shared" si="147"/>
        <v>72004950.944090635</v>
      </c>
      <c r="AO188" s="236">
        <f t="shared" si="148"/>
        <v>0</v>
      </c>
      <c r="AP188" s="236">
        <f t="shared" si="149"/>
        <v>36002475.472045317</v>
      </c>
      <c r="AQ188" s="236">
        <f t="shared" si="150"/>
        <v>50827024.195828684</v>
      </c>
      <c r="AR188" s="236">
        <f t="shared" si="151"/>
        <v>2117792.674826195</v>
      </c>
      <c r="AS188" s="236">
        <f t="shared" si="152"/>
        <v>0</v>
      </c>
      <c r="AT188" s="242">
        <f t="shared" si="153"/>
        <v>160952243.28679085</v>
      </c>
      <c r="AU188" s="254">
        <v>0</v>
      </c>
      <c r="AV188" s="246">
        <f t="shared" si="167"/>
        <v>236.88159371811045</v>
      </c>
      <c r="AW188" s="257">
        <f t="shared" si="154"/>
        <v>3.7336649298790605</v>
      </c>
    </row>
    <row r="189" spans="1:49">
      <c r="A189" s="193">
        <f>'Input data'!A147</f>
        <v>2047</v>
      </c>
      <c r="B189" s="208">
        <f>'Input data'!B147</f>
        <v>74.438425238522782</v>
      </c>
      <c r="C189" s="417">
        <f>'Recycling - Case 2'!E127</f>
        <v>1</v>
      </c>
      <c r="D189" s="525">
        <f>'Recycling - Case 2'!F127</f>
        <v>0.36725000000000002</v>
      </c>
      <c r="E189" s="235">
        <f t="shared" si="155"/>
        <v>1158597800.1053035</v>
      </c>
      <c r="F189" s="236">
        <v>0</v>
      </c>
      <c r="G189" s="237">
        <f t="shared" si="132"/>
        <v>1158597800.1053035</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26068450.502369333</v>
      </c>
      <c r="AA189" s="236">
        <f t="shared" si="134"/>
        <v>0</v>
      </c>
      <c r="AB189" s="236">
        <f t="shared" si="135"/>
        <v>26068450.502369333</v>
      </c>
      <c r="AC189" s="236">
        <f t="shared" si="136"/>
        <v>14598332.281326829</v>
      </c>
      <c r="AD189" s="236">
        <f t="shared" si="137"/>
        <v>2085476.0401895465</v>
      </c>
      <c r="AE189" s="236">
        <f t="shared" si="138"/>
        <v>0</v>
      </c>
      <c r="AF189" s="971">
        <f t="shared" si="139"/>
        <v>68820709.326255038</v>
      </c>
      <c r="AG189" s="235">
        <f t="shared" si="140"/>
        <v>0</v>
      </c>
      <c r="AH189" s="236">
        <f t="shared" si="141"/>
        <v>0</v>
      </c>
      <c r="AI189" s="236">
        <f t="shared" si="142"/>
        <v>6256428.1205686387</v>
      </c>
      <c r="AJ189" s="236">
        <f t="shared" si="143"/>
        <v>1251285.6241137278</v>
      </c>
      <c r="AK189" s="236">
        <f t="shared" si="144"/>
        <v>0</v>
      </c>
      <c r="AL189" s="236">
        <f t="shared" si="145"/>
        <v>0</v>
      </c>
      <c r="AM189" s="242">
        <f t="shared" si="146"/>
        <v>7507713.744682366</v>
      </c>
      <c r="AN189" s="235">
        <f t="shared" si="147"/>
        <v>72383397.56157884</v>
      </c>
      <c r="AO189" s="236">
        <f t="shared" si="148"/>
        <v>0</v>
      </c>
      <c r="AP189" s="236">
        <f t="shared" si="149"/>
        <v>36191698.78078942</v>
      </c>
      <c r="AQ189" s="236">
        <f t="shared" si="150"/>
        <v>51094162.984643884</v>
      </c>
      <c r="AR189" s="236">
        <f t="shared" si="151"/>
        <v>2128923.4576934953</v>
      </c>
      <c r="AS189" s="236">
        <f t="shared" si="152"/>
        <v>0</v>
      </c>
      <c r="AT189" s="242">
        <f t="shared" si="153"/>
        <v>161798182.78470564</v>
      </c>
      <c r="AU189" s="254">
        <v>0</v>
      </c>
      <c r="AV189" s="246">
        <f t="shared" si="167"/>
        <v>238.12660585564302</v>
      </c>
      <c r="AW189" s="257">
        <f t="shared" si="154"/>
        <v>3.753288481385181</v>
      </c>
    </row>
    <row r="190" spans="1:49">
      <c r="A190" s="193">
        <f>'Input data'!A148</f>
        <v>2048</v>
      </c>
      <c r="B190" s="208">
        <f>'Input data'!B148</f>
        <v>74.813195848926668</v>
      </c>
      <c r="C190" s="417">
        <f>'Recycling - Case 2'!E128</f>
        <v>1</v>
      </c>
      <c r="D190" s="525">
        <f>'Recycling - Case 2'!F128</f>
        <v>0.36725000000000002</v>
      </c>
      <c r="E190" s="235">
        <f t="shared" si="155"/>
        <v>1164430921.9555674</v>
      </c>
      <c r="F190" s="236">
        <v>0</v>
      </c>
      <c r="G190" s="237">
        <f t="shared" si="132"/>
        <v>1164430921.9555674</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26199695.744000267</v>
      </c>
      <c r="AA190" s="236">
        <f t="shared" si="134"/>
        <v>0</v>
      </c>
      <c r="AB190" s="236">
        <f t="shared" si="135"/>
        <v>26199695.744000267</v>
      </c>
      <c r="AC190" s="236">
        <f t="shared" si="136"/>
        <v>14671829.616640154</v>
      </c>
      <c r="AD190" s="236">
        <f t="shared" si="137"/>
        <v>2095975.6595200216</v>
      </c>
      <c r="AE190" s="236">
        <f t="shared" si="138"/>
        <v>0</v>
      </c>
      <c r="AF190" s="971">
        <f t="shared" si="139"/>
        <v>69167196.764160708</v>
      </c>
      <c r="AG190" s="235">
        <f t="shared" si="140"/>
        <v>0</v>
      </c>
      <c r="AH190" s="236">
        <f t="shared" si="141"/>
        <v>0</v>
      </c>
      <c r="AI190" s="236">
        <f t="shared" si="142"/>
        <v>6287926.9785600631</v>
      </c>
      <c r="AJ190" s="236">
        <f t="shared" si="143"/>
        <v>1257585.3957120127</v>
      </c>
      <c r="AK190" s="236">
        <f t="shared" si="144"/>
        <v>0</v>
      </c>
      <c r="AL190" s="236">
        <f t="shared" si="145"/>
        <v>0</v>
      </c>
      <c r="AM190" s="242">
        <f t="shared" si="146"/>
        <v>7545512.3742720755</v>
      </c>
      <c r="AN190" s="235">
        <f t="shared" si="147"/>
        <v>72747821.849174082</v>
      </c>
      <c r="AO190" s="236">
        <f t="shared" si="148"/>
        <v>0</v>
      </c>
      <c r="AP190" s="236">
        <f t="shared" si="149"/>
        <v>36373910.924587041</v>
      </c>
      <c r="AQ190" s="236">
        <f t="shared" si="150"/>
        <v>51351403.658240512</v>
      </c>
      <c r="AR190" s="236">
        <f t="shared" si="151"/>
        <v>2139641.819093355</v>
      </c>
      <c r="AS190" s="236">
        <f t="shared" si="152"/>
        <v>0</v>
      </c>
      <c r="AT190" s="242">
        <f t="shared" si="153"/>
        <v>162612778.251095</v>
      </c>
      <c r="AU190" s="254">
        <v>0</v>
      </c>
      <c r="AV190" s="246">
        <f t="shared" si="167"/>
        <v>239.32548738952781</v>
      </c>
      <c r="AW190" s="257">
        <f t="shared" si="154"/>
        <v>3.7721849345366727</v>
      </c>
    </row>
    <row r="191" spans="1:49">
      <c r="A191" s="193">
        <f>'Input data'!A149</f>
        <v>2049</v>
      </c>
      <c r="B191" s="208">
        <f>'Input data'!B149</f>
        <v>75.173102421925719</v>
      </c>
      <c r="C191" s="417">
        <f>'Recycling - Case 2'!E129</f>
        <v>1</v>
      </c>
      <c r="D191" s="525">
        <f>'Recycling - Case 2'!F129</f>
        <v>0.36725000000000002</v>
      </c>
      <c r="E191" s="235">
        <f t="shared" si="155"/>
        <v>1170032692.3098433</v>
      </c>
      <c r="F191" s="236">
        <v>0</v>
      </c>
      <c r="G191" s="237">
        <f t="shared" si="132"/>
        <v>1170032692.3098433</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26325735.576971475</v>
      </c>
      <c r="AA191" s="236">
        <f t="shared" si="134"/>
        <v>0</v>
      </c>
      <c r="AB191" s="236">
        <f t="shared" si="135"/>
        <v>26325735.576971475</v>
      </c>
      <c r="AC191" s="236">
        <f t="shared" si="136"/>
        <v>14742411.923104029</v>
      </c>
      <c r="AD191" s="236">
        <f t="shared" si="137"/>
        <v>2106058.8461577184</v>
      </c>
      <c r="AE191" s="236">
        <f t="shared" si="138"/>
        <v>0</v>
      </c>
      <c r="AF191" s="971">
        <f t="shared" si="139"/>
        <v>69499941.92320469</v>
      </c>
      <c r="AG191" s="235">
        <f t="shared" si="140"/>
        <v>0</v>
      </c>
      <c r="AH191" s="236">
        <f t="shared" si="141"/>
        <v>0</v>
      </c>
      <c r="AI191" s="236">
        <f t="shared" si="142"/>
        <v>6318176.5384731535</v>
      </c>
      <c r="AJ191" s="236">
        <f t="shared" si="143"/>
        <v>1263635.3076946305</v>
      </c>
      <c r="AK191" s="236">
        <f t="shared" si="144"/>
        <v>0</v>
      </c>
      <c r="AL191" s="236">
        <f t="shared" si="145"/>
        <v>0</v>
      </c>
      <c r="AM191" s="242">
        <f t="shared" si="146"/>
        <v>7581811.8461677842</v>
      </c>
      <c r="AN191" s="235">
        <f t="shared" si="147"/>
        <v>73097792.452057466</v>
      </c>
      <c r="AO191" s="236">
        <f t="shared" si="148"/>
        <v>0</v>
      </c>
      <c r="AP191" s="236">
        <f t="shared" si="149"/>
        <v>36548896.226028733</v>
      </c>
      <c r="AQ191" s="236">
        <f t="shared" si="150"/>
        <v>51598441.730864093</v>
      </c>
      <c r="AR191" s="236">
        <f t="shared" si="151"/>
        <v>2149935.072119337</v>
      </c>
      <c r="AS191" s="236">
        <f t="shared" si="152"/>
        <v>0</v>
      </c>
      <c r="AT191" s="242">
        <f t="shared" si="153"/>
        <v>163395065.48106959</v>
      </c>
      <c r="AU191" s="254">
        <v>0</v>
      </c>
      <c r="AV191" s="246">
        <f t="shared" si="167"/>
        <v>240.47681925044208</v>
      </c>
      <c r="AW191" s="257">
        <f t="shared" si="154"/>
        <v>3.790331922338789</v>
      </c>
    </row>
    <row r="192" spans="1:49" ht="15.75" thickBot="1">
      <c r="A192" s="195">
        <f>'Input data'!A150</f>
        <v>2050</v>
      </c>
      <c r="B192" s="209">
        <f>'Input data'!B150</f>
        <v>75.517908954390194</v>
      </c>
      <c r="C192" s="651">
        <f>'Recycling - Case 2'!E130</f>
        <v>1</v>
      </c>
      <c r="D192" s="652">
        <f>'Recycling - Case 2'!F130</f>
        <v>0.36725000000000002</v>
      </c>
      <c r="E192" s="238">
        <f>B192*$C$4*($C$7*$C$11+$C$8*$C$10+$C$7*$C$12)*10^6</f>
        <v>1175399437.8944683</v>
      </c>
      <c r="F192" s="239">
        <v>0</v>
      </c>
      <c r="G192" s="240">
        <f t="shared" si="132"/>
        <v>1175399437.8944683</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26446487.352625538</v>
      </c>
      <c r="AA192" s="239">
        <f t="shared" si="134"/>
        <v>0</v>
      </c>
      <c r="AB192" s="239">
        <f t="shared" si="135"/>
        <v>26446487.352625538</v>
      </c>
      <c r="AC192" s="239">
        <f t="shared" si="136"/>
        <v>14810032.917470304</v>
      </c>
      <c r="AD192" s="239">
        <f t="shared" si="137"/>
        <v>2115718.9882100429</v>
      </c>
      <c r="AE192" s="239">
        <f t="shared" si="138"/>
        <v>0</v>
      </c>
      <c r="AF192" s="972">
        <f t="shared" si="139"/>
        <v>69818726.610931411</v>
      </c>
      <c r="AG192" s="238">
        <f t="shared" si="140"/>
        <v>0</v>
      </c>
      <c r="AH192" s="239">
        <f t="shared" si="141"/>
        <v>0</v>
      </c>
      <c r="AI192" s="239">
        <f t="shared" si="142"/>
        <v>6347156.9646301288</v>
      </c>
      <c r="AJ192" s="239">
        <f t="shared" si="143"/>
        <v>1269431.3929260257</v>
      </c>
      <c r="AK192" s="239">
        <f t="shared" si="144"/>
        <v>0</v>
      </c>
      <c r="AL192" s="239">
        <f t="shared" si="145"/>
        <v>0</v>
      </c>
      <c r="AM192" s="243">
        <f t="shared" si="146"/>
        <v>7616588.357556155</v>
      </c>
      <c r="AN192" s="238">
        <f t="shared" si="147"/>
        <v>73433079.882456899</v>
      </c>
      <c r="AO192" s="239">
        <f t="shared" si="148"/>
        <v>0</v>
      </c>
      <c r="AP192" s="239">
        <f t="shared" si="149"/>
        <v>36716539.941228449</v>
      </c>
      <c r="AQ192" s="239">
        <f t="shared" si="150"/>
        <v>51835115.211146049</v>
      </c>
      <c r="AR192" s="239">
        <f t="shared" si="151"/>
        <v>2159796.4671310852</v>
      </c>
      <c r="AS192" s="239">
        <f t="shared" si="152"/>
        <v>0</v>
      </c>
      <c r="AT192" s="243">
        <f t="shared" si="153"/>
        <v>164144531.50196248</v>
      </c>
      <c r="AU192" s="255">
        <v>0</v>
      </c>
      <c r="AV192" s="249">
        <f t="shared" si="167"/>
        <v>241.57984647045004</v>
      </c>
      <c r="AW192" s="258">
        <f t="shared" si="154"/>
        <v>3.8077175451869141</v>
      </c>
    </row>
    <row r="193" spans="1:49" ht="21.75" thickBot="1">
      <c r="A193" s="975" t="s">
        <v>620</v>
      </c>
      <c r="B193" s="976"/>
      <c r="C193" s="943"/>
      <c r="D193" s="976"/>
      <c r="E193" s="977"/>
      <c r="F193" s="977"/>
      <c r="G193" s="1438"/>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57.436000617299655</v>
      </c>
      <c r="C194" s="417">
        <f>'Recycling - Case 3'!E98</f>
        <v>0.73673846153846156</v>
      </c>
      <c r="D194" s="525">
        <f>'Recycling - Case 3'!F98</f>
        <v>0.29578461538461537</v>
      </c>
      <c r="E194" s="235">
        <f t="shared" ref="E194:E226" si="188">B194*$C$4*($C$7*$C$11+$C$8*$C$10+$C$7*$C$12)*10^6</f>
        <v>893963349.55796838</v>
      </c>
      <c r="F194" s="236">
        <v>0</v>
      </c>
      <c r="G194" s="237">
        <f t="shared" ref="G194:G226" si="189">E194-F194</f>
        <v>893963349.55796838</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971">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973">
        <f t="shared" ref="AW194:AW202" si="213">((B194*$C$46*$C$47*$C$48*$C$49)-$C$50)*$C$51*$C$52</f>
        <v>2.8960026873618072</v>
      </c>
    </row>
    <row r="195" spans="1:49">
      <c r="A195" s="127">
        <f>'Input data'!A119</f>
        <v>2019</v>
      </c>
      <c r="B195" s="105">
        <f>'Input data'!B119</f>
        <v>58.364834921819444</v>
      </c>
      <c r="C195" s="417">
        <f>'Recycling - Case 3'!E99</f>
        <v>0.75867692307692314</v>
      </c>
      <c r="D195" s="525">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971">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973">
        <f t="shared" si="213"/>
        <v>2.9428357992270668</v>
      </c>
    </row>
    <row r="196" spans="1:49">
      <c r="A196" s="127">
        <f>'Input data'!A120</f>
        <v>2020</v>
      </c>
      <c r="B196" s="105">
        <f>'Input data'!B120</f>
        <v>59.308690000000006</v>
      </c>
      <c r="C196" s="417">
        <f>'Recycling - Case 3'!E100</f>
        <v>0.78061538461538471</v>
      </c>
      <c r="D196" s="525">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971">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973">
        <f t="shared" si="213"/>
        <v>2.9904262793007734</v>
      </c>
    </row>
    <row r="197" spans="1:49">
      <c r="A197" s="127">
        <f>'Input data'!A121</f>
        <v>2021</v>
      </c>
      <c r="B197" s="105">
        <f>'Input data'!B121</f>
        <v>60.097873988486953</v>
      </c>
      <c r="C197" s="417">
        <f>'Recycling - Case 3'!E101</f>
        <v>0.80255384615384628</v>
      </c>
      <c r="D197" s="525">
        <f>'Recycling - Case 3'!F101</f>
        <v>0.31433846153846157</v>
      </c>
      <c r="E197" s="235">
        <f t="shared" si="188"/>
        <v>935394110.91723013</v>
      </c>
      <c r="F197" s="236">
        <v>0</v>
      </c>
      <c r="G197" s="237">
        <f t="shared" si="189"/>
        <v>935394110.91723013</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14052497.6817027</v>
      </c>
      <c r="AA197" s="236">
        <f t="shared" si="192"/>
        <v>0</v>
      </c>
      <c r="AB197" s="236">
        <f t="shared" si="193"/>
        <v>14052497.6817027</v>
      </c>
      <c r="AC197" s="236">
        <f t="shared" si="194"/>
        <v>7869398.7017535111</v>
      </c>
      <c r="AD197" s="236">
        <f t="shared" si="195"/>
        <v>1124199.8145362155</v>
      </c>
      <c r="AE197" s="236">
        <f t="shared" si="196"/>
        <v>0</v>
      </c>
      <c r="AF197" s="242">
        <f t="shared" si="197"/>
        <v>37098593.879695125</v>
      </c>
      <c r="AG197" s="235">
        <f t="shared" si="198"/>
        <v>0</v>
      </c>
      <c r="AH197" s="236">
        <f t="shared" si="199"/>
        <v>0</v>
      </c>
      <c r="AI197" s="236">
        <f t="shared" si="200"/>
        <v>5051128.1989530427</v>
      </c>
      <c r="AJ197" s="236">
        <f t="shared" si="201"/>
        <v>1010225.6397906084</v>
      </c>
      <c r="AK197" s="236">
        <f t="shared" si="202"/>
        <v>0</v>
      </c>
      <c r="AL197" s="236">
        <f t="shared" si="203"/>
        <v>0</v>
      </c>
      <c r="AM197" s="971">
        <f t="shared" si="204"/>
        <v>6061353.8387436513</v>
      </c>
      <c r="AN197" s="235">
        <f t="shared" si="205"/>
        <v>50347228.253154181</v>
      </c>
      <c r="AO197" s="236">
        <f t="shared" si="206"/>
        <v>0</v>
      </c>
      <c r="AP197" s="236">
        <f t="shared" si="207"/>
        <v>25173614.12657709</v>
      </c>
      <c r="AQ197" s="236">
        <f t="shared" si="208"/>
        <v>35539219.943402946</v>
      </c>
      <c r="AR197" s="236">
        <f t="shared" si="209"/>
        <v>1480800.8309751225</v>
      </c>
      <c r="AS197" s="236">
        <f t="shared" si="210"/>
        <v>0</v>
      </c>
      <c r="AT197" s="242">
        <f t="shared" si="211"/>
        <v>112540863.15410933</v>
      </c>
      <c r="AU197" s="254">
        <v>0</v>
      </c>
      <c r="AV197" s="246">
        <f t="shared" si="212"/>
        <v>155.70081087254809</v>
      </c>
      <c r="AW197" s="973">
        <f t="shared" si="213"/>
        <v>3.0302180288466625</v>
      </c>
    </row>
    <row r="198" spans="1:49">
      <c r="A198" s="127">
        <f>'Input data'!A122</f>
        <v>2022</v>
      </c>
      <c r="B198" s="105">
        <f>'Input data'!B122</f>
        <v>60.841582286809363</v>
      </c>
      <c r="C198" s="417">
        <f>'Recycling - Case 3'!E102</f>
        <v>0.82449230769230786</v>
      </c>
      <c r="D198" s="525">
        <f>'Recycling - Case 3'!F102</f>
        <v>0.32052307692307697</v>
      </c>
      <c r="E198" s="235">
        <f t="shared" si="188"/>
        <v>946969568.0228231</v>
      </c>
      <c r="F198" s="236">
        <v>0</v>
      </c>
      <c r="G198" s="237">
        <f t="shared" si="189"/>
        <v>946969568.0228231</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15013109.843807992</v>
      </c>
      <c r="AA198" s="236">
        <f t="shared" si="192"/>
        <v>0</v>
      </c>
      <c r="AB198" s="236">
        <f t="shared" si="193"/>
        <v>15013109.843807992</v>
      </c>
      <c r="AC198" s="236">
        <f t="shared" si="194"/>
        <v>8407341.5125324763</v>
      </c>
      <c r="AD198" s="236">
        <f t="shared" si="195"/>
        <v>1201048.7875046388</v>
      </c>
      <c r="AE198" s="236">
        <f t="shared" si="196"/>
        <v>0</v>
      </c>
      <c r="AF198" s="242">
        <f t="shared" si="197"/>
        <v>39634609.987653099</v>
      </c>
      <c r="AG198" s="235">
        <f t="shared" si="198"/>
        <v>0</v>
      </c>
      <c r="AH198" s="236">
        <f t="shared" si="199"/>
        <v>0</v>
      </c>
      <c r="AI198" s="236">
        <f t="shared" si="200"/>
        <v>5113635.6673232438</v>
      </c>
      <c r="AJ198" s="236">
        <f t="shared" si="201"/>
        <v>1022727.1334646487</v>
      </c>
      <c r="AK198" s="236">
        <f t="shared" si="202"/>
        <v>0</v>
      </c>
      <c r="AL198" s="236">
        <f t="shared" si="203"/>
        <v>0</v>
      </c>
      <c r="AM198" s="971">
        <f t="shared" si="204"/>
        <v>6136362.8007878922</v>
      </c>
      <c r="AN198" s="235">
        <f t="shared" si="205"/>
        <v>51880456.222259618</v>
      </c>
      <c r="AO198" s="236">
        <f t="shared" si="206"/>
        <v>0</v>
      </c>
      <c r="AP198" s="236">
        <f t="shared" si="207"/>
        <v>25940228.111129809</v>
      </c>
      <c r="AQ198" s="236">
        <f t="shared" si="208"/>
        <v>36621498.509830318</v>
      </c>
      <c r="AR198" s="236">
        <f t="shared" si="209"/>
        <v>1525895.7712429292</v>
      </c>
      <c r="AS198" s="236">
        <f t="shared" si="210"/>
        <v>0</v>
      </c>
      <c r="AT198" s="242">
        <f t="shared" si="211"/>
        <v>115968078.61446269</v>
      </c>
      <c r="AU198" s="254">
        <v>0</v>
      </c>
      <c r="AV198" s="246">
        <f t="shared" si="212"/>
        <v>161.73905140290367</v>
      </c>
      <c r="AW198" s="973">
        <f t="shared" si="213"/>
        <v>3.0677168311206198</v>
      </c>
    </row>
    <row r="199" spans="1:49">
      <c r="A199" s="127">
        <f>'Input data'!A123</f>
        <v>2023</v>
      </c>
      <c r="B199" s="105">
        <f>'Input data'!B123</f>
        <v>61.537824355929828</v>
      </c>
      <c r="C199" s="417">
        <f>'Recycling - Case 3'!E103</f>
        <v>0.84643076923076943</v>
      </c>
      <c r="D199" s="525">
        <f>'Recycling - Case 3'!F103</f>
        <v>0.32670769230769237</v>
      </c>
      <c r="E199" s="235">
        <f t="shared" si="188"/>
        <v>957806236.41067433</v>
      </c>
      <c r="F199" s="236">
        <v>0</v>
      </c>
      <c r="G199" s="237">
        <f t="shared" si="189"/>
        <v>957806236.41067433</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15980628.667498099</v>
      </c>
      <c r="AA199" s="236">
        <f t="shared" si="192"/>
        <v>0</v>
      </c>
      <c r="AB199" s="236">
        <f t="shared" si="193"/>
        <v>15980628.667498099</v>
      </c>
      <c r="AC199" s="236">
        <f t="shared" si="194"/>
        <v>8949152.0537989382</v>
      </c>
      <c r="AD199" s="236">
        <f t="shared" si="195"/>
        <v>1278450.2933998476</v>
      </c>
      <c r="AE199" s="236">
        <f t="shared" si="196"/>
        <v>0</v>
      </c>
      <c r="AF199" s="242">
        <f t="shared" si="197"/>
        <v>42188859.682194985</v>
      </c>
      <c r="AG199" s="235">
        <f t="shared" si="198"/>
        <v>0</v>
      </c>
      <c r="AH199" s="236">
        <f t="shared" si="199"/>
        <v>0</v>
      </c>
      <c r="AI199" s="236">
        <f t="shared" si="200"/>
        <v>5172153.676617641</v>
      </c>
      <c r="AJ199" s="236">
        <f t="shared" si="201"/>
        <v>1034430.7353235283</v>
      </c>
      <c r="AK199" s="236">
        <f t="shared" si="202"/>
        <v>0</v>
      </c>
      <c r="AL199" s="236">
        <f t="shared" si="203"/>
        <v>0</v>
      </c>
      <c r="AM199" s="971">
        <f t="shared" si="204"/>
        <v>6206584.4119411688</v>
      </c>
      <c r="AN199" s="235">
        <f t="shared" si="205"/>
        <v>53394750.583783068</v>
      </c>
      <c r="AO199" s="236">
        <f t="shared" si="206"/>
        <v>0</v>
      </c>
      <c r="AP199" s="236">
        <f t="shared" si="207"/>
        <v>26697375.291891534</v>
      </c>
      <c r="AQ199" s="236">
        <f t="shared" si="208"/>
        <v>37690412.176788047</v>
      </c>
      <c r="AR199" s="236">
        <f t="shared" si="209"/>
        <v>1570433.8406995013</v>
      </c>
      <c r="AS199" s="236">
        <f t="shared" si="210"/>
        <v>0</v>
      </c>
      <c r="AT199" s="242">
        <f t="shared" si="211"/>
        <v>119352971.89316216</v>
      </c>
      <c r="AU199" s="254">
        <v>0</v>
      </c>
      <c r="AV199" s="246">
        <f t="shared" si="212"/>
        <v>167.7484159872983</v>
      </c>
      <c r="AW199" s="973">
        <f t="shared" si="213"/>
        <v>3.1028223203879186</v>
      </c>
    </row>
    <row r="200" spans="1:49">
      <c r="A200" s="127">
        <f>'Input data'!A124</f>
        <v>2024</v>
      </c>
      <c r="B200" s="105">
        <f>'Input data'!B124</f>
        <v>62.221509701386374</v>
      </c>
      <c r="C200" s="417">
        <f>'Recycling - Case 3'!E104</f>
        <v>0.868369230769231</v>
      </c>
      <c r="D200" s="525">
        <f>'Recycling - Case 3'!F104</f>
        <v>0.33289230769230777</v>
      </c>
      <c r="E200" s="235">
        <f t="shared" si="188"/>
        <v>968447465.51609957</v>
      </c>
      <c r="F200" s="236">
        <v>0</v>
      </c>
      <c r="G200" s="237">
        <f t="shared" si="189"/>
        <v>968447465.51609957</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16962729.838308915</v>
      </c>
      <c r="AA200" s="236">
        <f t="shared" si="192"/>
        <v>0</v>
      </c>
      <c r="AB200" s="236">
        <f t="shared" si="193"/>
        <v>16962729.838308915</v>
      </c>
      <c r="AC200" s="236">
        <f t="shared" si="194"/>
        <v>9499128.709452996</v>
      </c>
      <c r="AD200" s="236">
        <f t="shared" si="195"/>
        <v>1357018.3870647128</v>
      </c>
      <c r="AE200" s="236">
        <f t="shared" si="196"/>
        <v>0</v>
      </c>
      <c r="AF200" s="242">
        <f t="shared" si="197"/>
        <v>44781606.773135535</v>
      </c>
      <c r="AG200" s="235">
        <f t="shared" si="198"/>
        <v>0</v>
      </c>
      <c r="AH200" s="236">
        <f t="shared" si="199"/>
        <v>0</v>
      </c>
      <c r="AI200" s="236">
        <f t="shared" si="200"/>
        <v>5229616.3137869369</v>
      </c>
      <c r="AJ200" s="236">
        <f t="shared" si="201"/>
        <v>1045923.2627573875</v>
      </c>
      <c r="AK200" s="236">
        <f t="shared" si="202"/>
        <v>0</v>
      </c>
      <c r="AL200" s="236">
        <f t="shared" si="203"/>
        <v>0</v>
      </c>
      <c r="AM200" s="971">
        <f t="shared" si="204"/>
        <v>6275539.5765443239</v>
      </c>
      <c r="AN200" s="235">
        <f t="shared" si="205"/>
        <v>54918793.370445862</v>
      </c>
      <c r="AO200" s="236">
        <f t="shared" si="206"/>
        <v>0</v>
      </c>
      <c r="AP200" s="236">
        <f t="shared" si="207"/>
        <v>27459396.685222931</v>
      </c>
      <c r="AQ200" s="236">
        <f t="shared" si="208"/>
        <v>38766207.085020617</v>
      </c>
      <c r="AR200" s="236">
        <f t="shared" si="209"/>
        <v>1615258.6285425245</v>
      </c>
      <c r="AS200" s="236">
        <f t="shared" si="210"/>
        <v>0</v>
      </c>
      <c r="AT200" s="242">
        <f t="shared" si="211"/>
        <v>122759655.76923195</v>
      </c>
      <c r="AU200" s="254">
        <v>0</v>
      </c>
      <c r="AV200" s="246">
        <f t="shared" si="212"/>
        <v>173.8168021189118</v>
      </c>
      <c r="AW200" s="973">
        <f t="shared" si="213"/>
        <v>3.1372946822597805</v>
      </c>
    </row>
    <row r="201" spans="1:49">
      <c r="A201" s="127">
        <f>'Input data'!A125</f>
        <v>2025</v>
      </c>
      <c r="B201" s="105">
        <f>'Input data'!B125</f>
        <v>62.892038582526091</v>
      </c>
      <c r="C201" s="417">
        <f>'Recycling - Case 3'!E105</f>
        <v>0.89030769230769258</v>
      </c>
      <c r="D201" s="525">
        <f>'Recycling - Case 3'!F105</f>
        <v>0.33907692307692316</v>
      </c>
      <c r="E201" s="235">
        <f t="shared" si="188"/>
        <v>978883920.66820967</v>
      </c>
      <c r="F201" s="236">
        <v>0</v>
      </c>
      <c r="G201" s="237">
        <f t="shared" si="189"/>
        <v>978883920.66820967</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17958755.006105233</v>
      </c>
      <c r="AA201" s="236">
        <f t="shared" si="192"/>
        <v>0</v>
      </c>
      <c r="AB201" s="236">
        <f t="shared" si="193"/>
        <v>17958755.006105233</v>
      </c>
      <c r="AC201" s="236">
        <f t="shared" si="194"/>
        <v>10056902.803418934</v>
      </c>
      <c r="AD201" s="236">
        <f t="shared" si="195"/>
        <v>1436700.4004884183</v>
      </c>
      <c r="AE201" s="236">
        <f t="shared" si="196"/>
        <v>0</v>
      </c>
      <c r="AF201" s="242">
        <f t="shared" si="197"/>
        <v>47411113.216117822</v>
      </c>
      <c r="AG201" s="235">
        <f t="shared" si="198"/>
        <v>0</v>
      </c>
      <c r="AH201" s="236">
        <f t="shared" si="199"/>
        <v>0</v>
      </c>
      <c r="AI201" s="236">
        <f t="shared" si="200"/>
        <v>5285973.1716083316</v>
      </c>
      <c r="AJ201" s="236">
        <f t="shared" si="201"/>
        <v>1057194.6343216663</v>
      </c>
      <c r="AK201" s="236">
        <f t="shared" si="202"/>
        <v>0</v>
      </c>
      <c r="AL201" s="236">
        <f t="shared" si="203"/>
        <v>0</v>
      </c>
      <c r="AM201" s="971">
        <f t="shared" si="204"/>
        <v>6343167.8059299979</v>
      </c>
      <c r="AN201" s="235">
        <f t="shared" si="205"/>
        <v>56451482.717304386</v>
      </c>
      <c r="AO201" s="236">
        <f t="shared" si="206"/>
        <v>0</v>
      </c>
      <c r="AP201" s="236">
        <f t="shared" si="207"/>
        <v>28225741.358652193</v>
      </c>
      <c r="AQ201" s="236">
        <f t="shared" si="208"/>
        <v>39848105.447508976</v>
      </c>
      <c r="AR201" s="236">
        <f t="shared" si="209"/>
        <v>1660337.7269795393</v>
      </c>
      <c r="AS201" s="236">
        <f t="shared" si="210"/>
        <v>0</v>
      </c>
      <c r="AT201" s="242">
        <f t="shared" si="211"/>
        <v>126185667.2504451</v>
      </c>
      <c r="AU201" s="254">
        <v>0</v>
      </c>
      <c r="AV201" s="246">
        <f t="shared" si="212"/>
        <v>179.93994827249293</v>
      </c>
      <c r="AW201" s="973">
        <f t="shared" si="213"/>
        <v>3.1711036769819763</v>
      </c>
    </row>
    <row r="202" spans="1:49">
      <c r="A202" s="127">
        <f>'Input data'!A126</f>
        <v>2026</v>
      </c>
      <c r="B202" s="105">
        <f>'Input data'!B126</f>
        <v>63.548817559440096</v>
      </c>
      <c r="C202" s="417">
        <f>'Recycling - Case 3'!E106</f>
        <v>0.91224615384615415</v>
      </c>
      <c r="D202" s="525">
        <f>'Recycling - Case 3'!F106</f>
        <v>0.34526153846153856</v>
      </c>
      <c r="E202" s="235">
        <f t="shared" si="188"/>
        <v>989106365.26412511</v>
      </c>
      <c r="F202" s="236">
        <v>0</v>
      </c>
      <c r="G202" s="237">
        <f t="shared" si="189"/>
        <v>989106365.26412511</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18968016.681565106</v>
      </c>
      <c r="AA202" s="236">
        <f t="shared" si="192"/>
        <v>0</v>
      </c>
      <c r="AB202" s="236">
        <f t="shared" si="193"/>
        <v>18968016.681565106</v>
      </c>
      <c r="AC202" s="236">
        <f t="shared" si="194"/>
        <v>10622089.341676464</v>
      </c>
      <c r="AD202" s="236">
        <f t="shared" si="195"/>
        <v>1517441.3345252085</v>
      </c>
      <c r="AE202" s="236">
        <f t="shared" si="196"/>
        <v>0</v>
      </c>
      <c r="AF202" s="242">
        <f t="shared" si="197"/>
        <v>50075564.039331883</v>
      </c>
      <c r="AG202" s="235">
        <f t="shared" si="198"/>
        <v>0</v>
      </c>
      <c r="AH202" s="236">
        <f t="shared" si="199"/>
        <v>0</v>
      </c>
      <c r="AI202" s="236">
        <f t="shared" si="200"/>
        <v>5341174.3724262752</v>
      </c>
      <c r="AJ202" s="236">
        <f t="shared" si="201"/>
        <v>1068234.874485255</v>
      </c>
      <c r="AK202" s="236">
        <f t="shared" si="202"/>
        <v>0</v>
      </c>
      <c r="AL202" s="236">
        <f t="shared" si="203"/>
        <v>0</v>
      </c>
      <c r="AM202" s="971">
        <f t="shared" si="204"/>
        <v>6409409.2469115304</v>
      </c>
      <c r="AN202" s="235">
        <f t="shared" si="205"/>
        <v>57991686.620960765</v>
      </c>
      <c r="AO202" s="236">
        <f t="shared" si="206"/>
        <v>0</v>
      </c>
      <c r="AP202" s="236">
        <f t="shared" si="207"/>
        <v>28995843.310480382</v>
      </c>
      <c r="AQ202" s="236">
        <f t="shared" si="208"/>
        <v>40935308.203031138</v>
      </c>
      <c r="AR202" s="236">
        <f t="shared" si="209"/>
        <v>1705637.8417929627</v>
      </c>
      <c r="AS202" s="236">
        <f t="shared" si="210"/>
        <v>0</v>
      </c>
      <c r="AT202" s="242">
        <f t="shared" si="211"/>
        <v>129628475.97626524</v>
      </c>
      <c r="AU202" s="254">
        <v>0</v>
      </c>
      <c r="AV202" s="246">
        <f t="shared" si="212"/>
        <v>186.11344926250865</v>
      </c>
      <c r="AW202" s="973">
        <f t="shared" si="213"/>
        <v>3.2042193824925169</v>
      </c>
    </row>
    <row r="203" spans="1:49">
      <c r="A203" s="127">
        <f>'Input data'!A127</f>
        <v>2027</v>
      </c>
      <c r="B203" s="105">
        <f>'Input data'!B127</f>
        <v>64.191260356766122</v>
      </c>
      <c r="C203" s="417">
        <f>'Recycling - Case 3'!E107</f>
        <v>0.93418461538461572</v>
      </c>
      <c r="D203" s="525">
        <f>'Recycling - Case 3'!F107</f>
        <v>0.35144615384615396</v>
      </c>
      <c r="E203" s="235">
        <f t="shared" si="188"/>
        <v>999105674.21364093</v>
      </c>
      <c r="F203" s="236">
        <v>0</v>
      </c>
      <c r="G203" s="237">
        <f t="shared" si="189"/>
        <v>999105674.21364093</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19989798.912535999</v>
      </c>
      <c r="AA203" s="236">
        <f t="shared" ref="AA203:AA219" si="232">I203*$C$36*G203*$C$10</f>
        <v>0</v>
      </c>
      <c r="AB203" s="236">
        <f t="shared" ref="AB203:AB219" si="233">J203*$C$37*G203*$C$10</f>
        <v>19989798.912535999</v>
      </c>
      <c r="AC203" s="236">
        <f t="shared" ref="AC203:AC219" si="234">K203*$C$40*G203*$C$10</f>
        <v>11194287.391020166</v>
      </c>
      <c r="AD203" s="236">
        <f t="shared" ref="AD203:AD219" si="235">L203*$C$41*G203*$C$10</f>
        <v>1599183.9130028801</v>
      </c>
      <c r="AE203" s="236">
        <f t="shared" ref="AE203:AE219" si="236">M203*$C$42*G203*$C$10</f>
        <v>0</v>
      </c>
      <c r="AF203" s="242">
        <f t="shared" ref="AF203:AF219" si="237">SUM(Z203:AE203)</f>
        <v>52773069.12909504</v>
      </c>
      <c r="AG203" s="235">
        <f t="shared" ref="AG203:AG219" si="238">N203*$C$35*G203*$C$11</f>
        <v>0</v>
      </c>
      <c r="AH203" s="236">
        <f t="shared" ref="AH203:AH219" si="239">O203*$C$36*G203*$C$11</f>
        <v>0</v>
      </c>
      <c r="AI203" s="236">
        <f t="shared" ref="AI203:AI219" si="240">P203*$C$37*G203*$C$11</f>
        <v>5395170.6407536604</v>
      </c>
      <c r="AJ203" s="236">
        <f t="shared" ref="AJ203:AJ219" si="241">Q203*$C$38*G203*$C$11</f>
        <v>1079034.128150732</v>
      </c>
      <c r="AK203" s="236">
        <f t="shared" ref="AK203:AK219" si="242">R203*$C$41*G203*$C$11</f>
        <v>0</v>
      </c>
      <c r="AL203" s="236">
        <f t="shared" ref="AL203:AL219" si="243">S203*$C$42*G203*$C$11</f>
        <v>0</v>
      </c>
      <c r="AM203" s="971">
        <f t="shared" ref="AM203:AM219" si="244">SUM(AG203:AL203)</f>
        <v>6474204.7689043926</v>
      </c>
      <c r="AN203" s="235">
        <f t="shared" ref="AN203:AN219" si="245">T203*$C$35*G203*$C$12</f>
        <v>59538244.212043516</v>
      </c>
      <c r="AO203" s="236">
        <f t="shared" ref="AO203:AO219" si="246">U203*$C$36*G203*$C$12</f>
        <v>0</v>
      </c>
      <c r="AP203" s="236">
        <f t="shared" ref="AP203:AP219" si="247">V203*$C$37*G203*$C$12</f>
        <v>29769122.106021758</v>
      </c>
      <c r="AQ203" s="236">
        <f t="shared" ref="AQ203:AQ219" si="248">W203*$C$39*G203*$C$12</f>
        <v>42026995.914383665</v>
      </c>
      <c r="AR203" s="236">
        <f t="shared" ref="AR203:AR219" si="249">X203*$C$41*G203*$C$12</f>
        <v>1751124.8297659841</v>
      </c>
      <c r="AS203" s="236">
        <f t="shared" ref="AS203:AS219" si="250">Y203*$C$42*N203*$C$12</f>
        <v>0</v>
      </c>
      <c r="AT203" s="242">
        <f t="shared" ref="AT203:AT219" si="251">SUM(AN203:AS203)</f>
        <v>133085487.06221493</v>
      </c>
      <c r="AU203" s="254">
        <v>0</v>
      </c>
      <c r="AV203" s="246">
        <f t="shared" ref="AV203:AV219" si="252">(AF203+AM203+AT203)/10^6-AU203</f>
        <v>192.33276096021439</v>
      </c>
      <c r="AW203" s="973">
        <f t="shared" ref="AW203:AW219" si="253">((B203*$C$46*$C$47*$C$48*$C$49)-$C$50)*$C$51*$C$52</f>
        <v>3.2366122379757729</v>
      </c>
    </row>
    <row r="204" spans="1:49">
      <c r="A204" s="127">
        <f>'Input data'!A128</f>
        <v>2028</v>
      </c>
      <c r="B204" s="105">
        <f>'Input data'!B128</f>
        <v>64.818788725428234</v>
      </c>
      <c r="C204" s="417">
        <f>'Recycling - Case 3'!E108</f>
        <v>0.9561230769230773</v>
      </c>
      <c r="D204" s="525">
        <f>'Recycling - Case 3'!F108</f>
        <v>0.35763076923076936</v>
      </c>
      <c r="E204" s="235">
        <f t="shared" si="188"/>
        <v>1008872847.351787</v>
      </c>
      <c r="F204" s="236">
        <v>0</v>
      </c>
      <c r="G204" s="237">
        <f t="shared" si="189"/>
        <v>1008872847.351787</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21023358.026738387</v>
      </c>
      <c r="AA204" s="236">
        <f t="shared" si="232"/>
        <v>0</v>
      </c>
      <c r="AB204" s="236">
        <f t="shared" si="233"/>
        <v>21023358.026738387</v>
      </c>
      <c r="AC204" s="236">
        <f t="shared" si="234"/>
        <v>11773080.494973505</v>
      </c>
      <c r="AD204" s="236">
        <f t="shared" si="235"/>
        <v>1681868.6421390716</v>
      </c>
      <c r="AE204" s="236">
        <f t="shared" si="236"/>
        <v>0</v>
      </c>
      <c r="AF204" s="242">
        <f t="shared" si="237"/>
        <v>55501665.190589346</v>
      </c>
      <c r="AG204" s="235">
        <f t="shared" si="238"/>
        <v>0</v>
      </c>
      <c r="AH204" s="236">
        <f t="shared" si="239"/>
        <v>0</v>
      </c>
      <c r="AI204" s="236">
        <f t="shared" si="240"/>
        <v>5447913.3756996496</v>
      </c>
      <c r="AJ204" s="236">
        <f t="shared" si="241"/>
        <v>1089582.6751399299</v>
      </c>
      <c r="AK204" s="236">
        <f t="shared" si="242"/>
        <v>0</v>
      </c>
      <c r="AL204" s="236">
        <f t="shared" si="243"/>
        <v>0</v>
      </c>
      <c r="AM204" s="971">
        <f t="shared" si="244"/>
        <v>6537496.0508395797</v>
      </c>
      <c r="AN204" s="235">
        <f t="shared" si="245"/>
        <v>61089967.103278197</v>
      </c>
      <c r="AO204" s="236">
        <f t="shared" si="246"/>
        <v>0</v>
      </c>
      <c r="AP204" s="236">
        <f t="shared" si="247"/>
        <v>30544983.551639099</v>
      </c>
      <c r="AQ204" s="236">
        <f t="shared" si="248"/>
        <v>43122329.719961092</v>
      </c>
      <c r="AR204" s="236">
        <f t="shared" si="249"/>
        <v>1796763.7383317102</v>
      </c>
      <c r="AS204" s="236">
        <f t="shared" si="250"/>
        <v>0</v>
      </c>
      <c r="AT204" s="242">
        <f t="shared" si="251"/>
        <v>136554044.11321011</v>
      </c>
      <c r="AU204" s="254">
        <v>0</v>
      </c>
      <c r="AV204" s="246">
        <f t="shared" si="252"/>
        <v>198.59320535463905</v>
      </c>
      <c r="AW204" s="973">
        <f t="shared" si="253"/>
        <v>3.2682530873125892</v>
      </c>
    </row>
    <row r="205" spans="1:49">
      <c r="A205" s="127">
        <f>'Input data'!A129</f>
        <v>2029</v>
      </c>
      <c r="B205" s="105">
        <f>'Input data'!B129</f>
        <v>65.435442210930105</v>
      </c>
      <c r="C205" s="417">
        <f>'Recycling - Case 3'!E109</f>
        <v>0.97806153846153887</v>
      </c>
      <c r="D205" s="525">
        <f>'Recycling - Case 3'!F109</f>
        <v>0.36381538461538476</v>
      </c>
      <c r="E205" s="235">
        <f t="shared" si="188"/>
        <v>1018470758.2350494</v>
      </c>
      <c r="F205" s="236">
        <v>0</v>
      </c>
      <c r="G205" s="237">
        <f t="shared" si="189"/>
        <v>1018470758.2350494</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22069477.89190872</v>
      </c>
      <c r="AA205" s="236">
        <f t="shared" si="232"/>
        <v>0</v>
      </c>
      <c r="AB205" s="236">
        <f t="shared" si="233"/>
        <v>22069477.89190872</v>
      </c>
      <c r="AC205" s="236">
        <f t="shared" si="234"/>
        <v>12358907.619468892</v>
      </c>
      <c r="AD205" s="236">
        <f t="shared" si="235"/>
        <v>1765558.2313526983</v>
      </c>
      <c r="AE205" s="236">
        <f t="shared" si="236"/>
        <v>0</v>
      </c>
      <c r="AF205" s="242">
        <f t="shared" si="237"/>
        <v>58263421.634639032</v>
      </c>
      <c r="AG205" s="235">
        <f t="shared" si="238"/>
        <v>0</v>
      </c>
      <c r="AH205" s="236">
        <f t="shared" si="239"/>
        <v>0</v>
      </c>
      <c r="AI205" s="236">
        <f t="shared" si="240"/>
        <v>5499742.094469266</v>
      </c>
      <c r="AJ205" s="236">
        <f t="shared" si="241"/>
        <v>1099948.4188938532</v>
      </c>
      <c r="AK205" s="236">
        <f t="shared" si="242"/>
        <v>0</v>
      </c>
      <c r="AL205" s="236">
        <f t="shared" si="243"/>
        <v>0</v>
      </c>
      <c r="AM205" s="971">
        <f t="shared" si="244"/>
        <v>6599690.5133631192</v>
      </c>
      <c r="AN205" s="235">
        <f t="shared" si="245"/>
        <v>62650053.53426189</v>
      </c>
      <c r="AO205" s="236">
        <f t="shared" si="246"/>
        <v>0</v>
      </c>
      <c r="AP205" s="236">
        <f t="shared" si="247"/>
        <v>31325026.767130945</v>
      </c>
      <c r="AQ205" s="236">
        <f t="shared" si="248"/>
        <v>44223567.200655453</v>
      </c>
      <c r="AR205" s="236">
        <f t="shared" si="249"/>
        <v>1842648.633360642</v>
      </c>
      <c r="AS205" s="236">
        <f t="shared" si="250"/>
        <v>0</v>
      </c>
      <c r="AT205" s="242">
        <f t="shared" si="251"/>
        <v>140041296.13540894</v>
      </c>
      <c r="AU205" s="254">
        <v>0</v>
      </c>
      <c r="AV205" s="246">
        <f t="shared" si="252"/>
        <v>204.90440828341107</v>
      </c>
      <c r="AW205" s="973">
        <f t="shared" si="253"/>
        <v>3.2993456099811418</v>
      </c>
    </row>
    <row r="206" spans="1:49">
      <c r="A206" s="127">
        <f>'Input data'!A130</f>
        <v>2030</v>
      </c>
      <c r="B206" s="105">
        <f>'Input data'!B130</f>
        <v>66.040790860694059</v>
      </c>
      <c r="C206" s="417">
        <f>'Recycling - Case 3'!E110</f>
        <v>1</v>
      </c>
      <c r="D206" s="525">
        <f>'Recycling - Case 3'!F110</f>
        <v>0.37</v>
      </c>
      <c r="E206" s="235">
        <f t="shared" si="188"/>
        <v>1027892714.8611585</v>
      </c>
      <c r="F206" s="236">
        <v>0</v>
      </c>
      <c r="G206" s="237">
        <f t="shared" si="189"/>
        <v>1027892714.8611585</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23127586.084376067</v>
      </c>
      <c r="AA206" s="236">
        <f t="shared" si="232"/>
        <v>0</v>
      </c>
      <c r="AB206" s="236">
        <f t="shared" si="233"/>
        <v>23127586.084376067</v>
      </c>
      <c r="AC206" s="236">
        <f t="shared" si="234"/>
        <v>12951448.207250601</v>
      </c>
      <c r="AD206" s="236">
        <f t="shared" si="235"/>
        <v>1850206.8867500857</v>
      </c>
      <c r="AE206" s="236">
        <f t="shared" si="236"/>
        <v>0</v>
      </c>
      <c r="AF206" s="242">
        <f t="shared" si="237"/>
        <v>61056827.262752824</v>
      </c>
      <c r="AG206" s="235">
        <f t="shared" si="238"/>
        <v>0</v>
      </c>
      <c r="AH206" s="236">
        <f t="shared" si="239"/>
        <v>0</v>
      </c>
      <c r="AI206" s="236">
        <f t="shared" si="240"/>
        <v>5550620.6602502558</v>
      </c>
      <c r="AJ206" s="236">
        <f t="shared" si="241"/>
        <v>1110124.1320500511</v>
      </c>
      <c r="AK206" s="236">
        <f t="shared" si="242"/>
        <v>0</v>
      </c>
      <c r="AL206" s="236">
        <f t="shared" si="243"/>
        <v>0</v>
      </c>
      <c r="AM206" s="971">
        <f t="shared" si="244"/>
        <v>6660744.7923003072</v>
      </c>
      <c r="AN206" s="235">
        <f t="shared" si="245"/>
        <v>64217597.36095088</v>
      </c>
      <c r="AO206" s="236">
        <f t="shared" si="246"/>
        <v>0</v>
      </c>
      <c r="AP206" s="236">
        <f t="shared" si="247"/>
        <v>32108798.68047544</v>
      </c>
      <c r="AQ206" s="236">
        <f t="shared" si="248"/>
        <v>45330068.72537709</v>
      </c>
      <c r="AR206" s="236">
        <f t="shared" si="249"/>
        <v>1888752.8635573785</v>
      </c>
      <c r="AS206" s="236">
        <f t="shared" si="250"/>
        <v>0</v>
      </c>
      <c r="AT206" s="242">
        <f t="shared" si="251"/>
        <v>143545217.63036078</v>
      </c>
      <c r="AU206" s="254">
        <v>0</v>
      </c>
      <c r="AV206" s="246">
        <f t="shared" si="252"/>
        <v>211.26278968541391</v>
      </c>
      <c r="AW206" s="973">
        <f t="shared" si="253"/>
        <v>3.3298681271770771</v>
      </c>
    </row>
    <row r="207" spans="1:49">
      <c r="A207" s="127">
        <f>'Input data'!A131</f>
        <v>2031</v>
      </c>
      <c r="B207" s="105">
        <f>'Input data'!B131</f>
        <v>66.6344094187031</v>
      </c>
      <c r="C207" s="417">
        <f>'Recycling - Case 3'!E111</f>
        <v>1</v>
      </c>
      <c r="D207" s="525">
        <f>'Recycling - Case 3'!F111</f>
        <v>0.37</v>
      </c>
      <c r="E207" s="235">
        <f t="shared" si="188"/>
        <v>1037132098.3275223</v>
      </c>
      <c r="F207" s="236">
        <v>0</v>
      </c>
      <c r="G207" s="237">
        <f t="shared" si="189"/>
        <v>1037132098.3275223</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23335472.212369256</v>
      </c>
      <c r="AA207" s="236">
        <f t="shared" si="232"/>
        <v>0</v>
      </c>
      <c r="AB207" s="236">
        <f t="shared" si="233"/>
        <v>23335472.212369256</v>
      </c>
      <c r="AC207" s="236">
        <f t="shared" si="234"/>
        <v>13067864.438926784</v>
      </c>
      <c r="AD207" s="236">
        <f t="shared" si="235"/>
        <v>1866837.7769895401</v>
      </c>
      <c r="AE207" s="236">
        <f t="shared" si="236"/>
        <v>0</v>
      </c>
      <c r="AF207" s="242">
        <f t="shared" si="237"/>
        <v>61605646.64065484</v>
      </c>
      <c r="AG207" s="235">
        <f t="shared" si="238"/>
        <v>0</v>
      </c>
      <c r="AH207" s="236">
        <f t="shared" si="239"/>
        <v>0</v>
      </c>
      <c r="AI207" s="236">
        <f t="shared" si="240"/>
        <v>5600513.3309686203</v>
      </c>
      <c r="AJ207" s="236">
        <f t="shared" si="241"/>
        <v>1120102.6661937239</v>
      </c>
      <c r="AK207" s="236">
        <f t="shared" si="242"/>
        <v>0</v>
      </c>
      <c r="AL207" s="236">
        <f t="shared" si="243"/>
        <v>0</v>
      </c>
      <c r="AM207" s="971">
        <f t="shared" si="244"/>
        <v>6720615.9971623439</v>
      </c>
      <c r="AN207" s="235">
        <f t="shared" si="245"/>
        <v>64794827.843011953</v>
      </c>
      <c r="AO207" s="236">
        <f t="shared" si="246"/>
        <v>0</v>
      </c>
      <c r="AP207" s="236">
        <f t="shared" si="247"/>
        <v>32397413.921505976</v>
      </c>
      <c r="AQ207" s="236">
        <f t="shared" si="248"/>
        <v>45737525.536243737</v>
      </c>
      <c r="AR207" s="236">
        <f t="shared" si="249"/>
        <v>1905730.2306768221</v>
      </c>
      <c r="AS207" s="236">
        <f t="shared" si="250"/>
        <v>0</v>
      </c>
      <c r="AT207" s="242">
        <f t="shared" si="251"/>
        <v>144835497.5314385</v>
      </c>
      <c r="AU207" s="254">
        <v>0</v>
      </c>
      <c r="AV207" s="246">
        <f t="shared" si="252"/>
        <v>213.16176016925567</v>
      </c>
      <c r="AW207" s="973">
        <f t="shared" si="253"/>
        <v>3.3597991969031304</v>
      </c>
    </row>
    <row r="208" spans="1:49">
      <c r="A208" s="127">
        <f>'Input data'!A132</f>
        <v>2032</v>
      </c>
      <c r="B208" s="105">
        <f>'Input data'!B132</f>
        <v>67.215877817791679</v>
      </c>
      <c r="C208" s="417">
        <f>'Recycling - Case 3'!E112</f>
        <v>1</v>
      </c>
      <c r="D208" s="525">
        <f>'Recycling - Case 3'!F112</f>
        <v>0.37</v>
      </c>
      <c r="E208" s="235">
        <f t="shared" si="188"/>
        <v>1046182370.4934915</v>
      </c>
      <c r="F208" s="236">
        <v>0</v>
      </c>
      <c r="G208" s="237">
        <f t="shared" si="189"/>
        <v>1046182370.4934915</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23539103.336103562</v>
      </c>
      <c r="AA208" s="236">
        <f t="shared" si="232"/>
        <v>0</v>
      </c>
      <c r="AB208" s="236">
        <f t="shared" si="233"/>
        <v>23539103.336103562</v>
      </c>
      <c r="AC208" s="236">
        <f t="shared" si="234"/>
        <v>13181897.868217997</v>
      </c>
      <c r="AD208" s="236">
        <f t="shared" si="235"/>
        <v>1883128.2668882851</v>
      </c>
      <c r="AE208" s="236">
        <f t="shared" si="236"/>
        <v>0</v>
      </c>
      <c r="AF208" s="242">
        <f t="shared" si="237"/>
        <v>62143232.807313405</v>
      </c>
      <c r="AG208" s="235">
        <f t="shared" si="238"/>
        <v>0</v>
      </c>
      <c r="AH208" s="236">
        <f t="shared" si="239"/>
        <v>0</v>
      </c>
      <c r="AI208" s="236">
        <f t="shared" si="240"/>
        <v>5649384.8006648542</v>
      </c>
      <c r="AJ208" s="236">
        <f t="shared" si="241"/>
        <v>1129876.9601329707</v>
      </c>
      <c r="AK208" s="236">
        <f t="shared" si="242"/>
        <v>0</v>
      </c>
      <c r="AL208" s="236">
        <f t="shared" si="243"/>
        <v>0</v>
      </c>
      <c r="AM208" s="971">
        <f t="shared" si="244"/>
        <v>6779261.7607978247</v>
      </c>
      <c r="AN208" s="235">
        <f t="shared" si="245"/>
        <v>65360243.596580878</v>
      </c>
      <c r="AO208" s="236">
        <f t="shared" si="246"/>
        <v>0</v>
      </c>
      <c r="AP208" s="236">
        <f t="shared" si="247"/>
        <v>32680121.798290439</v>
      </c>
      <c r="AQ208" s="236">
        <f t="shared" si="248"/>
        <v>46136642.538762972</v>
      </c>
      <c r="AR208" s="236">
        <f t="shared" si="249"/>
        <v>1922360.1057817906</v>
      </c>
      <c r="AS208" s="236">
        <f t="shared" si="250"/>
        <v>0</v>
      </c>
      <c r="AT208" s="242">
        <f t="shared" si="251"/>
        <v>146099368.03941607</v>
      </c>
      <c r="AU208" s="254">
        <v>0</v>
      </c>
      <c r="AV208" s="246">
        <f t="shared" si="252"/>
        <v>215.02186260752731</v>
      </c>
      <c r="AW208" s="973">
        <f t="shared" si="253"/>
        <v>3.3891176387911139</v>
      </c>
    </row>
    <row r="209" spans="1:49">
      <c r="A209" s="127">
        <f>'Input data'!A133</f>
        <v>2033</v>
      </c>
      <c r="B209" s="105">
        <f>'Input data'!B133</f>
        <v>67.784781669940756</v>
      </c>
      <c r="C209" s="417">
        <f>'Recycling - Case 3'!E113</f>
        <v>1</v>
      </c>
      <c r="D209" s="525">
        <f>'Recycling - Case 3'!F113</f>
        <v>0.37</v>
      </c>
      <c r="E209" s="235">
        <f t="shared" si="188"/>
        <v>1055037081.6115639</v>
      </c>
      <c r="F209" s="236">
        <v>0</v>
      </c>
      <c r="G209" s="237">
        <f t="shared" si="189"/>
        <v>1055037081.6115639</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23738334.336260188</v>
      </c>
      <c r="AA209" s="236">
        <f t="shared" si="232"/>
        <v>0</v>
      </c>
      <c r="AB209" s="236">
        <f t="shared" si="233"/>
        <v>23738334.336260188</v>
      </c>
      <c r="AC209" s="236">
        <f t="shared" si="234"/>
        <v>13293467.228305709</v>
      </c>
      <c r="AD209" s="236">
        <f t="shared" si="235"/>
        <v>1899066.7469008155</v>
      </c>
      <c r="AE209" s="236">
        <f t="shared" si="236"/>
        <v>0</v>
      </c>
      <c r="AF209" s="242">
        <f t="shared" si="237"/>
        <v>62669202.647726893</v>
      </c>
      <c r="AG209" s="235">
        <f t="shared" si="238"/>
        <v>0</v>
      </c>
      <c r="AH209" s="236">
        <f t="shared" si="239"/>
        <v>0</v>
      </c>
      <c r="AI209" s="236">
        <f t="shared" si="240"/>
        <v>5697200.2407024447</v>
      </c>
      <c r="AJ209" s="236">
        <f t="shared" si="241"/>
        <v>1139440.0481404888</v>
      </c>
      <c r="AK209" s="236">
        <f t="shared" si="242"/>
        <v>0</v>
      </c>
      <c r="AL209" s="236">
        <f t="shared" si="243"/>
        <v>0</v>
      </c>
      <c r="AM209" s="971">
        <f t="shared" si="244"/>
        <v>6836640.2888429333</v>
      </c>
      <c r="AN209" s="235">
        <f t="shared" si="245"/>
        <v>65913441.673682451</v>
      </c>
      <c r="AO209" s="236">
        <f t="shared" si="246"/>
        <v>0</v>
      </c>
      <c r="AP209" s="236">
        <f t="shared" si="247"/>
        <v>32956720.836841226</v>
      </c>
      <c r="AQ209" s="236">
        <f t="shared" si="248"/>
        <v>46527135.299069971</v>
      </c>
      <c r="AR209" s="236">
        <f t="shared" si="249"/>
        <v>1938630.6374612486</v>
      </c>
      <c r="AS209" s="236">
        <f t="shared" si="250"/>
        <v>0</v>
      </c>
      <c r="AT209" s="242">
        <f t="shared" si="251"/>
        <v>147335928.44705489</v>
      </c>
      <c r="AU209" s="254">
        <v>0</v>
      </c>
      <c r="AV209" s="246">
        <f t="shared" si="252"/>
        <v>216.84177138362475</v>
      </c>
      <c r="AW209" s="973">
        <f t="shared" si="253"/>
        <v>3.4178025588232726</v>
      </c>
    </row>
    <row r="210" spans="1:49">
      <c r="A210" s="127">
        <f>'Input data'!A134</f>
        <v>2034</v>
      </c>
      <c r="B210" s="105">
        <f>'Input data'!B134</f>
        <v>68.342055626742408</v>
      </c>
      <c r="C210" s="417">
        <f>'Recycling - Case 3'!E114</f>
        <v>1</v>
      </c>
      <c r="D210" s="525">
        <f>'Recycling - Case 3'!F114</f>
        <v>0.37</v>
      </c>
      <c r="E210" s="235">
        <f t="shared" si="188"/>
        <v>1063710779.0781276</v>
      </c>
      <c r="F210" s="236">
        <v>0</v>
      </c>
      <c r="G210" s="237">
        <f t="shared" si="189"/>
        <v>1063710779.0781276</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23933492.529257875</v>
      </c>
      <c r="AA210" s="236">
        <f t="shared" si="232"/>
        <v>0</v>
      </c>
      <c r="AB210" s="236">
        <f t="shared" si="233"/>
        <v>23933492.529257875</v>
      </c>
      <c r="AC210" s="236">
        <f t="shared" si="234"/>
        <v>13402755.816384412</v>
      </c>
      <c r="AD210" s="236">
        <f t="shared" si="235"/>
        <v>1914679.4023406298</v>
      </c>
      <c r="AE210" s="236">
        <f t="shared" si="236"/>
        <v>0</v>
      </c>
      <c r="AF210" s="242">
        <f t="shared" si="237"/>
        <v>63184420.27724079</v>
      </c>
      <c r="AG210" s="235">
        <f t="shared" si="238"/>
        <v>0</v>
      </c>
      <c r="AH210" s="236">
        <f t="shared" si="239"/>
        <v>0</v>
      </c>
      <c r="AI210" s="236">
        <f t="shared" si="240"/>
        <v>5744038.2070218893</v>
      </c>
      <c r="AJ210" s="236">
        <f t="shared" si="241"/>
        <v>1148807.6414043778</v>
      </c>
      <c r="AK210" s="236">
        <f t="shared" si="242"/>
        <v>0</v>
      </c>
      <c r="AL210" s="236">
        <f t="shared" si="243"/>
        <v>0</v>
      </c>
      <c r="AM210" s="971">
        <f t="shared" si="244"/>
        <v>6892845.8484262675</v>
      </c>
      <c r="AN210" s="235">
        <f t="shared" si="245"/>
        <v>66455330.922906019</v>
      </c>
      <c r="AO210" s="236">
        <f t="shared" si="246"/>
        <v>0</v>
      </c>
      <c r="AP210" s="236">
        <f t="shared" si="247"/>
        <v>33227665.461453009</v>
      </c>
      <c r="AQ210" s="236">
        <f t="shared" si="248"/>
        <v>46909645.357345425</v>
      </c>
      <c r="AR210" s="236">
        <f t="shared" si="249"/>
        <v>1954568.5565560593</v>
      </c>
      <c r="AS210" s="236">
        <f t="shared" si="250"/>
        <v>0</v>
      </c>
      <c r="AT210" s="242">
        <f t="shared" si="251"/>
        <v>148547210.29826051</v>
      </c>
      <c r="AU210" s="254">
        <v>0</v>
      </c>
      <c r="AV210" s="246">
        <f t="shared" si="252"/>
        <v>218.62447642392758</v>
      </c>
      <c r="AW210" s="973">
        <f t="shared" si="253"/>
        <v>3.4459010834271635</v>
      </c>
    </row>
    <row r="211" spans="1:49">
      <c r="A211" s="127">
        <f>'Input data'!A135</f>
        <v>2035</v>
      </c>
      <c r="B211" s="105">
        <f>'Input data'!B135</f>
        <v>68.88733085860035</v>
      </c>
      <c r="C211" s="417">
        <f>'Recycling - Case 3'!E115</f>
        <v>1</v>
      </c>
      <c r="D211" s="525">
        <f>'Recycling - Case 3'!F115</f>
        <v>0.37</v>
      </c>
      <c r="E211" s="235">
        <f t="shared" si="188"/>
        <v>1072197722.2403212</v>
      </c>
      <c r="F211" s="236">
        <v>0</v>
      </c>
      <c r="G211" s="237">
        <f t="shared" si="189"/>
        <v>1072197722.2403212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24124448.75040723</v>
      </c>
      <c r="AA211" s="236">
        <f t="shared" si="232"/>
        <v>0</v>
      </c>
      <c r="AB211" s="236">
        <f t="shared" si="233"/>
        <v>24124448.75040723</v>
      </c>
      <c r="AC211" s="236">
        <f t="shared" si="234"/>
        <v>13509691.300228052</v>
      </c>
      <c r="AD211" s="236">
        <f t="shared" si="235"/>
        <v>1929955.9000325785</v>
      </c>
      <c r="AE211" s="236">
        <f t="shared" si="236"/>
        <v>0</v>
      </c>
      <c r="AF211" s="242">
        <f t="shared" si="237"/>
        <v>63688544.701075092</v>
      </c>
      <c r="AG211" s="235">
        <f t="shared" si="238"/>
        <v>0</v>
      </c>
      <c r="AH211" s="236">
        <f t="shared" si="239"/>
        <v>0</v>
      </c>
      <c r="AI211" s="236">
        <f t="shared" si="240"/>
        <v>5789867.7000977341</v>
      </c>
      <c r="AJ211" s="236">
        <f t="shared" si="241"/>
        <v>1157973.5400195469</v>
      </c>
      <c r="AK211" s="236">
        <f t="shared" si="242"/>
        <v>0</v>
      </c>
      <c r="AL211" s="236">
        <f t="shared" si="243"/>
        <v>0</v>
      </c>
      <c r="AM211" s="971">
        <f t="shared" si="244"/>
        <v>6947841.2401172807</v>
      </c>
      <c r="AN211" s="235">
        <f t="shared" si="245"/>
        <v>66985552.696964055</v>
      </c>
      <c r="AO211" s="236">
        <f t="shared" si="246"/>
        <v>0</v>
      </c>
      <c r="AP211" s="236">
        <f t="shared" si="247"/>
        <v>33492776.348482028</v>
      </c>
      <c r="AQ211" s="236">
        <f t="shared" si="248"/>
        <v>47283919.550798163</v>
      </c>
      <c r="AR211" s="236">
        <f t="shared" si="249"/>
        <v>1970163.31461659</v>
      </c>
      <c r="AS211" s="236">
        <f t="shared" si="250"/>
        <v>0</v>
      </c>
      <c r="AT211" s="242">
        <f t="shared" si="251"/>
        <v>149732411.91086084</v>
      </c>
      <c r="AU211" s="254">
        <v>0</v>
      </c>
      <c r="AV211" s="246">
        <f t="shared" si="252"/>
        <v>220.36879785205323</v>
      </c>
      <c r="AW211" s="973">
        <f t="shared" si="253"/>
        <v>3.4733946157037967</v>
      </c>
    </row>
    <row r="212" spans="1:49">
      <c r="A212" s="127">
        <f>'Input data'!A136</f>
        <v>2036</v>
      </c>
      <c r="B212" s="105">
        <f>'Input data'!B136</f>
        <v>69.420244147098416</v>
      </c>
      <c r="C212" s="417">
        <f>'Recycling - Case 3'!E116</f>
        <v>1</v>
      </c>
      <c r="D212" s="525">
        <f>'Recycling - Case 3'!F116</f>
        <v>0.37</v>
      </c>
      <c r="E212" s="235">
        <f t="shared" si="188"/>
        <v>1080492257.7805653</v>
      </c>
      <c r="F212" s="236">
        <v>0</v>
      </c>
      <c r="G212" s="237">
        <f t="shared" si="189"/>
        <v>1080492257.7805653</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24311075.80006272</v>
      </c>
      <c r="AA212" s="236">
        <f t="shared" si="232"/>
        <v>0</v>
      </c>
      <c r="AB212" s="236">
        <f t="shared" si="233"/>
        <v>24311075.80006272</v>
      </c>
      <c r="AC212" s="236">
        <f t="shared" si="234"/>
        <v>13614202.448035127</v>
      </c>
      <c r="AD212" s="236">
        <f t="shared" si="235"/>
        <v>1944886.064005018</v>
      </c>
      <c r="AE212" s="236">
        <f t="shared" si="236"/>
        <v>0</v>
      </c>
      <c r="AF212" s="242">
        <f t="shared" si="237"/>
        <v>64181240.112165585</v>
      </c>
      <c r="AG212" s="235">
        <f t="shared" si="238"/>
        <v>0</v>
      </c>
      <c r="AH212" s="236">
        <f t="shared" si="239"/>
        <v>0</v>
      </c>
      <c r="AI212" s="236">
        <f t="shared" si="240"/>
        <v>5834658.1920150518</v>
      </c>
      <c r="AJ212" s="236">
        <f t="shared" si="241"/>
        <v>1166931.6384030103</v>
      </c>
      <c r="AK212" s="236">
        <f t="shared" si="242"/>
        <v>0</v>
      </c>
      <c r="AL212" s="236">
        <f t="shared" si="243"/>
        <v>0</v>
      </c>
      <c r="AM212" s="971">
        <f t="shared" si="244"/>
        <v>7001589.8304180624</v>
      </c>
      <c r="AN212" s="235">
        <f t="shared" si="245"/>
        <v>67503753.804840818</v>
      </c>
      <c r="AO212" s="236">
        <f t="shared" si="246"/>
        <v>0</v>
      </c>
      <c r="AP212" s="236">
        <f t="shared" si="247"/>
        <v>33751876.902420409</v>
      </c>
      <c r="AQ212" s="236">
        <f t="shared" si="248"/>
        <v>47649708.568122923</v>
      </c>
      <c r="AR212" s="236">
        <f t="shared" si="249"/>
        <v>1985404.5236717886</v>
      </c>
      <c r="AS212" s="236">
        <f t="shared" si="250"/>
        <v>0</v>
      </c>
      <c r="AT212" s="242">
        <f t="shared" si="251"/>
        <v>150890743.79905593</v>
      </c>
      <c r="AU212" s="254">
        <v>0</v>
      </c>
      <c r="AV212" s="246">
        <f t="shared" si="252"/>
        <v>222.07357374163959</v>
      </c>
      <c r="AW212" s="973">
        <f t="shared" si="253"/>
        <v>3.5002648416776503</v>
      </c>
    </row>
    <row r="213" spans="1:49">
      <c r="A213" s="127">
        <f>'Input data'!A137</f>
        <v>2037</v>
      </c>
      <c r="B213" s="105">
        <f>'Input data'!B137</f>
        <v>69.940438284968707</v>
      </c>
      <c r="C213" s="417">
        <f>'Recycling - Case 3'!E117</f>
        <v>1</v>
      </c>
      <c r="D213" s="525">
        <f>'Recycling - Case 3'!F117</f>
        <v>0.37</v>
      </c>
      <c r="E213" s="235">
        <f t="shared" si="188"/>
        <v>1088588825.941874</v>
      </c>
      <c r="F213" s="236">
        <v>0</v>
      </c>
      <c r="G213" s="237">
        <f t="shared" si="189"/>
        <v>1088588825.941874</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24493248.583692167</v>
      </c>
      <c r="AA213" s="236">
        <f t="shared" si="232"/>
        <v>0</v>
      </c>
      <c r="AB213" s="236">
        <f t="shared" si="233"/>
        <v>24493248.583692167</v>
      </c>
      <c r="AC213" s="236">
        <f t="shared" si="234"/>
        <v>13716219.206867617</v>
      </c>
      <c r="AD213" s="236">
        <f t="shared" si="235"/>
        <v>1959459.8866953736</v>
      </c>
      <c r="AE213" s="236">
        <f t="shared" si="236"/>
        <v>0</v>
      </c>
      <c r="AF213" s="242">
        <f t="shared" si="237"/>
        <v>64662176.260947317</v>
      </c>
      <c r="AG213" s="235">
        <f t="shared" si="238"/>
        <v>0</v>
      </c>
      <c r="AH213" s="236">
        <f t="shared" si="239"/>
        <v>0</v>
      </c>
      <c r="AI213" s="236">
        <f t="shared" si="240"/>
        <v>5878379.6600861186</v>
      </c>
      <c r="AJ213" s="236">
        <f t="shared" si="241"/>
        <v>1175675.9320172237</v>
      </c>
      <c r="AK213" s="236">
        <f t="shared" si="242"/>
        <v>0</v>
      </c>
      <c r="AL213" s="236">
        <f t="shared" si="243"/>
        <v>0</v>
      </c>
      <c r="AM213" s="971">
        <f t="shared" si="244"/>
        <v>7054055.5921033425</v>
      </c>
      <c r="AN213" s="235">
        <f t="shared" si="245"/>
        <v>68009586.90071857</v>
      </c>
      <c r="AO213" s="236">
        <f t="shared" si="246"/>
        <v>0</v>
      </c>
      <c r="AP213" s="236">
        <f t="shared" si="247"/>
        <v>34004793.450359285</v>
      </c>
      <c r="AQ213" s="236">
        <f t="shared" si="248"/>
        <v>48006767.224036641</v>
      </c>
      <c r="AR213" s="236">
        <f t="shared" si="249"/>
        <v>2000281.9676681934</v>
      </c>
      <c r="AS213" s="236">
        <f t="shared" si="250"/>
        <v>0</v>
      </c>
      <c r="AT213" s="242">
        <f t="shared" si="251"/>
        <v>152021429.54278269</v>
      </c>
      <c r="AU213" s="254">
        <v>0</v>
      </c>
      <c r="AV213" s="246">
        <f t="shared" si="252"/>
        <v>223.73766139583338</v>
      </c>
      <c r="AW213" s="973">
        <f t="shared" si="253"/>
        <v>3.5264937504636227</v>
      </c>
    </row>
    <row r="214" spans="1:49">
      <c r="A214" s="127">
        <f>'Input data'!A138</f>
        <v>2038</v>
      </c>
      <c r="B214" s="105">
        <f>'Input data'!B138</f>
        <v>70.447562472153166</v>
      </c>
      <c r="C214" s="417">
        <f>'Recycling - Case 3'!E118</f>
        <v>1</v>
      </c>
      <c r="D214" s="525">
        <f>'Recycling - Case 3'!F118</f>
        <v>0.37</v>
      </c>
      <c r="E214" s="235">
        <f t="shared" si="188"/>
        <v>1096481966.692359</v>
      </c>
      <c r="F214" s="236">
        <v>0</v>
      </c>
      <c r="G214" s="237">
        <f t="shared" si="189"/>
        <v>1096481966.692359</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24670844.250578079</v>
      </c>
      <c r="AA214" s="236">
        <f t="shared" si="232"/>
        <v>0</v>
      </c>
      <c r="AB214" s="236">
        <f t="shared" si="233"/>
        <v>24670844.250578079</v>
      </c>
      <c r="AC214" s="236">
        <f t="shared" si="234"/>
        <v>13815672.780323727</v>
      </c>
      <c r="AD214" s="236">
        <f t="shared" si="235"/>
        <v>1973667.5400462465</v>
      </c>
      <c r="AE214" s="236">
        <f t="shared" si="236"/>
        <v>0</v>
      </c>
      <c r="AF214" s="242">
        <f t="shared" si="237"/>
        <v>65131028.821526133</v>
      </c>
      <c r="AG214" s="235">
        <f t="shared" si="238"/>
        <v>0</v>
      </c>
      <c r="AH214" s="236">
        <f t="shared" si="239"/>
        <v>0</v>
      </c>
      <c r="AI214" s="236">
        <f t="shared" si="240"/>
        <v>5921002.6201387383</v>
      </c>
      <c r="AJ214" s="236">
        <f t="shared" si="241"/>
        <v>1184200.5240277476</v>
      </c>
      <c r="AK214" s="236">
        <f t="shared" si="242"/>
        <v>0</v>
      </c>
      <c r="AL214" s="236">
        <f t="shared" si="243"/>
        <v>0</v>
      </c>
      <c r="AM214" s="971">
        <f t="shared" si="244"/>
        <v>7105203.1441664863</v>
      </c>
      <c r="AN214" s="235">
        <f t="shared" si="245"/>
        <v>68502710.86910513</v>
      </c>
      <c r="AO214" s="236">
        <f t="shared" si="246"/>
        <v>0</v>
      </c>
      <c r="AP214" s="236">
        <f t="shared" si="247"/>
        <v>34251355.434552565</v>
      </c>
      <c r="AQ214" s="236">
        <f t="shared" si="248"/>
        <v>48354854.731133029</v>
      </c>
      <c r="AR214" s="236">
        <f t="shared" si="249"/>
        <v>2014785.6137972095</v>
      </c>
      <c r="AS214" s="236">
        <f t="shared" si="250"/>
        <v>0</v>
      </c>
      <c r="AT214" s="242">
        <f t="shared" si="251"/>
        <v>153123706.64858794</v>
      </c>
      <c r="AU214" s="254">
        <v>0</v>
      </c>
      <c r="AV214" s="246">
        <f t="shared" si="252"/>
        <v>225.35993861428059</v>
      </c>
      <c r="AW214" s="973">
        <f t="shared" si="253"/>
        <v>3.5520636542370059</v>
      </c>
    </row>
    <row r="215" spans="1:49">
      <c r="A215" s="127">
        <f>'Input data'!A139</f>
        <v>2039</v>
      </c>
      <c r="B215" s="105">
        <f>'Input data'!B139</f>
        <v>70.942722252264574</v>
      </c>
      <c r="C215" s="417">
        <f>'Recycling - Case 3'!E119</f>
        <v>1</v>
      </c>
      <c r="D215" s="525">
        <f>'Recycling - Case 3'!F119</f>
        <v>0.37</v>
      </c>
      <c r="E215" s="235">
        <f t="shared" si="188"/>
        <v>1104188887.2794001</v>
      </c>
      <c r="F215" s="236">
        <v>0</v>
      </c>
      <c r="G215" s="237">
        <f t="shared" si="189"/>
        <v>1104188887.2794001</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24844249.963786505</v>
      </c>
      <c r="AA215" s="236">
        <f t="shared" si="232"/>
        <v>0</v>
      </c>
      <c r="AB215" s="236">
        <f t="shared" si="233"/>
        <v>24844249.963786505</v>
      </c>
      <c r="AC215" s="236">
        <f t="shared" si="234"/>
        <v>13912779.979720445</v>
      </c>
      <c r="AD215" s="236">
        <f t="shared" si="235"/>
        <v>1987539.9971029207</v>
      </c>
      <c r="AE215" s="236">
        <f t="shared" si="236"/>
        <v>0</v>
      </c>
      <c r="AF215" s="242">
        <f t="shared" si="237"/>
        <v>65588819.904396378</v>
      </c>
      <c r="AG215" s="235">
        <f t="shared" si="238"/>
        <v>0</v>
      </c>
      <c r="AH215" s="236">
        <f t="shared" si="239"/>
        <v>0</v>
      </c>
      <c r="AI215" s="236">
        <f t="shared" si="240"/>
        <v>5962619.9913087599</v>
      </c>
      <c r="AJ215" s="236">
        <f t="shared" si="241"/>
        <v>1192523.9982617518</v>
      </c>
      <c r="AK215" s="236">
        <f t="shared" si="242"/>
        <v>0</v>
      </c>
      <c r="AL215" s="236">
        <f t="shared" si="243"/>
        <v>0</v>
      </c>
      <c r="AM215" s="971">
        <f t="shared" si="244"/>
        <v>7155143.9895705115</v>
      </c>
      <c r="AN215" s="235">
        <f t="shared" si="245"/>
        <v>68984200.732780531</v>
      </c>
      <c r="AO215" s="236">
        <f t="shared" si="246"/>
        <v>0</v>
      </c>
      <c r="AP215" s="236">
        <f t="shared" si="247"/>
        <v>34492100.366390266</v>
      </c>
      <c r="AQ215" s="236">
        <f t="shared" si="248"/>
        <v>48694729.929021545</v>
      </c>
      <c r="AR215" s="236">
        <f t="shared" si="249"/>
        <v>2028947.0803758977</v>
      </c>
      <c r="AS215" s="236">
        <f t="shared" si="250"/>
        <v>0</v>
      </c>
      <c r="AT215" s="242">
        <f t="shared" si="251"/>
        <v>154199978.10856825</v>
      </c>
      <c r="AU215" s="254">
        <v>0</v>
      </c>
      <c r="AV215" s="246">
        <f t="shared" si="252"/>
        <v>226.94394200253512</v>
      </c>
      <c r="AW215" s="973">
        <f t="shared" si="253"/>
        <v>3.5770302960376927</v>
      </c>
    </row>
    <row r="216" spans="1:49">
      <c r="A216" s="127">
        <f>'Input data'!A140</f>
        <v>2040</v>
      </c>
      <c r="B216" s="105">
        <f>'Input data'!B140</f>
        <v>71.425610993241406</v>
      </c>
      <c r="C216" s="417">
        <f>'Recycling - Case 3'!E120</f>
        <v>1</v>
      </c>
      <c r="D216" s="525">
        <f>'Recycling - Case 3'!F120</f>
        <v>0.37</v>
      </c>
      <c r="E216" s="235">
        <f t="shared" si="188"/>
        <v>1111704815.1244435</v>
      </c>
      <c r="F216" s="236">
        <v>0</v>
      </c>
      <c r="G216" s="237">
        <f t="shared" si="189"/>
        <v>1111704815.1244435</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25013358.340299983</v>
      </c>
      <c r="AA216" s="236">
        <f t="shared" si="232"/>
        <v>0</v>
      </c>
      <c r="AB216" s="236">
        <f t="shared" si="233"/>
        <v>25013358.340299983</v>
      </c>
      <c r="AC216" s="236">
        <f t="shared" si="234"/>
        <v>14007480.670567991</v>
      </c>
      <c r="AD216" s="236">
        <f t="shared" si="235"/>
        <v>2001068.6672239983</v>
      </c>
      <c r="AE216" s="236">
        <f t="shared" si="236"/>
        <v>0</v>
      </c>
      <c r="AF216" s="242">
        <f t="shared" si="237"/>
        <v>66035266.018391952</v>
      </c>
      <c r="AG216" s="235">
        <f t="shared" si="238"/>
        <v>0</v>
      </c>
      <c r="AH216" s="236">
        <f t="shared" si="239"/>
        <v>0</v>
      </c>
      <c r="AI216" s="236">
        <f t="shared" si="240"/>
        <v>6003206.001671995</v>
      </c>
      <c r="AJ216" s="236">
        <f t="shared" si="241"/>
        <v>1200641.2003343988</v>
      </c>
      <c r="AK216" s="236">
        <f t="shared" si="242"/>
        <v>0</v>
      </c>
      <c r="AL216" s="236">
        <f t="shared" si="243"/>
        <v>0</v>
      </c>
      <c r="AM216" s="971">
        <f t="shared" si="244"/>
        <v>7203847.202006394</v>
      </c>
      <c r="AN216" s="235">
        <f t="shared" si="245"/>
        <v>69453758.324899599</v>
      </c>
      <c r="AO216" s="236">
        <f t="shared" si="246"/>
        <v>0</v>
      </c>
      <c r="AP216" s="236">
        <f t="shared" si="247"/>
        <v>34726879.162449799</v>
      </c>
      <c r="AQ216" s="236">
        <f t="shared" si="248"/>
        <v>49026182.346987955</v>
      </c>
      <c r="AR216" s="236">
        <f t="shared" si="249"/>
        <v>2042757.5977911649</v>
      </c>
      <c r="AS216" s="236">
        <f t="shared" si="250"/>
        <v>0</v>
      </c>
      <c r="AT216" s="242">
        <f t="shared" si="251"/>
        <v>155249577.43212852</v>
      </c>
      <c r="AU216" s="254">
        <v>0</v>
      </c>
      <c r="AV216" s="246">
        <f t="shared" si="252"/>
        <v>228.48869065252686</v>
      </c>
      <c r="AW216" s="973">
        <f t="shared" si="253"/>
        <v>3.6013782150525211</v>
      </c>
    </row>
    <row r="217" spans="1:49">
      <c r="A217" s="127">
        <f>'Input data'!A141</f>
        <v>2041</v>
      </c>
      <c r="B217" s="105">
        <f>'Input data'!B141</f>
        <v>71.895928013305991</v>
      </c>
      <c r="C217" s="417">
        <f>'Recycling - Case 3'!E121</f>
        <v>1</v>
      </c>
      <c r="D217" s="525">
        <f>'Recycling - Case 3'!F121</f>
        <v>0.37</v>
      </c>
      <c r="E217" s="235">
        <f t="shared" si="188"/>
        <v>1119025070.2622013</v>
      </c>
      <c r="F217" s="236">
        <v>0</v>
      </c>
      <c r="G217" s="237">
        <f t="shared" si="189"/>
        <v>1119025070.2622013</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25178064.080899533</v>
      </c>
      <c r="AA217" s="236">
        <f t="shared" si="232"/>
        <v>0</v>
      </c>
      <c r="AB217" s="236">
        <f t="shared" si="233"/>
        <v>25178064.080899533</v>
      </c>
      <c r="AC217" s="236">
        <f t="shared" si="234"/>
        <v>14099715.885303741</v>
      </c>
      <c r="AD217" s="236">
        <f t="shared" si="235"/>
        <v>2014245.1264719628</v>
      </c>
      <c r="AE217" s="236">
        <f t="shared" si="236"/>
        <v>0</v>
      </c>
      <c r="AF217" s="242">
        <f t="shared" si="237"/>
        <v>66470089.173574775</v>
      </c>
      <c r="AG217" s="235">
        <f t="shared" si="238"/>
        <v>0</v>
      </c>
      <c r="AH217" s="236">
        <f t="shared" si="239"/>
        <v>0</v>
      </c>
      <c r="AI217" s="236">
        <f t="shared" si="240"/>
        <v>6042735.3794158865</v>
      </c>
      <c r="AJ217" s="236">
        <f t="shared" si="241"/>
        <v>1208547.0758831771</v>
      </c>
      <c r="AK217" s="236">
        <f t="shared" si="242"/>
        <v>0</v>
      </c>
      <c r="AL217" s="236">
        <f t="shared" si="243"/>
        <v>0</v>
      </c>
      <c r="AM217" s="971">
        <f t="shared" si="244"/>
        <v>7251282.4552990636</v>
      </c>
      <c r="AN217" s="235">
        <f t="shared" si="245"/>
        <v>69911091.264631033</v>
      </c>
      <c r="AO217" s="236">
        <f t="shared" si="246"/>
        <v>0</v>
      </c>
      <c r="AP217" s="236">
        <f t="shared" si="247"/>
        <v>34955545.632315516</v>
      </c>
      <c r="AQ217" s="236">
        <f t="shared" si="248"/>
        <v>49349005.598563075</v>
      </c>
      <c r="AR217" s="236">
        <f t="shared" si="249"/>
        <v>2056208.5666067949</v>
      </c>
      <c r="AS217" s="236">
        <f t="shared" si="250"/>
        <v>0</v>
      </c>
      <c r="AT217" s="242">
        <f t="shared" si="251"/>
        <v>156271851.06211641</v>
      </c>
      <c r="AU217" s="254">
        <v>0</v>
      </c>
      <c r="AV217" s="246">
        <f t="shared" si="252"/>
        <v>229.99322269099028</v>
      </c>
      <c r="AW217" s="973">
        <f t="shared" si="253"/>
        <v>3.6250922504898839</v>
      </c>
    </row>
    <row r="218" spans="1:49">
      <c r="A218" s="127">
        <f>'Input data'!A142</f>
        <v>2042</v>
      </c>
      <c r="B218" s="105">
        <f>'Input data'!B142</f>
        <v>72.353378891150228</v>
      </c>
      <c r="C218" s="417">
        <f>'Recycling - Case 3'!E122</f>
        <v>1</v>
      </c>
      <c r="D218" s="525">
        <f>'Recycling - Case 3'!F122</f>
        <v>0.37</v>
      </c>
      <c r="E218" s="235">
        <f t="shared" si="188"/>
        <v>1126145070.1685441</v>
      </c>
      <c r="F218" s="236">
        <v>0</v>
      </c>
      <c r="G218" s="237">
        <f t="shared" si="189"/>
        <v>1126145070.1685441</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25338264.078792244</v>
      </c>
      <c r="AA218" s="236">
        <f t="shared" si="232"/>
        <v>0</v>
      </c>
      <c r="AB218" s="236">
        <f t="shared" si="233"/>
        <v>25338264.078792244</v>
      </c>
      <c r="AC218" s="236">
        <f t="shared" si="234"/>
        <v>14189427.884123659</v>
      </c>
      <c r="AD218" s="236">
        <f t="shared" si="235"/>
        <v>2027061.1263033797</v>
      </c>
      <c r="AE218" s="236">
        <f t="shared" si="236"/>
        <v>0</v>
      </c>
      <c r="AF218" s="242">
        <f t="shared" si="237"/>
        <v>66893017.168011531</v>
      </c>
      <c r="AG218" s="235">
        <f t="shared" si="238"/>
        <v>0</v>
      </c>
      <c r="AH218" s="236">
        <f t="shared" si="239"/>
        <v>0</v>
      </c>
      <c r="AI218" s="236">
        <f t="shared" si="240"/>
        <v>6081183.3789101373</v>
      </c>
      <c r="AJ218" s="236">
        <f t="shared" si="241"/>
        <v>1216236.6757820274</v>
      </c>
      <c r="AK218" s="236">
        <f t="shared" si="242"/>
        <v>0</v>
      </c>
      <c r="AL218" s="236">
        <f t="shared" si="243"/>
        <v>0</v>
      </c>
      <c r="AM218" s="971">
        <f t="shared" si="244"/>
        <v>7297420.054692165</v>
      </c>
      <c r="AN218" s="235">
        <f t="shared" si="245"/>
        <v>70355913.258779794</v>
      </c>
      <c r="AO218" s="236">
        <f t="shared" si="246"/>
        <v>0</v>
      </c>
      <c r="AP218" s="236">
        <f t="shared" si="247"/>
        <v>35177956.629389897</v>
      </c>
      <c r="AQ218" s="236">
        <f t="shared" si="248"/>
        <v>49662997.594432794</v>
      </c>
      <c r="AR218" s="236">
        <f t="shared" si="249"/>
        <v>2069291.5664346998</v>
      </c>
      <c r="AS218" s="236">
        <f t="shared" si="250"/>
        <v>0</v>
      </c>
      <c r="AT218" s="242">
        <f t="shared" si="251"/>
        <v>157266159.04903719</v>
      </c>
      <c r="AU218" s="254">
        <v>0</v>
      </c>
      <c r="AV218" s="246">
        <f t="shared" si="252"/>
        <v>231.45659627174089</v>
      </c>
      <c r="AW218" s="973">
        <f t="shared" si="253"/>
        <v>3.6481575572197178</v>
      </c>
    </row>
    <row r="219" spans="1:49">
      <c r="A219" s="127">
        <f>'Input data'!A143</f>
        <v>2043</v>
      </c>
      <c r="B219" s="105">
        <f>'Input data'!B143</f>
        <v>72.797675771420302</v>
      </c>
      <c r="C219" s="417">
        <f>'Recycling - Case 3'!E123</f>
        <v>1</v>
      </c>
      <c r="D219" s="525">
        <f>'Recycling - Case 3'!F123</f>
        <v>0.37</v>
      </c>
      <c r="E219" s="235">
        <f t="shared" si="188"/>
        <v>1133060334.5152185</v>
      </c>
      <c r="F219" s="236">
        <v>0</v>
      </c>
      <c r="G219" s="237">
        <f t="shared" si="189"/>
        <v>1133060334.5152185</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25493857.526592419</v>
      </c>
      <c r="AA219" s="236">
        <f t="shared" si="232"/>
        <v>0</v>
      </c>
      <c r="AB219" s="236">
        <f t="shared" si="233"/>
        <v>25493857.526592419</v>
      </c>
      <c r="AC219" s="236">
        <f t="shared" si="234"/>
        <v>14276560.214891756</v>
      </c>
      <c r="AD219" s="236">
        <f t="shared" si="235"/>
        <v>2039508.6021273937</v>
      </c>
      <c r="AE219" s="236">
        <f t="shared" si="236"/>
        <v>0</v>
      </c>
      <c r="AF219" s="242">
        <f t="shared" si="237"/>
        <v>67303783.870203987</v>
      </c>
      <c r="AG219" s="235">
        <f t="shared" si="238"/>
        <v>0</v>
      </c>
      <c r="AH219" s="236">
        <f t="shared" si="239"/>
        <v>0</v>
      </c>
      <c r="AI219" s="236">
        <f t="shared" si="240"/>
        <v>6118525.8063821793</v>
      </c>
      <c r="AJ219" s="236">
        <f t="shared" si="241"/>
        <v>1223705.1612764357</v>
      </c>
      <c r="AK219" s="236">
        <f t="shared" si="242"/>
        <v>0</v>
      </c>
      <c r="AL219" s="236">
        <f t="shared" si="243"/>
        <v>0</v>
      </c>
      <c r="AM219" s="971">
        <f t="shared" si="244"/>
        <v>7342230.9676586147</v>
      </c>
      <c r="AN219" s="235">
        <f t="shared" si="245"/>
        <v>70787944.398838267</v>
      </c>
      <c r="AO219" s="236">
        <f t="shared" si="246"/>
        <v>0</v>
      </c>
      <c r="AP219" s="236">
        <f t="shared" si="247"/>
        <v>35393972.199419133</v>
      </c>
      <c r="AQ219" s="236">
        <f t="shared" si="248"/>
        <v>49967960.752121136</v>
      </c>
      <c r="AR219" s="236">
        <f t="shared" si="249"/>
        <v>2081998.3646717139</v>
      </c>
      <c r="AS219" s="236">
        <f t="shared" si="250"/>
        <v>0</v>
      </c>
      <c r="AT219" s="242">
        <f t="shared" si="251"/>
        <v>158231875.71505022</v>
      </c>
      <c r="AU219" s="254">
        <v>0</v>
      </c>
      <c r="AV219" s="246">
        <f t="shared" si="252"/>
        <v>232.87789055291285</v>
      </c>
      <c r="AW219" s="973">
        <f t="shared" si="253"/>
        <v>3.6705596211764653</v>
      </c>
    </row>
    <row r="220" spans="1:49">
      <c r="A220" s="127">
        <f>'Input data'!A144</f>
        <v>2044</v>
      </c>
      <c r="B220" s="105">
        <f>'Input data'!B144</f>
        <v>73.228597899236789</v>
      </c>
      <c r="C220" s="417">
        <f>'Recycling - Case 3'!E124</f>
        <v>1</v>
      </c>
      <c r="D220" s="525">
        <f>'Recycling - Case 3'!F124</f>
        <v>0.37</v>
      </c>
      <c r="E220" s="235">
        <f t="shared" si="188"/>
        <v>1139767427.3601449</v>
      </c>
      <c r="F220" s="236">
        <v>0</v>
      </c>
      <c r="G220" s="237">
        <f t="shared" si="189"/>
        <v>1139767427.3601449</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25644767.115603261</v>
      </c>
      <c r="AA220" s="236">
        <f t="shared" ref="AA220:AA226" si="274">I220*$C$36*G220*$C$10</f>
        <v>0</v>
      </c>
      <c r="AB220" s="236">
        <f t="shared" ref="AB220:AB226" si="275">J220*$C$37*G220*$C$10</f>
        <v>25644767.115603261</v>
      </c>
      <c r="AC220" s="236">
        <f t="shared" ref="AC220:AC226" si="276">K220*$C$40*G220*$C$10</f>
        <v>14361069.58473783</v>
      </c>
      <c r="AD220" s="236">
        <f t="shared" ref="AD220:AD226" si="277">L220*$C$41*G220*$C$10</f>
        <v>2051581.369248261</v>
      </c>
      <c r="AE220" s="236">
        <f t="shared" ref="AE220:AE226" si="278">M220*$C$42*G220*$C$10</f>
        <v>0</v>
      </c>
      <c r="AF220" s="242">
        <f t="shared" ref="AF220:AF226" si="279">SUM(Z220:AE220)</f>
        <v>67702185.185192615</v>
      </c>
      <c r="AG220" s="235">
        <f t="shared" ref="AG220:AG226" si="280">N220*$C$35*G220*$C$11</f>
        <v>0</v>
      </c>
      <c r="AH220" s="236">
        <f t="shared" ref="AH220:AH226" si="281">O220*$C$36*G220*$C$11</f>
        <v>0</v>
      </c>
      <c r="AI220" s="236">
        <f t="shared" ref="AI220:AI226" si="282">P220*$C$37*G220*$C$11</f>
        <v>6154744.1077447813</v>
      </c>
      <c r="AJ220" s="236">
        <f t="shared" ref="AJ220:AJ226" si="283">Q220*$C$38*G220*$C$11</f>
        <v>1230948.8215489562</v>
      </c>
      <c r="AK220" s="236">
        <f t="shared" ref="AK220:AK226" si="284">R220*$C$41*G220*$C$11</f>
        <v>0</v>
      </c>
      <c r="AL220" s="236">
        <f t="shared" ref="AL220:AL226" si="285">S220*$C$42*G220*$C$11</f>
        <v>0</v>
      </c>
      <c r="AM220" s="971">
        <f t="shared" ref="AM220:AM226" si="286">SUM(AG220:AL220)</f>
        <v>7385692.9292937377</v>
      </c>
      <c r="AN220" s="235">
        <f t="shared" ref="AN220:AN226" si="287">T220*$C$35*G220*$C$12</f>
        <v>71206970.024325043</v>
      </c>
      <c r="AO220" s="236">
        <f t="shared" ref="AO220:AO226" si="288">U220*$C$36*G220*$C$12</f>
        <v>0</v>
      </c>
      <c r="AP220" s="236">
        <f t="shared" ref="AP220:AP226" si="289">V220*$C$37*G220*$C$12</f>
        <v>35603485.012162521</v>
      </c>
      <c r="AQ220" s="236">
        <f t="shared" ref="AQ220:AQ226" si="290">W220*$C$39*G220*$C$12</f>
        <v>50263743.546582386</v>
      </c>
      <c r="AR220" s="236">
        <f t="shared" ref="AR220:AR226" si="291">X220*$C$41*G220*$C$12</f>
        <v>2094322.6477742658</v>
      </c>
      <c r="AS220" s="236">
        <f t="shared" ref="AS220:AS226" si="292">Y220*$C$42*N220*$C$12</f>
        <v>0</v>
      </c>
      <c r="AT220" s="242">
        <f t="shared" ref="AT220:AT226" si="293">SUM(AN220:AS220)</f>
        <v>159168521.23084423</v>
      </c>
      <c r="AU220" s="254">
        <v>0</v>
      </c>
      <c r="AV220" s="246">
        <f t="shared" ref="AV220:AV226" si="294">(AF220+AM220+AT220)/10^6-AU220</f>
        <v>234.25639934533061</v>
      </c>
      <c r="AW220" s="973">
        <f t="shared" ref="AW220:AW226" si="295">((B220*$C$46*$C$47*$C$48*$C$49)-$C$50)*$C$51*$C$52</f>
        <v>3.6922873115934127</v>
      </c>
    </row>
    <row r="221" spans="1:49">
      <c r="A221" s="127">
        <f>'Input data'!A145</f>
        <v>2045</v>
      </c>
      <c r="B221" s="105">
        <f>'Input data'!B145</f>
        <v>73.645872502840064</v>
      </c>
      <c r="C221" s="417">
        <f>'Recycling - Case 3'!E125</f>
        <v>1</v>
      </c>
      <c r="D221" s="525">
        <f>'Recycling - Case 3'!F125</f>
        <v>0.37</v>
      </c>
      <c r="E221" s="235">
        <f t="shared" si="188"/>
        <v>1146262103.1438606</v>
      </c>
      <c r="F221" s="236">
        <v>0</v>
      </c>
      <c r="G221" s="237">
        <f t="shared" si="189"/>
        <v>1146262103.1438606</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25790897.320736866</v>
      </c>
      <c r="AA221" s="236">
        <f t="shared" si="274"/>
        <v>0</v>
      </c>
      <c r="AB221" s="236">
        <f t="shared" si="275"/>
        <v>25790897.320736866</v>
      </c>
      <c r="AC221" s="236">
        <f t="shared" si="276"/>
        <v>14442902.499612648</v>
      </c>
      <c r="AD221" s="236">
        <f t="shared" si="277"/>
        <v>2063271.7856589493</v>
      </c>
      <c r="AE221" s="236">
        <f t="shared" si="278"/>
        <v>0</v>
      </c>
      <c r="AF221" s="242">
        <f t="shared" si="279"/>
        <v>68087968.92674534</v>
      </c>
      <c r="AG221" s="235">
        <f t="shared" si="280"/>
        <v>0</v>
      </c>
      <c r="AH221" s="236">
        <f t="shared" si="281"/>
        <v>0</v>
      </c>
      <c r="AI221" s="236">
        <f t="shared" si="282"/>
        <v>6189815.3569768472</v>
      </c>
      <c r="AJ221" s="236">
        <f t="shared" si="283"/>
        <v>1237963.0713953692</v>
      </c>
      <c r="AK221" s="236">
        <f t="shared" si="284"/>
        <v>0</v>
      </c>
      <c r="AL221" s="236">
        <f t="shared" si="285"/>
        <v>0</v>
      </c>
      <c r="AM221" s="971">
        <f t="shared" si="286"/>
        <v>7427778.4283722164</v>
      </c>
      <c r="AN221" s="235">
        <f t="shared" si="287"/>
        <v>71612724.893912688</v>
      </c>
      <c r="AO221" s="236">
        <f t="shared" si="288"/>
        <v>0</v>
      </c>
      <c r="AP221" s="236">
        <f t="shared" si="289"/>
        <v>35806362.446956344</v>
      </c>
      <c r="AQ221" s="236">
        <f t="shared" si="290"/>
        <v>50550158.748644248</v>
      </c>
      <c r="AR221" s="236">
        <f t="shared" si="291"/>
        <v>2106256.6145268441</v>
      </c>
      <c r="AS221" s="236">
        <f t="shared" si="292"/>
        <v>0</v>
      </c>
      <c r="AT221" s="242">
        <f t="shared" si="293"/>
        <v>160075502.70404014</v>
      </c>
      <c r="AU221" s="254">
        <v>0</v>
      </c>
      <c r="AV221" s="246">
        <f t="shared" si="294"/>
        <v>235.59125005915769</v>
      </c>
      <c r="AW221" s="973">
        <f t="shared" si="295"/>
        <v>3.7133268749407069</v>
      </c>
    </row>
    <row r="222" spans="1:49">
      <c r="A222" s="127">
        <f>'Input data'!A146</f>
        <v>2046</v>
      </c>
      <c r="B222" s="105">
        <f>'Input data'!B146</f>
        <v>74.049234192071822</v>
      </c>
      <c r="C222" s="417">
        <f>'Recycling - Case 3'!E126</f>
        <v>1</v>
      </c>
      <c r="D222" s="525">
        <f>'Recycling - Case 3'!F126</f>
        <v>0.37</v>
      </c>
      <c r="E222" s="235">
        <f t="shared" si="188"/>
        <v>1152540231.1979294</v>
      </c>
      <c r="F222" s="236">
        <v>0</v>
      </c>
      <c r="G222" s="237">
        <f t="shared" si="189"/>
        <v>1152540231.1979294</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25932155.201953411</v>
      </c>
      <c r="AA222" s="236">
        <f t="shared" si="274"/>
        <v>0</v>
      </c>
      <c r="AB222" s="236">
        <f t="shared" si="275"/>
        <v>25932155.201953411</v>
      </c>
      <c r="AC222" s="236">
        <f t="shared" si="276"/>
        <v>14522006.913093913</v>
      </c>
      <c r="AD222" s="236">
        <f t="shared" si="277"/>
        <v>2074572.4161562731</v>
      </c>
      <c r="AE222" s="236">
        <f t="shared" si="278"/>
        <v>0</v>
      </c>
      <c r="AF222" s="242">
        <f t="shared" si="279"/>
        <v>68460889.733157009</v>
      </c>
      <c r="AG222" s="235">
        <f t="shared" si="280"/>
        <v>0</v>
      </c>
      <c r="AH222" s="236">
        <f t="shared" si="281"/>
        <v>0</v>
      </c>
      <c r="AI222" s="236">
        <f t="shared" si="282"/>
        <v>6223717.2484688181</v>
      </c>
      <c r="AJ222" s="236">
        <f t="shared" si="283"/>
        <v>1244743.4496937634</v>
      </c>
      <c r="AK222" s="236">
        <f t="shared" si="284"/>
        <v>0</v>
      </c>
      <c r="AL222" s="236">
        <f t="shared" si="285"/>
        <v>0</v>
      </c>
      <c r="AM222" s="971">
        <f t="shared" si="286"/>
        <v>7468460.6981625818</v>
      </c>
      <c r="AN222" s="235">
        <f t="shared" si="287"/>
        <v>72004950.944090635</v>
      </c>
      <c r="AO222" s="236">
        <f t="shared" si="288"/>
        <v>0</v>
      </c>
      <c r="AP222" s="236">
        <f t="shared" si="289"/>
        <v>36002475.472045317</v>
      </c>
      <c r="AQ222" s="236">
        <f t="shared" si="290"/>
        <v>50827024.195828684</v>
      </c>
      <c r="AR222" s="236">
        <f t="shared" si="291"/>
        <v>2117792.674826195</v>
      </c>
      <c r="AS222" s="236">
        <f t="shared" si="292"/>
        <v>0</v>
      </c>
      <c r="AT222" s="242">
        <f t="shared" si="293"/>
        <v>160952243.28679085</v>
      </c>
      <c r="AU222" s="254">
        <v>0</v>
      </c>
      <c r="AV222" s="246">
        <f t="shared" si="294"/>
        <v>236.88159371811045</v>
      </c>
      <c r="AW222" s="973">
        <f t="shared" si="295"/>
        <v>3.7336649298790605</v>
      </c>
    </row>
    <row r="223" spans="1:49">
      <c r="A223" s="127">
        <f>'Input data'!A147</f>
        <v>2047</v>
      </c>
      <c r="B223" s="105">
        <f>'Input data'!B147</f>
        <v>74.438425238522782</v>
      </c>
      <c r="C223" s="417">
        <f>'Recycling - Case 3'!E127</f>
        <v>1</v>
      </c>
      <c r="D223" s="525">
        <f>'Recycling - Case 3'!F127</f>
        <v>0.37</v>
      </c>
      <c r="E223" s="235">
        <f t="shared" si="188"/>
        <v>1158597800.1053035</v>
      </c>
      <c r="F223" s="236">
        <v>0</v>
      </c>
      <c r="G223" s="237">
        <f t="shared" si="189"/>
        <v>1158597800.1053035</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26068450.502369333</v>
      </c>
      <c r="AA223" s="236">
        <f t="shared" si="274"/>
        <v>0</v>
      </c>
      <c r="AB223" s="236">
        <f t="shared" si="275"/>
        <v>26068450.502369333</v>
      </c>
      <c r="AC223" s="236">
        <f t="shared" si="276"/>
        <v>14598332.281326829</v>
      </c>
      <c r="AD223" s="236">
        <f t="shared" si="277"/>
        <v>2085476.0401895465</v>
      </c>
      <c r="AE223" s="236">
        <f t="shared" si="278"/>
        <v>0</v>
      </c>
      <c r="AF223" s="242">
        <f t="shared" si="279"/>
        <v>68820709.326255038</v>
      </c>
      <c r="AG223" s="235">
        <f t="shared" si="280"/>
        <v>0</v>
      </c>
      <c r="AH223" s="236">
        <f t="shared" si="281"/>
        <v>0</v>
      </c>
      <c r="AI223" s="236">
        <f t="shared" si="282"/>
        <v>6256428.1205686387</v>
      </c>
      <c r="AJ223" s="236">
        <f t="shared" si="283"/>
        <v>1251285.6241137278</v>
      </c>
      <c r="AK223" s="236">
        <f t="shared" si="284"/>
        <v>0</v>
      </c>
      <c r="AL223" s="236">
        <f t="shared" si="285"/>
        <v>0</v>
      </c>
      <c r="AM223" s="971">
        <f t="shared" si="286"/>
        <v>7507713.744682366</v>
      </c>
      <c r="AN223" s="235">
        <f t="shared" si="287"/>
        <v>72383397.56157884</v>
      </c>
      <c r="AO223" s="236">
        <f t="shared" si="288"/>
        <v>0</v>
      </c>
      <c r="AP223" s="236">
        <f t="shared" si="289"/>
        <v>36191698.78078942</v>
      </c>
      <c r="AQ223" s="236">
        <f t="shared" si="290"/>
        <v>51094162.984643884</v>
      </c>
      <c r="AR223" s="236">
        <f t="shared" si="291"/>
        <v>2128923.4576934953</v>
      </c>
      <c r="AS223" s="236">
        <f t="shared" si="292"/>
        <v>0</v>
      </c>
      <c r="AT223" s="242">
        <f t="shared" si="293"/>
        <v>161798182.78470564</v>
      </c>
      <c r="AU223" s="254">
        <v>0</v>
      </c>
      <c r="AV223" s="246">
        <f t="shared" si="294"/>
        <v>238.12660585564302</v>
      </c>
      <c r="AW223" s="973">
        <f t="shared" si="295"/>
        <v>3.753288481385181</v>
      </c>
    </row>
    <row r="224" spans="1:49">
      <c r="A224" s="127">
        <f>'Input data'!A148</f>
        <v>2048</v>
      </c>
      <c r="B224" s="105">
        <f>'Input data'!B148</f>
        <v>74.813195848926668</v>
      </c>
      <c r="C224" s="417">
        <f>'Recycling - Case 3'!E128</f>
        <v>1</v>
      </c>
      <c r="D224" s="525">
        <f>'Recycling - Case 3'!F128</f>
        <v>0.37</v>
      </c>
      <c r="E224" s="235">
        <f t="shared" si="188"/>
        <v>1164430921.9555674</v>
      </c>
      <c r="F224" s="236">
        <v>0</v>
      </c>
      <c r="G224" s="237">
        <f t="shared" si="189"/>
        <v>1164430921.9555674</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26199695.744000267</v>
      </c>
      <c r="AA224" s="236">
        <f t="shared" si="274"/>
        <v>0</v>
      </c>
      <c r="AB224" s="236">
        <f t="shared" si="275"/>
        <v>26199695.744000267</v>
      </c>
      <c r="AC224" s="236">
        <f t="shared" si="276"/>
        <v>14671829.616640154</v>
      </c>
      <c r="AD224" s="236">
        <f t="shared" si="277"/>
        <v>2095975.6595200216</v>
      </c>
      <c r="AE224" s="236">
        <f t="shared" si="278"/>
        <v>0</v>
      </c>
      <c r="AF224" s="242">
        <f t="shared" si="279"/>
        <v>69167196.764160708</v>
      </c>
      <c r="AG224" s="235">
        <f t="shared" si="280"/>
        <v>0</v>
      </c>
      <c r="AH224" s="236">
        <f t="shared" si="281"/>
        <v>0</v>
      </c>
      <c r="AI224" s="236">
        <f t="shared" si="282"/>
        <v>6287926.9785600631</v>
      </c>
      <c r="AJ224" s="236">
        <f t="shared" si="283"/>
        <v>1257585.3957120127</v>
      </c>
      <c r="AK224" s="236">
        <f t="shared" si="284"/>
        <v>0</v>
      </c>
      <c r="AL224" s="236">
        <f t="shared" si="285"/>
        <v>0</v>
      </c>
      <c r="AM224" s="971">
        <f t="shared" si="286"/>
        <v>7545512.3742720755</v>
      </c>
      <c r="AN224" s="235">
        <f t="shared" si="287"/>
        <v>72747821.849174082</v>
      </c>
      <c r="AO224" s="236">
        <f t="shared" si="288"/>
        <v>0</v>
      </c>
      <c r="AP224" s="236">
        <f t="shared" si="289"/>
        <v>36373910.924587041</v>
      </c>
      <c r="AQ224" s="236">
        <f t="shared" si="290"/>
        <v>51351403.658240512</v>
      </c>
      <c r="AR224" s="236">
        <f t="shared" si="291"/>
        <v>2139641.819093355</v>
      </c>
      <c r="AS224" s="236">
        <f t="shared" si="292"/>
        <v>0</v>
      </c>
      <c r="AT224" s="242">
        <f t="shared" si="293"/>
        <v>162612778.251095</v>
      </c>
      <c r="AU224" s="254">
        <v>0</v>
      </c>
      <c r="AV224" s="246">
        <f t="shared" si="294"/>
        <v>239.32548738952781</v>
      </c>
      <c r="AW224" s="973">
        <f t="shared" si="295"/>
        <v>3.7721849345366727</v>
      </c>
    </row>
    <row r="225" spans="1:49">
      <c r="A225" s="127">
        <f>'Input data'!A149</f>
        <v>2049</v>
      </c>
      <c r="B225" s="105">
        <f>'Input data'!B149</f>
        <v>75.173102421925719</v>
      </c>
      <c r="C225" s="417">
        <f>'Recycling - Case 3'!E129</f>
        <v>1</v>
      </c>
      <c r="D225" s="525">
        <f>'Recycling - Case 3'!F129</f>
        <v>0.37</v>
      </c>
      <c r="E225" s="235">
        <f t="shared" si="188"/>
        <v>1170032692.3098433</v>
      </c>
      <c r="F225" s="236">
        <v>0</v>
      </c>
      <c r="G225" s="237">
        <f t="shared" si="189"/>
        <v>1170032692.3098433</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26325735.576971475</v>
      </c>
      <c r="AA225" s="236">
        <f t="shared" si="274"/>
        <v>0</v>
      </c>
      <c r="AB225" s="236">
        <f t="shared" si="275"/>
        <v>26325735.576971475</v>
      </c>
      <c r="AC225" s="236">
        <f t="shared" si="276"/>
        <v>14742411.923104029</v>
      </c>
      <c r="AD225" s="236">
        <f t="shared" si="277"/>
        <v>2106058.8461577184</v>
      </c>
      <c r="AE225" s="236">
        <f t="shared" si="278"/>
        <v>0</v>
      </c>
      <c r="AF225" s="242">
        <f t="shared" si="279"/>
        <v>69499941.92320469</v>
      </c>
      <c r="AG225" s="235">
        <f t="shared" si="280"/>
        <v>0</v>
      </c>
      <c r="AH225" s="236">
        <f t="shared" si="281"/>
        <v>0</v>
      </c>
      <c r="AI225" s="236">
        <f t="shared" si="282"/>
        <v>6318176.5384731535</v>
      </c>
      <c r="AJ225" s="236">
        <f t="shared" si="283"/>
        <v>1263635.3076946305</v>
      </c>
      <c r="AK225" s="236">
        <f t="shared" si="284"/>
        <v>0</v>
      </c>
      <c r="AL225" s="236">
        <f t="shared" si="285"/>
        <v>0</v>
      </c>
      <c r="AM225" s="971">
        <f t="shared" si="286"/>
        <v>7581811.8461677842</v>
      </c>
      <c r="AN225" s="235">
        <f t="shared" si="287"/>
        <v>73097792.452057466</v>
      </c>
      <c r="AO225" s="236">
        <f t="shared" si="288"/>
        <v>0</v>
      </c>
      <c r="AP225" s="236">
        <f t="shared" si="289"/>
        <v>36548896.226028733</v>
      </c>
      <c r="AQ225" s="236">
        <f t="shared" si="290"/>
        <v>51598441.730864093</v>
      </c>
      <c r="AR225" s="236">
        <f t="shared" si="291"/>
        <v>2149935.072119337</v>
      </c>
      <c r="AS225" s="236">
        <f t="shared" si="292"/>
        <v>0</v>
      </c>
      <c r="AT225" s="242">
        <f t="shared" si="293"/>
        <v>163395065.48106959</v>
      </c>
      <c r="AU225" s="254">
        <v>0</v>
      </c>
      <c r="AV225" s="246">
        <f t="shared" si="294"/>
        <v>240.47681925044208</v>
      </c>
      <c r="AW225" s="973">
        <f t="shared" si="295"/>
        <v>3.790331922338789</v>
      </c>
    </row>
    <row r="226" spans="1:49" ht="15.75" thickBot="1">
      <c r="A226" s="172">
        <f>'Input data'!A150</f>
        <v>2050</v>
      </c>
      <c r="B226" s="962">
        <f>'Input data'!B150</f>
        <v>75.517908954390194</v>
      </c>
      <c r="C226" s="651">
        <f>'Recycling - Case 3'!E130</f>
        <v>1</v>
      </c>
      <c r="D226" s="652">
        <f>'Recycling - Case 3'!F130</f>
        <v>0.37</v>
      </c>
      <c r="E226" s="238">
        <f t="shared" si="188"/>
        <v>1175399437.8944683</v>
      </c>
      <c r="F226" s="239">
        <v>0</v>
      </c>
      <c r="G226" s="240">
        <f t="shared" si="189"/>
        <v>1175399437.8944683</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26446487.352625538</v>
      </c>
      <c r="AA226" s="239">
        <f t="shared" si="274"/>
        <v>0</v>
      </c>
      <c r="AB226" s="239">
        <f t="shared" si="275"/>
        <v>26446487.352625538</v>
      </c>
      <c r="AC226" s="239">
        <f t="shared" si="276"/>
        <v>14810032.917470304</v>
      </c>
      <c r="AD226" s="239">
        <f t="shared" si="277"/>
        <v>2115718.9882100429</v>
      </c>
      <c r="AE226" s="239">
        <f t="shared" si="278"/>
        <v>0</v>
      </c>
      <c r="AF226" s="243">
        <f t="shared" si="279"/>
        <v>69818726.610931411</v>
      </c>
      <c r="AG226" s="238">
        <f t="shared" si="280"/>
        <v>0</v>
      </c>
      <c r="AH226" s="239">
        <f t="shared" si="281"/>
        <v>0</v>
      </c>
      <c r="AI226" s="239">
        <f t="shared" si="282"/>
        <v>6347156.9646301288</v>
      </c>
      <c r="AJ226" s="239">
        <f t="shared" si="283"/>
        <v>1269431.3929260257</v>
      </c>
      <c r="AK226" s="239">
        <f t="shared" si="284"/>
        <v>0</v>
      </c>
      <c r="AL226" s="239">
        <f t="shared" si="285"/>
        <v>0</v>
      </c>
      <c r="AM226" s="972">
        <f t="shared" si="286"/>
        <v>7616588.357556155</v>
      </c>
      <c r="AN226" s="238">
        <f t="shared" si="287"/>
        <v>73433079.882456899</v>
      </c>
      <c r="AO226" s="239">
        <f t="shared" si="288"/>
        <v>0</v>
      </c>
      <c r="AP226" s="239">
        <f t="shared" si="289"/>
        <v>36716539.941228449</v>
      </c>
      <c r="AQ226" s="239">
        <f t="shared" si="290"/>
        <v>51835115.211146049</v>
      </c>
      <c r="AR226" s="239">
        <f t="shared" si="291"/>
        <v>2159796.4671310852</v>
      </c>
      <c r="AS226" s="239">
        <f t="shared" si="292"/>
        <v>0</v>
      </c>
      <c r="AT226" s="243">
        <f t="shared" si="293"/>
        <v>164144531.50196248</v>
      </c>
      <c r="AU226" s="254">
        <v>0</v>
      </c>
      <c r="AV226" s="249">
        <f t="shared" si="294"/>
        <v>241.57984647045004</v>
      </c>
      <c r="AW226" s="974">
        <f t="shared" si="295"/>
        <v>3.8077175451869141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0"/>
      <c r="B5" s="2011"/>
      <c r="C5" s="2016" t="s">
        <v>53</v>
      </c>
      <c r="D5" s="2017"/>
      <c r="E5" s="2017"/>
      <c r="F5" s="2018"/>
      <c r="G5" s="2016" t="s">
        <v>54</v>
      </c>
      <c r="H5" s="2017"/>
      <c r="I5" s="2017"/>
      <c r="J5" s="2018"/>
      <c r="L5" s="53"/>
      <c r="M5" s="54" t="s">
        <v>128</v>
      </c>
      <c r="N5" s="54" t="s">
        <v>129</v>
      </c>
      <c r="O5" s="55" t="s">
        <v>130</v>
      </c>
      <c r="Q5" s="2009" t="s">
        <v>144</v>
      </c>
      <c r="R5" s="2009"/>
      <c r="S5" s="2009"/>
      <c r="T5" s="2009"/>
      <c r="U5" s="2009"/>
      <c r="V5" s="56"/>
      <c r="W5" s="56"/>
    </row>
    <row r="6" spans="1:23" ht="15.75" thickBot="1">
      <c r="A6" s="2012"/>
      <c r="B6" s="2013"/>
      <c r="C6" s="2019" t="s">
        <v>55</v>
      </c>
      <c r="D6" s="2020"/>
      <c r="E6" s="2019" t="s">
        <v>56</v>
      </c>
      <c r="F6" s="2020"/>
      <c r="G6" s="2019" t="s">
        <v>55</v>
      </c>
      <c r="H6" s="2020"/>
      <c r="I6" s="2021" t="s">
        <v>57</v>
      </c>
      <c r="J6" s="2022"/>
      <c r="L6" s="54" t="s">
        <v>131</v>
      </c>
      <c r="M6" s="73" t="s">
        <v>132</v>
      </c>
      <c r="N6" s="74"/>
      <c r="O6" s="75" t="s">
        <v>133</v>
      </c>
      <c r="Q6" s="2009"/>
      <c r="R6" s="2009"/>
      <c r="S6" s="2009"/>
      <c r="T6" s="2009"/>
      <c r="U6" s="2009"/>
      <c r="V6" s="38"/>
      <c r="W6" s="38"/>
    </row>
    <row r="7" spans="1:23" ht="15.75" thickBot="1">
      <c r="A7" s="2014" t="s">
        <v>58</v>
      </c>
      <c r="B7" s="2015"/>
      <c r="C7" s="67" t="s">
        <v>59</v>
      </c>
      <c r="D7" s="68" t="s">
        <v>60</v>
      </c>
      <c r="E7" s="67" t="s">
        <v>59</v>
      </c>
      <c r="F7" s="68" t="s">
        <v>60</v>
      </c>
      <c r="G7" s="67" t="s">
        <v>59</v>
      </c>
      <c r="H7" s="68" t="s">
        <v>60</v>
      </c>
      <c r="I7" s="67" t="s">
        <v>59</v>
      </c>
      <c r="J7" s="68" t="s">
        <v>60</v>
      </c>
      <c r="L7" s="54" t="s">
        <v>134</v>
      </c>
      <c r="M7" s="76" t="s">
        <v>132</v>
      </c>
      <c r="N7" s="77"/>
      <c r="O7" s="78" t="s">
        <v>135</v>
      </c>
      <c r="Q7" s="2009"/>
      <c r="R7" s="2009"/>
      <c r="S7" s="2009"/>
      <c r="T7" s="2009"/>
      <c r="U7" s="2009"/>
      <c r="V7" s="38"/>
      <c r="W7" s="38"/>
    </row>
    <row r="8" spans="1:23" ht="15.75" thickBot="1">
      <c r="A8" s="2023"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09"/>
      <c r="R8" s="2009"/>
      <c r="S8" s="2009"/>
      <c r="T8" s="2009"/>
      <c r="U8" s="2009"/>
      <c r="V8" s="38"/>
      <c r="W8" s="38"/>
    </row>
    <row r="9" spans="1:23" ht="30.75" thickBot="1">
      <c r="A9" s="2024"/>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09"/>
      <c r="R9" s="2009"/>
      <c r="S9" s="2009"/>
      <c r="T9" s="2009"/>
      <c r="U9" s="2009"/>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25" t="s">
        <v>160</v>
      </c>
      <c r="C20" s="2026"/>
      <c r="D20" s="53"/>
      <c r="E20" s="53"/>
      <c r="F20" s="53"/>
      <c r="G20" s="53"/>
      <c r="H20" s="7"/>
      <c r="M20" s="53"/>
      <c r="N20" s="57"/>
      <c r="O20" s="58"/>
    </row>
    <row r="21" spans="1:15">
      <c r="A21" s="70">
        <v>35</v>
      </c>
      <c r="B21" s="2003">
        <f>LN(2)/A21</f>
        <v>1.980420515885558E-2</v>
      </c>
      <c r="C21" s="2004"/>
      <c r="D21" s="53"/>
      <c r="E21" s="53"/>
      <c r="F21" s="53"/>
      <c r="G21" s="53"/>
      <c r="H21" s="7"/>
      <c r="M21" s="53"/>
      <c r="N21" s="57"/>
      <c r="O21" s="58"/>
    </row>
    <row r="22" spans="1:15" ht="17.25">
      <c r="A22" s="63" t="s">
        <v>161</v>
      </c>
      <c r="B22" s="2005" t="s">
        <v>149</v>
      </c>
      <c r="C22" s="2006"/>
      <c r="D22" s="53"/>
      <c r="E22" s="53"/>
      <c r="F22" s="53"/>
      <c r="G22" s="53"/>
      <c r="H22" s="7"/>
      <c r="M22" s="53"/>
      <c r="N22" s="15"/>
      <c r="O22" s="53"/>
    </row>
    <row r="23" spans="1:15" ht="15.75" thickBot="1">
      <c r="A23" s="69">
        <v>0.05</v>
      </c>
      <c r="B23" s="2007">
        <f>LN(2)/A23</f>
        <v>13.862943611198904</v>
      </c>
      <c r="C23" s="2008"/>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1"/>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09"/>
      <c r="C42" s="1409"/>
      <c r="D42" s="1409"/>
      <c r="E42" s="1409"/>
      <c r="F42" s="1409"/>
      <c r="G42" s="1409"/>
      <c r="H42" s="1409"/>
      <c r="I42" s="1409"/>
      <c r="J42" s="1410"/>
    </row>
    <row r="43" spans="1:15" ht="30">
      <c r="A43" s="40" t="s">
        <v>103</v>
      </c>
      <c r="B43" s="1408" t="s">
        <v>83</v>
      </c>
      <c r="C43" s="1408" t="s">
        <v>85</v>
      </c>
      <c r="D43" s="1408" t="s">
        <v>87</v>
      </c>
      <c r="E43" s="1408" t="s">
        <v>89</v>
      </c>
      <c r="F43" s="1408" t="s">
        <v>91</v>
      </c>
      <c r="G43" s="1408" t="s">
        <v>93</v>
      </c>
      <c r="H43" s="1408" t="s">
        <v>107</v>
      </c>
      <c r="I43" s="1408" t="s">
        <v>104</v>
      </c>
      <c r="J43" s="1408"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6">
        <v>0</v>
      </c>
      <c r="C48" s="1406">
        <v>0</v>
      </c>
      <c r="D48" s="1406">
        <v>0.01</v>
      </c>
      <c r="E48" s="1406">
        <v>0</v>
      </c>
      <c r="F48" s="1406">
        <v>0.2</v>
      </c>
      <c r="G48" s="1406">
        <v>0.1</v>
      </c>
      <c r="H48" s="1406">
        <v>1</v>
      </c>
      <c r="I48" s="11">
        <v>1</v>
      </c>
      <c r="J48" s="11">
        <v>0</v>
      </c>
      <c r="K48" s="11">
        <v>0</v>
      </c>
      <c r="L48" s="11">
        <v>1</v>
      </c>
    </row>
    <row r="49" spans="1:20">
      <c r="A49" s="16"/>
      <c r="B49" s="1407"/>
      <c r="C49" s="1407"/>
      <c r="D49" s="1407"/>
      <c r="E49" s="1407"/>
      <c r="F49" s="1407"/>
      <c r="G49" s="1407"/>
      <c r="H49" s="1407"/>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30">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2022-06-06T09:01:25Z</dcterms:modified>
</cp:coreProperties>
</file>